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4\06 JUNI\"/>
    </mc:Choice>
  </mc:AlternateContent>
  <xr:revisionPtr revIDLastSave="0" documentId="13_ncr:1_{FFBB5E20-BEC0-4E2A-8B0B-803E4B81CF0A}" xr6:coauthVersionLast="47" xr6:coauthVersionMax="47" xr10:uidLastSave="{00000000-0000-0000-0000-000000000000}"/>
  <bookViews>
    <workbookView minimized="1" xWindow="1860" yWindow="690" windowWidth="10455" windowHeight="10800" tabRatio="548" xr2:uid="{00000000-000D-0000-FFFF-FFFF00000000}"/>
  </bookViews>
  <sheets>
    <sheet name="NOTA" sheetId="1" r:id="rId1"/>
    <sheet name="Sheet1" sheetId="22" r:id="rId2"/>
    <sheet name="PAJAK" sheetId="2" r:id="rId3"/>
    <sheet name="TOPLA (2)" sheetId="21" r:id="rId4"/>
    <sheet name="KENKO" sheetId="4" r:id="rId5"/>
    <sheet name="KALINDO" sheetId="7" r:id="rId6"/>
    <sheet name="ATALI" sheetId="5" r:id="rId7"/>
    <sheet name="99" sheetId="6" r:id="rId8"/>
    <sheet name="SDI" sheetId="10" r:id="rId9"/>
    <sheet name="SAJ" sheetId="8" r:id="rId10"/>
    <sheet name="MGN" sheetId="9" r:id="rId11"/>
    <sheet name="LIE" sheetId="11" r:id="rId12"/>
    <sheet name="LMA" sheetId="12" r:id="rId13"/>
    <sheet name="PARAMA" sheetId="13" r:id="rId14"/>
    <sheet name="RAP" sheetId="14" r:id="rId15"/>
    <sheet name="NCL" sheetId="17" r:id="rId16"/>
    <sheet name="TOPLA" sheetId="19" r:id="rId17"/>
    <sheet name="VAR" sheetId="3" r:id="rId18"/>
  </sheets>
  <externalReferences>
    <externalReference r:id="rId19"/>
    <externalReference r:id="rId20"/>
    <externalReference r:id="rId21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VAR!$B$4</definedName>
    <definedName name="JML_NOTA_MSK">VAR!$B$1</definedName>
    <definedName name="MAX_ROW">VAR!$B$2</definedName>
    <definedName name="MONTH">[2]var!$F$5</definedName>
    <definedName name="NM_FAKTUR">VAR!$B$3</definedName>
    <definedName name="PATH">[2]var!$F$3</definedName>
    <definedName name="POINTER_ROW">'[2]1'!$2:$2</definedName>
    <definedName name="PPN">VAR!$B$5</definedName>
    <definedName name="YEAR">[2]var!$F$4</definedName>
  </definedNames>
  <calcPr calcId="191029" calcMode="manual"/>
  <pivotCaches>
    <pivotCache cacheId="15" r:id="rId2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5" i="22" l="1"/>
  <c r="J236" i="22"/>
  <c r="J237" i="22"/>
  <c r="J238" i="22"/>
  <c r="S235" i="22"/>
  <c r="S236" i="22"/>
  <c r="S237" i="22"/>
  <c r="S238" i="22"/>
  <c r="T235" i="22"/>
  <c r="T236" i="22"/>
  <c r="T237" i="22"/>
  <c r="T238" i="22"/>
  <c r="AA235" i="22"/>
  <c r="AA236" i="22"/>
  <c r="AA237" i="22"/>
  <c r="AA238" i="22"/>
  <c r="AB235" i="22"/>
  <c r="AB236" i="22"/>
  <c r="AB237" i="22"/>
  <c r="AB238" i="22"/>
  <c r="AC235" i="22"/>
  <c r="AC236" i="22"/>
  <c r="AC237" i="22"/>
  <c r="AC238" i="22"/>
  <c r="AD235" i="22"/>
  <c r="AD236" i="22"/>
  <c r="AD237" i="22"/>
  <c r="AD238" i="22"/>
  <c r="AE235" i="22"/>
  <c r="AE236" i="22"/>
  <c r="AE237" i="22"/>
  <c r="AE238" i="22"/>
  <c r="AF235" i="22"/>
  <c r="AF236" i="22"/>
  <c r="AF237" i="22"/>
  <c r="AF238" i="22"/>
  <c r="AK235" i="22"/>
  <c r="AK236" i="22"/>
  <c r="AK237" i="22"/>
  <c r="AK238" i="22"/>
  <c r="AM235" i="22"/>
  <c r="AM236" i="22"/>
  <c r="AM237" i="22"/>
  <c r="AM238" i="22"/>
  <c r="J216" i="22"/>
  <c r="J217" i="22"/>
  <c r="J218" i="22"/>
  <c r="J219" i="22"/>
  <c r="J220" i="22"/>
  <c r="J221" i="22"/>
  <c r="J222" i="22"/>
  <c r="J223" i="22"/>
  <c r="J224" i="22"/>
  <c r="J225" i="22"/>
  <c r="J226" i="22"/>
  <c r="J227" i="22"/>
  <c r="J228" i="22"/>
  <c r="J229" i="22"/>
  <c r="J230" i="22"/>
  <c r="J231" i="22"/>
  <c r="J232" i="22"/>
  <c r="J233" i="22"/>
  <c r="J234" i="22"/>
  <c r="S216" i="22"/>
  <c r="S217" i="22"/>
  <c r="S218" i="22"/>
  <c r="S219" i="22"/>
  <c r="S220" i="22"/>
  <c r="S221" i="22"/>
  <c r="S222" i="22"/>
  <c r="S223" i="22"/>
  <c r="S224" i="22"/>
  <c r="S225" i="22"/>
  <c r="S226" i="22"/>
  <c r="S227" i="22"/>
  <c r="S228" i="22"/>
  <c r="S229" i="22"/>
  <c r="S230" i="22"/>
  <c r="S231" i="22"/>
  <c r="S232" i="22"/>
  <c r="S233" i="22"/>
  <c r="S234" i="22"/>
  <c r="T216" i="22"/>
  <c r="T217" i="22"/>
  <c r="T218" i="22"/>
  <c r="T219" i="22"/>
  <c r="T220" i="22"/>
  <c r="T221" i="22"/>
  <c r="T222" i="22"/>
  <c r="T223" i="22"/>
  <c r="T224" i="22"/>
  <c r="T225" i="22"/>
  <c r="T226" i="22"/>
  <c r="T227" i="22"/>
  <c r="T228" i="22"/>
  <c r="T229" i="22"/>
  <c r="T230" i="22"/>
  <c r="T231" i="22"/>
  <c r="T232" i="22"/>
  <c r="T233" i="22"/>
  <c r="T234" i="22"/>
  <c r="AA216" i="22"/>
  <c r="AA217" i="22"/>
  <c r="AA218" i="22"/>
  <c r="AA219" i="22"/>
  <c r="AA220" i="22"/>
  <c r="AA221" i="22"/>
  <c r="AA222" i="22"/>
  <c r="AA223" i="22"/>
  <c r="AA224" i="22"/>
  <c r="AA225" i="22"/>
  <c r="AA226" i="22"/>
  <c r="AA227" i="22"/>
  <c r="AA228" i="22"/>
  <c r="AA229" i="22"/>
  <c r="AA230" i="22"/>
  <c r="AA231" i="22"/>
  <c r="AA232" i="22"/>
  <c r="AA233" i="22"/>
  <c r="AA234" i="22"/>
  <c r="AB216" i="22"/>
  <c r="AB217" i="22"/>
  <c r="AB218" i="22"/>
  <c r="AB219" i="22"/>
  <c r="AB220" i="22"/>
  <c r="AB221" i="22"/>
  <c r="AB222" i="22"/>
  <c r="AB223" i="22"/>
  <c r="AB224" i="22"/>
  <c r="AB225" i="22"/>
  <c r="AB226" i="22"/>
  <c r="AB227" i="22"/>
  <c r="AB228" i="22"/>
  <c r="AB229" i="22"/>
  <c r="AB230" i="22"/>
  <c r="AB231" i="22"/>
  <c r="AB232" i="22"/>
  <c r="AB233" i="22"/>
  <c r="AB234" i="22"/>
  <c r="AC216" i="22"/>
  <c r="AC217" i="22"/>
  <c r="AC218" i="22"/>
  <c r="AC219" i="22"/>
  <c r="AC220" i="22"/>
  <c r="AC221" i="22"/>
  <c r="AC222" i="22"/>
  <c r="AC223" i="22"/>
  <c r="AC224" i="22"/>
  <c r="AC225" i="22"/>
  <c r="AC226" i="22"/>
  <c r="AC227" i="22"/>
  <c r="AC228" i="22"/>
  <c r="AC229" i="22"/>
  <c r="AC230" i="22"/>
  <c r="AC231" i="22"/>
  <c r="AC232" i="22"/>
  <c r="AC233" i="22"/>
  <c r="AC234" i="22"/>
  <c r="AD216" i="22"/>
  <c r="AD217" i="22"/>
  <c r="AD218" i="22"/>
  <c r="AD219" i="22"/>
  <c r="AD220" i="22"/>
  <c r="AD221" i="22"/>
  <c r="AD222" i="22"/>
  <c r="AD223" i="22"/>
  <c r="AD224" i="22"/>
  <c r="AD225" i="22"/>
  <c r="AD226" i="22"/>
  <c r="AD227" i="22"/>
  <c r="AD228" i="22"/>
  <c r="AD229" i="22"/>
  <c r="AD230" i="22"/>
  <c r="AD231" i="22"/>
  <c r="AD232" i="22"/>
  <c r="AD233" i="22"/>
  <c r="AD234" i="22"/>
  <c r="AE216" i="22"/>
  <c r="AE217" i="22"/>
  <c r="AE218" i="22"/>
  <c r="AE219" i="22"/>
  <c r="AE220" i="22"/>
  <c r="AE221" i="22"/>
  <c r="AE222" i="22"/>
  <c r="AE223" i="22"/>
  <c r="AE224" i="22"/>
  <c r="AE225" i="22"/>
  <c r="AE226" i="22"/>
  <c r="AE227" i="22"/>
  <c r="AE228" i="22"/>
  <c r="AE229" i="22"/>
  <c r="AE230" i="22"/>
  <c r="AE231" i="22"/>
  <c r="AE232" i="22"/>
  <c r="AE233" i="22"/>
  <c r="AE234" i="22"/>
  <c r="AF216" i="22"/>
  <c r="AF217" i="22"/>
  <c r="AF218" i="22"/>
  <c r="AF219" i="22"/>
  <c r="AF220" i="22"/>
  <c r="AF221" i="22"/>
  <c r="AF222" i="22"/>
  <c r="AF223" i="22"/>
  <c r="AF224" i="22"/>
  <c r="AF225" i="22"/>
  <c r="AF226" i="22"/>
  <c r="AF227" i="22"/>
  <c r="AF228" i="22"/>
  <c r="AF229" i="22"/>
  <c r="AF230" i="22"/>
  <c r="AF231" i="22"/>
  <c r="AF232" i="22"/>
  <c r="AF233" i="22"/>
  <c r="AF234" i="22"/>
  <c r="AK216" i="22"/>
  <c r="AK217" i="22"/>
  <c r="AK218" i="22"/>
  <c r="AK219" i="22"/>
  <c r="AK220" i="22"/>
  <c r="AK221" i="22"/>
  <c r="AK222" i="22"/>
  <c r="AK223" i="22"/>
  <c r="AK224" i="22"/>
  <c r="AK225" i="22"/>
  <c r="AK226" i="22"/>
  <c r="AK227" i="22"/>
  <c r="AK228" i="22"/>
  <c r="AK229" i="22"/>
  <c r="AK230" i="22"/>
  <c r="AK231" i="22"/>
  <c r="AK232" i="22"/>
  <c r="AK233" i="22"/>
  <c r="AK234" i="22"/>
  <c r="AM216" i="22"/>
  <c r="AM217" i="22"/>
  <c r="AM218" i="22"/>
  <c r="AM219" i="22"/>
  <c r="AM220" i="22"/>
  <c r="AM221" i="22"/>
  <c r="AM222" i="22"/>
  <c r="AM223" i="22"/>
  <c r="AM224" i="22"/>
  <c r="AM225" i="22"/>
  <c r="AM226" i="22"/>
  <c r="AM227" i="22"/>
  <c r="AM228" i="22"/>
  <c r="AM229" i="22"/>
  <c r="AM230" i="22"/>
  <c r="AM231" i="22"/>
  <c r="AM232" i="22"/>
  <c r="AM233" i="22"/>
  <c r="AM234" i="22"/>
  <c r="J86" i="22" l="1"/>
  <c r="J87" i="22"/>
  <c r="J88" i="22"/>
  <c r="J89" i="22"/>
  <c r="J90" i="22"/>
  <c r="J91" i="22"/>
  <c r="J92" i="22"/>
  <c r="J93" i="22"/>
  <c r="J94" i="22"/>
  <c r="J95" i="22"/>
  <c r="J96" i="22"/>
  <c r="J97" i="22"/>
  <c r="J98" i="22"/>
  <c r="J99" i="22"/>
  <c r="J100" i="22"/>
  <c r="J101" i="22"/>
  <c r="J102" i="22"/>
  <c r="J103" i="22"/>
  <c r="J104" i="22"/>
  <c r="J105" i="22"/>
  <c r="J106" i="22"/>
  <c r="J107" i="22"/>
  <c r="J108" i="22"/>
  <c r="J109" i="22"/>
  <c r="J110" i="22"/>
  <c r="J111" i="22"/>
  <c r="J112" i="22"/>
  <c r="J113" i="22"/>
  <c r="J114" i="22"/>
  <c r="J115" i="22"/>
  <c r="J116" i="22"/>
  <c r="J117" i="22"/>
  <c r="J118" i="22"/>
  <c r="J119" i="22"/>
  <c r="J120" i="22"/>
  <c r="J121" i="22"/>
  <c r="J122" i="22"/>
  <c r="J123" i="22"/>
  <c r="J124" i="22"/>
  <c r="J125" i="22"/>
  <c r="J126" i="22"/>
  <c r="J127" i="22"/>
  <c r="J128" i="22"/>
  <c r="J129" i="22"/>
  <c r="J130" i="22"/>
  <c r="J131" i="22"/>
  <c r="J132" i="22"/>
  <c r="J133" i="22"/>
  <c r="J134" i="22"/>
  <c r="J135" i="22"/>
  <c r="J136" i="22"/>
  <c r="J137" i="22"/>
  <c r="J138" i="22"/>
  <c r="J139" i="22"/>
  <c r="J140" i="22"/>
  <c r="J141" i="22"/>
  <c r="J142" i="22"/>
  <c r="J143" i="22"/>
  <c r="J144" i="22"/>
  <c r="J145" i="22"/>
  <c r="J146" i="22"/>
  <c r="J147" i="22"/>
  <c r="J148" i="22"/>
  <c r="J149" i="22"/>
  <c r="J150" i="22"/>
  <c r="J151" i="22"/>
  <c r="J152" i="22"/>
  <c r="J153" i="22"/>
  <c r="J154" i="22"/>
  <c r="J155" i="22"/>
  <c r="J156" i="22"/>
  <c r="J157" i="22"/>
  <c r="J158" i="22"/>
  <c r="J159" i="22"/>
  <c r="J160" i="22"/>
  <c r="J161" i="22"/>
  <c r="J162" i="22"/>
  <c r="J163" i="22"/>
  <c r="J164" i="22"/>
  <c r="J165" i="22"/>
  <c r="J166" i="22"/>
  <c r="J167" i="22"/>
  <c r="J168" i="22"/>
  <c r="J169" i="22"/>
  <c r="J170" i="22"/>
  <c r="J171" i="22"/>
  <c r="J172" i="22"/>
  <c r="J173" i="22"/>
  <c r="J174" i="22"/>
  <c r="J175" i="22"/>
  <c r="J176" i="22"/>
  <c r="J177" i="22"/>
  <c r="J178" i="22"/>
  <c r="J179" i="22"/>
  <c r="J180" i="22"/>
  <c r="J181" i="22"/>
  <c r="J182" i="22"/>
  <c r="J183" i="22"/>
  <c r="J184" i="22"/>
  <c r="J185" i="22"/>
  <c r="J186" i="22"/>
  <c r="J187" i="22"/>
  <c r="J188" i="22"/>
  <c r="J189" i="22"/>
  <c r="J190" i="22"/>
  <c r="J191" i="22"/>
  <c r="J192" i="22"/>
  <c r="J193" i="22"/>
  <c r="J194" i="22"/>
  <c r="J195" i="22"/>
  <c r="J196" i="22"/>
  <c r="J197" i="22"/>
  <c r="J198" i="22"/>
  <c r="J199" i="22"/>
  <c r="J200" i="22"/>
  <c r="J201" i="22"/>
  <c r="J202" i="22"/>
  <c r="J203" i="22"/>
  <c r="J204" i="22"/>
  <c r="J205" i="22"/>
  <c r="J206" i="22"/>
  <c r="J207" i="22"/>
  <c r="J208" i="22"/>
  <c r="J209" i="22"/>
  <c r="J210" i="22"/>
  <c r="J211" i="22"/>
  <c r="J212" i="22"/>
  <c r="J213" i="22"/>
  <c r="J214" i="22"/>
  <c r="J215" i="22"/>
  <c r="M88" i="22"/>
  <c r="M89" i="22"/>
  <c r="M90" i="22"/>
  <c r="M91" i="22"/>
  <c r="M94" i="22"/>
  <c r="M96" i="22"/>
  <c r="M104" i="22"/>
  <c r="M105" i="22"/>
  <c r="M106" i="22"/>
  <c r="M107" i="22"/>
  <c r="M108" i="22"/>
  <c r="M109" i="22"/>
  <c r="M110" i="22"/>
  <c r="M112" i="22"/>
  <c r="M172" i="22"/>
  <c r="M173" i="22"/>
  <c r="M177" i="22"/>
  <c r="M178" i="22"/>
  <c r="M179" i="22"/>
  <c r="M180" i="22"/>
  <c r="M181" i="22"/>
  <c r="M182" i="22"/>
  <c r="M183" i="22"/>
  <c r="M184" i="22"/>
  <c r="M185" i="22"/>
  <c r="N88" i="22"/>
  <c r="N89" i="22"/>
  <c r="N90" i="22"/>
  <c r="N91" i="22"/>
  <c r="N94" i="22"/>
  <c r="N96" i="22"/>
  <c r="N104" i="22"/>
  <c r="N105" i="22"/>
  <c r="N106" i="22"/>
  <c r="N107" i="22"/>
  <c r="N108" i="22"/>
  <c r="N109" i="22"/>
  <c r="N110" i="22"/>
  <c r="N112" i="22"/>
  <c r="N172" i="22"/>
  <c r="N173" i="22"/>
  <c r="N177" i="22"/>
  <c r="N178" i="22"/>
  <c r="N179" i="22"/>
  <c r="N180" i="22"/>
  <c r="N181" i="22"/>
  <c r="N182" i="22"/>
  <c r="N183" i="22"/>
  <c r="N184" i="22"/>
  <c r="N185" i="22"/>
  <c r="S86" i="22"/>
  <c r="S87" i="22"/>
  <c r="S92" i="22"/>
  <c r="S93" i="22"/>
  <c r="S95" i="22"/>
  <c r="S97" i="22"/>
  <c r="S98" i="22"/>
  <c r="S99" i="22"/>
  <c r="S100" i="22"/>
  <c r="S101" i="22"/>
  <c r="S102" i="22"/>
  <c r="S103" i="22"/>
  <c r="S111" i="22"/>
  <c r="S113" i="22"/>
  <c r="S114" i="22"/>
  <c r="S115" i="22"/>
  <c r="S116" i="22"/>
  <c r="S117" i="22"/>
  <c r="S118" i="22"/>
  <c r="S119" i="22"/>
  <c r="S120" i="22"/>
  <c r="S121" i="22"/>
  <c r="S122" i="22"/>
  <c r="S123" i="22"/>
  <c r="S124" i="22"/>
  <c r="S125" i="22"/>
  <c r="S126" i="22"/>
  <c r="S127" i="22"/>
  <c r="S128" i="22"/>
  <c r="S129" i="22"/>
  <c r="S130" i="22"/>
  <c r="S131" i="22"/>
  <c r="S132" i="22"/>
  <c r="S133" i="22"/>
  <c r="S134" i="22"/>
  <c r="S135" i="22"/>
  <c r="S136" i="22"/>
  <c r="S137" i="22"/>
  <c r="S138" i="22"/>
  <c r="S139" i="22"/>
  <c r="S140" i="22"/>
  <c r="S141" i="22"/>
  <c r="S142" i="22"/>
  <c r="S143" i="22"/>
  <c r="S144" i="22"/>
  <c r="S145" i="22"/>
  <c r="S146" i="22"/>
  <c r="S147" i="22"/>
  <c r="S148" i="22"/>
  <c r="S149" i="22"/>
  <c r="S150" i="22"/>
  <c r="S151" i="22"/>
  <c r="S152" i="22"/>
  <c r="S153" i="22"/>
  <c r="S154" i="22"/>
  <c r="S155" i="22"/>
  <c r="S156" i="22"/>
  <c r="S157" i="22"/>
  <c r="S158" i="22"/>
  <c r="S159" i="22"/>
  <c r="S160" i="22"/>
  <c r="S161" i="22"/>
  <c r="S162" i="22"/>
  <c r="S163" i="22"/>
  <c r="S164" i="22"/>
  <c r="S165" i="22"/>
  <c r="S166" i="22"/>
  <c r="S167" i="22"/>
  <c r="S168" i="22"/>
  <c r="S169" i="22"/>
  <c r="S170" i="22"/>
  <c r="S175" i="22"/>
  <c r="S187" i="22"/>
  <c r="S188" i="22"/>
  <c r="S189" i="22"/>
  <c r="S192" i="22"/>
  <c r="S193" i="22"/>
  <c r="S194" i="22"/>
  <c r="S195" i="22"/>
  <c r="S196" i="22"/>
  <c r="S197" i="22"/>
  <c r="S198" i="22"/>
  <c r="S199" i="22"/>
  <c r="S200" i="22"/>
  <c r="S201" i="22"/>
  <c r="S202" i="22"/>
  <c r="S203" i="22"/>
  <c r="S204" i="22"/>
  <c r="S207" i="22"/>
  <c r="S208" i="22"/>
  <c r="S209" i="22"/>
  <c r="S210" i="22"/>
  <c r="S211" i="22"/>
  <c r="S212" i="22"/>
  <c r="S213" i="22"/>
  <c r="S214" i="22"/>
  <c r="S215" i="22"/>
  <c r="T86" i="22"/>
  <c r="T87" i="22"/>
  <c r="T92" i="22"/>
  <c r="T93" i="22"/>
  <c r="T95" i="22"/>
  <c r="T97" i="22"/>
  <c r="T98" i="22"/>
  <c r="T99" i="22"/>
  <c r="T100" i="22"/>
  <c r="T101" i="22"/>
  <c r="T102" i="22"/>
  <c r="T103" i="22"/>
  <c r="T111" i="22"/>
  <c r="T113" i="22"/>
  <c r="T114" i="22"/>
  <c r="T115" i="22"/>
  <c r="T116" i="22"/>
  <c r="T117" i="22"/>
  <c r="T118" i="22"/>
  <c r="T119" i="22"/>
  <c r="T120" i="22"/>
  <c r="T121" i="22"/>
  <c r="T122" i="22"/>
  <c r="T123" i="22"/>
  <c r="T124" i="22"/>
  <c r="T125" i="22"/>
  <c r="T126" i="22"/>
  <c r="T127" i="22"/>
  <c r="T128" i="22"/>
  <c r="T129" i="22"/>
  <c r="T130" i="22"/>
  <c r="T131" i="22"/>
  <c r="T132" i="22"/>
  <c r="T133" i="22"/>
  <c r="T134" i="22"/>
  <c r="T135" i="22"/>
  <c r="T136" i="22"/>
  <c r="T137" i="22"/>
  <c r="T138" i="22"/>
  <c r="T139" i="22"/>
  <c r="T140" i="22"/>
  <c r="T141" i="22"/>
  <c r="T142" i="22"/>
  <c r="T143" i="22"/>
  <c r="T144" i="22"/>
  <c r="T145" i="22"/>
  <c r="T146" i="22"/>
  <c r="T147" i="22"/>
  <c r="T148" i="22"/>
  <c r="T149" i="22"/>
  <c r="T150" i="22"/>
  <c r="T151" i="22"/>
  <c r="T152" i="22"/>
  <c r="T153" i="22"/>
  <c r="T154" i="22"/>
  <c r="T155" i="22"/>
  <c r="T156" i="22"/>
  <c r="T157" i="22"/>
  <c r="T158" i="22"/>
  <c r="T159" i="22"/>
  <c r="T160" i="22"/>
  <c r="T161" i="22"/>
  <c r="T162" i="22"/>
  <c r="T163" i="22"/>
  <c r="T164" i="22"/>
  <c r="T165" i="22"/>
  <c r="T166" i="22"/>
  <c r="T167" i="22"/>
  <c r="T168" i="22"/>
  <c r="T169" i="22"/>
  <c r="T170" i="22"/>
  <c r="T175" i="22"/>
  <c r="T187" i="22"/>
  <c r="T188" i="22"/>
  <c r="T189" i="22"/>
  <c r="T192" i="22"/>
  <c r="T193" i="22"/>
  <c r="T194" i="22"/>
  <c r="T195" i="22"/>
  <c r="T196" i="22"/>
  <c r="T197" i="22"/>
  <c r="T198" i="22"/>
  <c r="T199" i="22"/>
  <c r="T200" i="22"/>
  <c r="T201" i="22"/>
  <c r="T202" i="22"/>
  <c r="T203" i="22"/>
  <c r="T204" i="22"/>
  <c r="T207" i="22"/>
  <c r="T208" i="22"/>
  <c r="T209" i="22"/>
  <c r="T210" i="22"/>
  <c r="T211" i="22"/>
  <c r="T212" i="22"/>
  <c r="T213" i="22"/>
  <c r="T214" i="22"/>
  <c r="T215" i="22"/>
  <c r="AA86" i="22"/>
  <c r="AA87" i="22"/>
  <c r="AA88" i="22"/>
  <c r="AA89" i="22"/>
  <c r="AA90" i="22"/>
  <c r="AA91" i="22"/>
  <c r="AA92" i="22"/>
  <c r="AA93" i="22"/>
  <c r="AA94" i="22"/>
  <c r="AA95" i="22"/>
  <c r="AA96" i="22"/>
  <c r="AA97" i="22"/>
  <c r="AA98" i="22"/>
  <c r="AA99" i="22"/>
  <c r="AA100" i="22"/>
  <c r="AA101" i="22"/>
  <c r="AA102" i="22"/>
  <c r="AA103" i="22"/>
  <c r="AA104" i="22"/>
  <c r="AA105" i="22"/>
  <c r="AA106" i="22"/>
  <c r="AA107" i="22"/>
  <c r="AA108" i="22"/>
  <c r="AA109" i="22"/>
  <c r="AA110" i="22"/>
  <c r="AA111" i="22"/>
  <c r="AA112" i="22"/>
  <c r="AA113" i="22"/>
  <c r="AA114" i="22"/>
  <c r="AA115" i="22"/>
  <c r="AA116" i="22"/>
  <c r="AA117" i="22"/>
  <c r="AA118" i="22"/>
  <c r="AA119" i="22"/>
  <c r="AA120" i="22"/>
  <c r="AA121" i="22"/>
  <c r="AA122" i="22"/>
  <c r="AA123" i="22"/>
  <c r="AA124" i="22"/>
  <c r="AA125" i="22"/>
  <c r="AA126" i="22"/>
  <c r="AA127" i="22"/>
  <c r="AA128" i="22"/>
  <c r="AA129" i="22"/>
  <c r="AA130" i="22"/>
  <c r="AA131" i="22"/>
  <c r="AA132" i="22"/>
  <c r="AA133" i="22"/>
  <c r="AA134" i="22"/>
  <c r="AA135" i="22"/>
  <c r="AA136" i="22"/>
  <c r="AA137" i="22"/>
  <c r="AA138" i="22"/>
  <c r="AA139" i="22"/>
  <c r="AA140" i="22"/>
  <c r="AA141" i="22"/>
  <c r="AA142" i="22"/>
  <c r="AA143" i="22"/>
  <c r="AA144" i="22"/>
  <c r="AA145" i="22"/>
  <c r="AA146" i="22"/>
  <c r="AA147" i="22"/>
  <c r="AA148" i="22"/>
  <c r="AA149" i="22"/>
  <c r="AA150" i="22"/>
  <c r="AA151" i="22"/>
  <c r="AA152" i="22"/>
  <c r="AA153" i="22"/>
  <c r="AA154" i="22"/>
  <c r="AA155" i="22"/>
  <c r="AA156" i="22"/>
  <c r="AA157" i="22"/>
  <c r="AA158" i="22"/>
  <c r="AA159" i="22"/>
  <c r="AA160" i="22"/>
  <c r="AA161" i="22"/>
  <c r="AA162" i="22"/>
  <c r="AA163" i="22"/>
  <c r="AA164" i="22"/>
  <c r="AA165" i="22"/>
  <c r="AA166" i="22"/>
  <c r="AA167" i="22"/>
  <c r="AA168" i="22"/>
  <c r="AA169" i="22"/>
  <c r="AA170" i="22"/>
  <c r="AA171" i="22"/>
  <c r="AA172" i="22"/>
  <c r="AA173" i="22"/>
  <c r="AA174" i="22"/>
  <c r="AA175" i="22"/>
  <c r="AA176" i="22"/>
  <c r="AA177" i="22"/>
  <c r="AA178" i="22"/>
  <c r="AA179" i="22"/>
  <c r="AA180" i="22"/>
  <c r="AA181" i="22"/>
  <c r="AA182" i="22"/>
  <c r="AA183" i="22"/>
  <c r="AA184" i="22"/>
  <c r="AA185" i="22"/>
  <c r="AA186" i="22"/>
  <c r="AA187" i="22"/>
  <c r="AA188" i="22"/>
  <c r="AA189" i="22"/>
  <c r="AA190" i="22"/>
  <c r="AA191" i="22"/>
  <c r="AA192" i="22"/>
  <c r="AA193" i="22"/>
  <c r="AA194" i="22"/>
  <c r="AA195" i="22"/>
  <c r="AA196" i="22"/>
  <c r="AA197" i="22"/>
  <c r="AA198" i="22"/>
  <c r="AA199" i="22"/>
  <c r="AA200" i="22"/>
  <c r="AA201" i="22"/>
  <c r="AA202" i="22"/>
  <c r="AA203" i="22"/>
  <c r="AA204" i="22"/>
  <c r="AA205" i="22"/>
  <c r="AA206" i="22"/>
  <c r="AA207" i="22"/>
  <c r="AA208" i="22"/>
  <c r="AA209" i="22"/>
  <c r="AA210" i="22"/>
  <c r="AA211" i="22"/>
  <c r="AA212" i="22"/>
  <c r="AA213" i="22"/>
  <c r="AA214" i="22"/>
  <c r="AA215" i="22"/>
  <c r="AB86" i="22"/>
  <c r="AB87" i="22"/>
  <c r="AB88" i="22"/>
  <c r="AB89" i="22"/>
  <c r="AB90" i="22"/>
  <c r="AB91" i="22"/>
  <c r="AB92" i="22"/>
  <c r="AB93" i="22"/>
  <c r="AB94" i="22"/>
  <c r="AB95" i="22"/>
  <c r="AB96" i="22"/>
  <c r="AB97" i="22"/>
  <c r="AB98" i="22"/>
  <c r="AB99" i="22"/>
  <c r="AB100" i="22"/>
  <c r="AB101" i="22"/>
  <c r="AB102" i="22"/>
  <c r="AB103" i="22"/>
  <c r="AB104" i="22"/>
  <c r="AB105" i="22"/>
  <c r="AB106" i="22"/>
  <c r="AB107" i="22"/>
  <c r="AB108" i="22"/>
  <c r="AB109" i="22"/>
  <c r="AB110" i="22"/>
  <c r="AB111" i="22"/>
  <c r="AB112" i="22"/>
  <c r="AB113" i="22"/>
  <c r="AB114" i="22"/>
  <c r="AB115" i="22"/>
  <c r="AB116" i="22"/>
  <c r="AB117" i="22"/>
  <c r="AB118" i="22"/>
  <c r="AB119" i="22"/>
  <c r="AB120" i="22"/>
  <c r="AB121" i="22"/>
  <c r="AB122" i="22"/>
  <c r="AB123" i="22"/>
  <c r="AB124" i="22"/>
  <c r="AB125" i="22"/>
  <c r="AB126" i="22"/>
  <c r="AB127" i="22"/>
  <c r="AB128" i="22"/>
  <c r="AB129" i="22"/>
  <c r="AB130" i="22"/>
  <c r="AB131" i="22"/>
  <c r="AB132" i="22"/>
  <c r="AB133" i="22"/>
  <c r="AB134" i="22"/>
  <c r="AB135" i="22"/>
  <c r="AB136" i="22"/>
  <c r="AB137" i="22"/>
  <c r="AB138" i="22"/>
  <c r="AB139" i="22"/>
  <c r="AB140" i="22"/>
  <c r="AB141" i="22"/>
  <c r="AB142" i="22"/>
  <c r="AB143" i="22"/>
  <c r="AB144" i="22"/>
  <c r="AB145" i="22"/>
  <c r="AB146" i="22"/>
  <c r="AB147" i="22"/>
  <c r="AB148" i="22"/>
  <c r="AB149" i="22"/>
  <c r="AB150" i="22"/>
  <c r="AB151" i="22"/>
  <c r="AB152" i="22"/>
  <c r="AB153" i="22"/>
  <c r="AB154" i="22"/>
  <c r="AB155" i="22"/>
  <c r="AB156" i="22"/>
  <c r="AB157" i="22"/>
  <c r="AB158" i="22"/>
  <c r="AB159" i="22"/>
  <c r="AB160" i="22"/>
  <c r="AB161" i="22"/>
  <c r="AB162" i="22"/>
  <c r="AB163" i="22"/>
  <c r="AB164" i="22"/>
  <c r="AB165" i="22"/>
  <c r="AB166" i="22"/>
  <c r="AB167" i="22"/>
  <c r="AB168" i="22"/>
  <c r="AB169" i="22"/>
  <c r="AB170" i="22"/>
  <c r="AB171" i="22"/>
  <c r="AB172" i="22"/>
  <c r="AB173" i="22"/>
  <c r="AB174" i="22"/>
  <c r="AB175" i="22"/>
  <c r="AB176" i="22"/>
  <c r="AB177" i="22"/>
  <c r="AB178" i="22"/>
  <c r="AB179" i="22"/>
  <c r="AB180" i="22"/>
  <c r="AB181" i="22"/>
  <c r="AB182" i="22"/>
  <c r="AB183" i="22"/>
  <c r="AB184" i="22"/>
  <c r="AB185" i="22"/>
  <c r="AB186" i="22"/>
  <c r="AB187" i="22"/>
  <c r="AB188" i="22"/>
  <c r="AB189" i="22"/>
  <c r="AB190" i="22"/>
  <c r="AB191" i="22"/>
  <c r="AB192" i="22"/>
  <c r="AB193" i="22"/>
  <c r="AB194" i="22"/>
  <c r="AB195" i="22"/>
  <c r="AB196" i="22"/>
  <c r="AB197" i="22"/>
  <c r="AB198" i="22"/>
  <c r="AB199" i="22"/>
  <c r="AB200" i="22"/>
  <c r="AB201" i="22"/>
  <c r="AB202" i="22"/>
  <c r="AB203" i="22"/>
  <c r="AB204" i="22"/>
  <c r="AB205" i="22"/>
  <c r="AB206" i="22"/>
  <c r="AB207" i="22"/>
  <c r="AB208" i="22"/>
  <c r="AB209" i="22"/>
  <c r="AB210" i="22"/>
  <c r="AB211" i="22"/>
  <c r="AB212" i="22"/>
  <c r="AB213" i="22"/>
  <c r="AB214" i="22"/>
  <c r="AB215" i="22"/>
  <c r="AC86" i="22"/>
  <c r="AC87" i="22"/>
  <c r="AC88" i="22"/>
  <c r="AC89" i="22"/>
  <c r="AC90" i="22"/>
  <c r="AC91" i="22"/>
  <c r="AC92" i="22"/>
  <c r="AC93" i="22"/>
  <c r="AC94" i="22"/>
  <c r="AC95" i="22"/>
  <c r="AC96" i="22"/>
  <c r="AC97" i="22"/>
  <c r="AC98" i="22"/>
  <c r="AC99" i="22"/>
  <c r="AC100" i="22"/>
  <c r="AC101" i="22"/>
  <c r="AC102" i="22"/>
  <c r="AC103" i="22"/>
  <c r="AC104" i="22"/>
  <c r="AC105" i="22"/>
  <c r="AC106" i="22"/>
  <c r="AC107" i="22"/>
  <c r="AC108" i="22"/>
  <c r="AC109" i="22"/>
  <c r="AC110" i="22"/>
  <c r="AC111" i="22"/>
  <c r="AC112" i="22"/>
  <c r="AC113" i="22"/>
  <c r="AC114" i="22"/>
  <c r="AC115" i="22"/>
  <c r="AC116" i="22"/>
  <c r="AC117" i="22"/>
  <c r="AC118" i="22"/>
  <c r="AC119" i="22"/>
  <c r="AC120" i="22"/>
  <c r="AC121" i="22"/>
  <c r="AC122" i="22"/>
  <c r="AC123" i="22"/>
  <c r="AC124" i="22"/>
  <c r="AC125" i="22"/>
  <c r="AC126" i="22"/>
  <c r="AC127" i="22"/>
  <c r="AC128" i="22"/>
  <c r="AC129" i="22"/>
  <c r="AC130" i="22"/>
  <c r="AC131" i="22"/>
  <c r="AC132" i="22"/>
  <c r="AC133" i="22"/>
  <c r="AC134" i="22"/>
  <c r="AC135" i="22"/>
  <c r="AC136" i="22"/>
  <c r="AC137" i="22"/>
  <c r="AC138" i="22"/>
  <c r="AC139" i="22"/>
  <c r="AC140" i="22"/>
  <c r="AC141" i="22"/>
  <c r="AC142" i="22"/>
  <c r="AC143" i="22"/>
  <c r="AC144" i="22"/>
  <c r="AC145" i="22"/>
  <c r="AC146" i="22"/>
  <c r="AC147" i="22"/>
  <c r="AC148" i="22"/>
  <c r="AC149" i="22"/>
  <c r="AC150" i="22"/>
  <c r="AC151" i="22"/>
  <c r="AC152" i="22"/>
  <c r="AC153" i="22"/>
  <c r="AC154" i="22"/>
  <c r="AC155" i="22"/>
  <c r="AC156" i="22"/>
  <c r="AC157" i="22"/>
  <c r="AC158" i="22"/>
  <c r="AC159" i="22"/>
  <c r="AC160" i="22"/>
  <c r="AC161" i="22"/>
  <c r="AC162" i="22"/>
  <c r="AC163" i="22"/>
  <c r="AC164" i="22"/>
  <c r="AC165" i="22"/>
  <c r="AC166" i="22"/>
  <c r="AC167" i="22"/>
  <c r="AC168" i="22"/>
  <c r="AC169" i="22"/>
  <c r="AC170" i="22"/>
  <c r="AC171" i="22"/>
  <c r="AC172" i="22"/>
  <c r="AC173" i="22"/>
  <c r="AC174" i="22"/>
  <c r="AC175" i="22"/>
  <c r="AC176" i="22"/>
  <c r="AC177" i="22"/>
  <c r="AC178" i="22"/>
  <c r="AC179" i="22"/>
  <c r="AC180" i="22"/>
  <c r="AC181" i="22"/>
  <c r="AC182" i="22"/>
  <c r="AC183" i="22"/>
  <c r="AC184" i="22"/>
  <c r="AC185" i="22"/>
  <c r="AC186" i="22"/>
  <c r="AC187" i="22"/>
  <c r="AC188" i="22"/>
  <c r="AC189" i="22"/>
  <c r="AC190" i="22"/>
  <c r="AC191" i="22"/>
  <c r="AC192" i="22"/>
  <c r="AC193" i="22"/>
  <c r="AC194" i="22"/>
  <c r="AC195" i="22"/>
  <c r="AC196" i="22"/>
  <c r="AC197" i="22"/>
  <c r="AC198" i="22"/>
  <c r="AC199" i="22"/>
  <c r="AC200" i="22"/>
  <c r="AC201" i="22"/>
  <c r="AC202" i="22"/>
  <c r="AC203" i="22"/>
  <c r="AC204" i="22"/>
  <c r="AC205" i="22"/>
  <c r="AC206" i="22"/>
  <c r="AC207" i="22"/>
  <c r="AC208" i="22"/>
  <c r="AC209" i="22"/>
  <c r="AC210" i="22"/>
  <c r="AC211" i="22"/>
  <c r="AC212" i="22"/>
  <c r="AC213" i="22"/>
  <c r="AC214" i="22"/>
  <c r="AC215" i="22"/>
  <c r="AK86" i="22"/>
  <c r="AK87" i="22"/>
  <c r="AK88" i="22"/>
  <c r="AK89" i="22"/>
  <c r="AK90" i="22"/>
  <c r="AK91" i="22"/>
  <c r="AK92" i="22"/>
  <c r="AK93" i="22"/>
  <c r="AK94" i="22"/>
  <c r="AK95" i="22"/>
  <c r="AK96" i="22"/>
  <c r="AK97" i="22"/>
  <c r="AK98" i="22"/>
  <c r="AK99" i="22"/>
  <c r="AK100" i="22"/>
  <c r="AK101" i="22"/>
  <c r="AK102" i="22"/>
  <c r="AK103" i="22"/>
  <c r="AK104" i="22"/>
  <c r="AK105" i="22"/>
  <c r="AK106" i="22"/>
  <c r="AK107" i="22"/>
  <c r="AK108" i="22"/>
  <c r="AK109" i="22"/>
  <c r="AK110" i="22"/>
  <c r="AK111" i="22"/>
  <c r="AK112" i="22"/>
  <c r="AK113" i="22"/>
  <c r="AK114" i="22"/>
  <c r="AK115" i="22"/>
  <c r="AK116" i="22"/>
  <c r="AK117" i="22"/>
  <c r="AK118" i="22"/>
  <c r="AK119" i="22"/>
  <c r="AK120" i="22"/>
  <c r="AK121" i="22"/>
  <c r="AK122" i="22"/>
  <c r="AK123" i="22"/>
  <c r="AK124" i="22"/>
  <c r="AK125" i="22"/>
  <c r="AK126" i="22"/>
  <c r="AK127" i="22"/>
  <c r="AK128" i="22"/>
  <c r="AK129" i="22"/>
  <c r="AK130" i="22"/>
  <c r="AK131" i="22"/>
  <c r="AK132" i="22"/>
  <c r="AK133" i="22"/>
  <c r="AK134" i="22"/>
  <c r="AK135" i="22"/>
  <c r="AK136" i="22"/>
  <c r="AK137" i="22"/>
  <c r="AK138" i="22"/>
  <c r="AK139" i="22"/>
  <c r="AK140" i="22"/>
  <c r="AK141" i="22"/>
  <c r="AK142" i="22"/>
  <c r="AK143" i="22"/>
  <c r="AK144" i="22"/>
  <c r="AK145" i="22"/>
  <c r="AK146" i="22"/>
  <c r="AK147" i="22"/>
  <c r="AK148" i="22"/>
  <c r="AK149" i="22"/>
  <c r="AK150" i="22"/>
  <c r="AK151" i="22"/>
  <c r="AK152" i="22"/>
  <c r="AK153" i="22"/>
  <c r="AK154" i="22"/>
  <c r="AK155" i="22"/>
  <c r="AK156" i="22"/>
  <c r="AK157" i="22"/>
  <c r="AK158" i="22"/>
  <c r="AK159" i="22"/>
  <c r="AK160" i="22"/>
  <c r="AK161" i="22"/>
  <c r="AK162" i="22"/>
  <c r="AK163" i="22"/>
  <c r="AK164" i="22"/>
  <c r="AK165" i="22"/>
  <c r="AK166" i="22"/>
  <c r="AK167" i="22"/>
  <c r="AK168" i="22"/>
  <c r="AK169" i="22"/>
  <c r="AK170" i="22"/>
  <c r="AK171" i="22"/>
  <c r="AK172" i="22"/>
  <c r="AK173" i="22"/>
  <c r="AK174" i="22"/>
  <c r="AK175" i="22"/>
  <c r="AK176" i="22"/>
  <c r="AK177" i="22"/>
  <c r="AK178" i="22"/>
  <c r="AK179" i="22"/>
  <c r="AK180" i="22"/>
  <c r="AK181" i="22"/>
  <c r="AK182" i="22"/>
  <c r="AK183" i="22"/>
  <c r="AK184" i="22"/>
  <c r="AK185" i="22"/>
  <c r="AK186" i="22"/>
  <c r="AK187" i="22"/>
  <c r="AK188" i="22"/>
  <c r="AK189" i="22"/>
  <c r="AK190" i="22"/>
  <c r="AK191" i="22"/>
  <c r="AK192" i="22"/>
  <c r="AK193" i="22"/>
  <c r="AK194" i="22"/>
  <c r="AK195" i="22"/>
  <c r="AK196" i="22"/>
  <c r="AK197" i="22"/>
  <c r="AK198" i="22"/>
  <c r="AK199" i="22"/>
  <c r="AK200" i="22"/>
  <c r="AK201" i="22"/>
  <c r="AK202" i="22"/>
  <c r="AK203" i="22"/>
  <c r="AK204" i="22"/>
  <c r="AK205" i="22"/>
  <c r="AK206" i="22"/>
  <c r="AK207" i="22"/>
  <c r="AK208" i="22"/>
  <c r="AK209" i="22"/>
  <c r="AK210" i="22"/>
  <c r="AK211" i="22"/>
  <c r="AK212" i="22"/>
  <c r="AK213" i="22"/>
  <c r="AK214" i="22"/>
  <c r="AK215" i="22"/>
  <c r="AM86" i="22"/>
  <c r="AM87" i="22"/>
  <c r="AM88" i="22"/>
  <c r="AM89" i="22"/>
  <c r="AM90" i="22"/>
  <c r="AM91" i="22"/>
  <c r="AM92" i="22"/>
  <c r="AM93" i="22"/>
  <c r="AM94" i="22"/>
  <c r="AM95" i="22"/>
  <c r="AM96" i="22"/>
  <c r="AM97" i="22"/>
  <c r="AM98" i="22"/>
  <c r="AM99" i="22"/>
  <c r="AM100" i="22"/>
  <c r="AM101" i="22"/>
  <c r="AM102" i="22"/>
  <c r="AM103" i="22"/>
  <c r="AM104" i="22"/>
  <c r="AM105" i="22"/>
  <c r="AM106" i="22"/>
  <c r="AM107" i="22"/>
  <c r="AM108" i="22"/>
  <c r="AM109" i="22"/>
  <c r="AM110" i="22"/>
  <c r="AM111" i="22"/>
  <c r="AM112" i="22"/>
  <c r="AM113" i="22"/>
  <c r="AM114" i="22"/>
  <c r="AM115" i="22"/>
  <c r="AM116" i="22"/>
  <c r="AM117" i="22"/>
  <c r="AM118" i="22"/>
  <c r="AM119" i="22"/>
  <c r="AM120" i="22"/>
  <c r="AM121" i="22"/>
  <c r="AM122" i="22"/>
  <c r="AM123" i="22"/>
  <c r="AM124" i="22"/>
  <c r="AM125" i="22"/>
  <c r="AM126" i="22"/>
  <c r="AM127" i="22"/>
  <c r="AM128" i="22"/>
  <c r="AM129" i="22"/>
  <c r="AM130" i="22"/>
  <c r="AM131" i="22"/>
  <c r="AM132" i="22"/>
  <c r="AM133" i="22"/>
  <c r="AM134" i="22"/>
  <c r="AM135" i="22"/>
  <c r="AM136" i="22"/>
  <c r="AM137" i="22"/>
  <c r="AM138" i="22"/>
  <c r="AM139" i="22"/>
  <c r="AM140" i="22"/>
  <c r="AM141" i="22"/>
  <c r="AM142" i="22"/>
  <c r="AM143" i="22"/>
  <c r="AM144" i="22"/>
  <c r="AM145" i="22"/>
  <c r="AM146" i="22"/>
  <c r="AM147" i="22"/>
  <c r="AM148" i="22"/>
  <c r="AM149" i="22"/>
  <c r="AM150" i="22"/>
  <c r="AM151" i="22"/>
  <c r="AM152" i="22"/>
  <c r="AM153" i="22"/>
  <c r="AM154" i="22"/>
  <c r="AM155" i="22"/>
  <c r="AM156" i="22"/>
  <c r="AM157" i="22"/>
  <c r="AM158" i="22"/>
  <c r="AM159" i="22"/>
  <c r="AM160" i="22"/>
  <c r="AM161" i="22"/>
  <c r="AM162" i="22"/>
  <c r="AM163" i="22"/>
  <c r="AM164" i="22"/>
  <c r="AM165" i="22"/>
  <c r="AM166" i="22"/>
  <c r="AM167" i="22"/>
  <c r="AM168" i="22"/>
  <c r="AM169" i="22"/>
  <c r="AM170" i="22"/>
  <c r="AM171" i="22"/>
  <c r="AM172" i="22"/>
  <c r="AM173" i="22"/>
  <c r="AM174" i="22"/>
  <c r="AM175" i="22"/>
  <c r="AM176" i="22"/>
  <c r="AM177" i="22"/>
  <c r="AM178" i="22"/>
  <c r="AM179" i="22"/>
  <c r="AM180" i="22"/>
  <c r="AM181" i="22"/>
  <c r="AM182" i="22"/>
  <c r="AM183" i="22"/>
  <c r="AM184" i="22"/>
  <c r="AM185" i="22"/>
  <c r="AM186" i="22"/>
  <c r="AM187" i="22"/>
  <c r="AM188" i="22"/>
  <c r="AM189" i="22"/>
  <c r="AM190" i="22"/>
  <c r="AM191" i="22"/>
  <c r="AM192" i="22"/>
  <c r="AM193" i="22"/>
  <c r="AM194" i="22"/>
  <c r="AM195" i="22"/>
  <c r="AM196" i="22"/>
  <c r="AM197" i="22"/>
  <c r="AM198" i="22"/>
  <c r="AM199" i="22"/>
  <c r="AM200" i="22"/>
  <c r="AM201" i="22"/>
  <c r="AM202" i="22"/>
  <c r="AM203" i="22"/>
  <c r="AM204" i="22"/>
  <c r="AM205" i="22"/>
  <c r="AM206" i="22"/>
  <c r="AM207" i="22"/>
  <c r="AM208" i="22"/>
  <c r="AM209" i="22"/>
  <c r="AM210" i="22"/>
  <c r="AM211" i="22"/>
  <c r="AM212" i="22"/>
  <c r="AM213" i="22"/>
  <c r="AM214" i="22"/>
  <c r="AM215" i="22"/>
  <c r="J77" i="22"/>
  <c r="J78" i="22"/>
  <c r="J79" i="22"/>
  <c r="J80" i="22"/>
  <c r="J81" i="22"/>
  <c r="J82" i="22"/>
  <c r="J83" i="22"/>
  <c r="J84" i="22"/>
  <c r="J85" i="22"/>
  <c r="M80" i="22"/>
  <c r="M81" i="22"/>
  <c r="M82" i="22"/>
  <c r="M83" i="22"/>
  <c r="N80" i="22"/>
  <c r="N81" i="22"/>
  <c r="N82" i="22"/>
  <c r="N83" i="22"/>
  <c r="S77" i="22"/>
  <c r="S78" i="22"/>
  <c r="S79" i="22"/>
  <c r="S84" i="22"/>
  <c r="S85" i="22"/>
  <c r="T77" i="22"/>
  <c r="T78" i="22"/>
  <c r="T79" i="22"/>
  <c r="T84" i="22"/>
  <c r="T85" i="22"/>
  <c r="AA77" i="22"/>
  <c r="AA78" i="22"/>
  <c r="AA79" i="22"/>
  <c r="AA80" i="22"/>
  <c r="AA81" i="22"/>
  <c r="AA82" i="22"/>
  <c r="AA83" i="22"/>
  <c r="AA84" i="22"/>
  <c r="AA85" i="22"/>
  <c r="AB77" i="22"/>
  <c r="AB78" i="22"/>
  <c r="AB79" i="22"/>
  <c r="AB80" i="22"/>
  <c r="AB81" i="22"/>
  <c r="AB82" i="22"/>
  <c r="AB83" i="22"/>
  <c r="AB84" i="22"/>
  <c r="AB85" i="22"/>
  <c r="AC77" i="22"/>
  <c r="AC78" i="22"/>
  <c r="AC79" i="22"/>
  <c r="AC80" i="22"/>
  <c r="AC81" i="22"/>
  <c r="AC82" i="22"/>
  <c r="AC83" i="22"/>
  <c r="AC84" i="22"/>
  <c r="AC85" i="22"/>
  <c r="AK77" i="22"/>
  <c r="AK78" i="22"/>
  <c r="AK79" i="22"/>
  <c r="AK80" i="22"/>
  <c r="AK81" i="22"/>
  <c r="AK82" i="22"/>
  <c r="AK83" i="22"/>
  <c r="AK84" i="22"/>
  <c r="AK85" i="22"/>
  <c r="AM77" i="22"/>
  <c r="AM78" i="22"/>
  <c r="AM79" i="22"/>
  <c r="AM80" i="22"/>
  <c r="AM81" i="22"/>
  <c r="AM82" i="22"/>
  <c r="AM83" i="22"/>
  <c r="AM84" i="22"/>
  <c r="AM85" i="22"/>
  <c r="AH151" i="1"/>
  <c r="AP151" i="1"/>
  <c r="AS151" i="1"/>
  <c r="AK43" i="22"/>
  <c r="J74" i="22"/>
  <c r="J75" i="22"/>
  <c r="J76" i="22"/>
  <c r="M74" i="22"/>
  <c r="N74" i="22"/>
  <c r="S75" i="22"/>
  <c r="S76" i="22"/>
  <c r="T75" i="22"/>
  <c r="T76" i="22"/>
  <c r="AA74" i="22"/>
  <c r="AA75" i="22"/>
  <c r="AA76" i="22"/>
  <c r="AB74" i="22"/>
  <c r="AB75" i="22"/>
  <c r="AB76" i="22"/>
  <c r="AC74" i="22"/>
  <c r="AC75" i="22"/>
  <c r="AC76" i="22"/>
  <c r="AK74" i="22"/>
  <c r="AK75" i="22"/>
  <c r="AK76" i="22"/>
  <c r="AM74" i="22"/>
  <c r="AM75" i="22"/>
  <c r="AM76" i="22"/>
  <c r="B87" i="1"/>
  <c r="B88" i="1"/>
  <c r="B89" i="1"/>
  <c r="AH87" i="1"/>
  <c r="AH88" i="1"/>
  <c r="AH89" i="1"/>
  <c r="AP87" i="1"/>
  <c r="AP88" i="1"/>
  <c r="AP89" i="1"/>
  <c r="AS87" i="1"/>
  <c r="AS88" i="1"/>
  <c r="AS89" i="1"/>
  <c r="AV87" i="1"/>
  <c r="AV88" i="1"/>
  <c r="AV89" i="1"/>
  <c r="J43" i="22"/>
  <c r="J44" i="22"/>
  <c r="J45" i="22"/>
  <c r="J46" i="22"/>
  <c r="J47" i="22"/>
  <c r="J48" i="22"/>
  <c r="J49" i="22"/>
  <c r="J50" i="22"/>
  <c r="J51" i="22"/>
  <c r="J52" i="22"/>
  <c r="J53" i="22"/>
  <c r="J54" i="22"/>
  <c r="J55" i="22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M69" i="22"/>
  <c r="N69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T43" i="22"/>
  <c r="T44" i="22"/>
  <c r="T45" i="22"/>
  <c r="T46" i="22"/>
  <c r="T47" i="22"/>
  <c r="T48" i="22"/>
  <c r="T49" i="22"/>
  <c r="T50" i="22"/>
  <c r="T51" i="22"/>
  <c r="T52" i="22"/>
  <c r="T53" i="22"/>
  <c r="T54" i="22"/>
  <c r="T55" i="22"/>
  <c r="T56" i="22"/>
  <c r="T57" i="22"/>
  <c r="T58" i="22"/>
  <c r="T59" i="22"/>
  <c r="T60" i="22"/>
  <c r="T61" i="22"/>
  <c r="T62" i="22"/>
  <c r="T63" i="22"/>
  <c r="T64" i="22"/>
  <c r="T65" i="22"/>
  <c r="T66" i="22"/>
  <c r="AA43" i="22"/>
  <c r="AA44" i="22"/>
  <c r="AA45" i="22"/>
  <c r="AA46" i="22"/>
  <c r="AA47" i="22"/>
  <c r="AA48" i="22"/>
  <c r="AA49" i="22"/>
  <c r="AA50" i="22"/>
  <c r="AA51" i="22"/>
  <c r="AA52" i="22"/>
  <c r="AA53" i="22"/>
  <c r="AA54" i="22"/>
  <c r="AA55" i="22"/>
  <c r="AA56" i="22"/>
  <c r="AA57" i="22"/>
  <c r="AA58" i="22"/>
  <c r="AA59" i="22"/>
  <c r="AA60" i="22"/>
  <c r="AA61" i="22"/>
  <c r="AA62" i="22"/>
  <c r="AA63" i="22"/>
  <c r="AA64" i="22"/>
  <c r="AA65" i="22"/>
  <c r="AA66" i="22"/>
  <c r="AA67" i="22"/>
  <c r="AA68" i="22"/>
  <c r="AA69" i="22"/>
  <c r="AA70" i="22"/>
  <c r="AA71" i="22"/>
  <c r="AA72" i="22"/>
  <c r="AA73" i="22"/>
  <c r="AB43" i="22"/>
  <c r="AB44" i="22"/>
  <c r="AB45" i="22"/>
  <c r="AB46" i="22"/>
  <c r="AB47" i="22"/>
  <c r="AB48" i="22"/>
  <c r="AB49" i="22"/>
  <c r="AB50" i="22"/>
  <c r="AB51" i="22"/>
  <c r="AB52" i="22"/>
  <c r="AB53" i="22"/>
  <c r="AB54" i="22"/>
  <c r="AB55" i="22"/>
  <c r="AB56" i="22"/>
  <c r="AB57" i="22"/>
  <c r="AB58" i="22"/>
  <c r="AB59" i="22"/>
  <c r="AB60" i="22"/>
  <c r="AB61" i="22"/>
  <c r="AB62" i="22"/>
  <c r="AB63" i="22"/>
  <c r="AB64" i="22"/>
  <c r="AB65" i="22"/>
  <c r="AB66" i="22"/>
  <c r="AB67" i="22"/>
  <c r="AB68" i="22"/>
  <c r="AB69" i="22"/>
  <c r="AB70" i="22"/>
  <c r="AB71" i="22"/>
  <c r="AB72" i="22"/>
  <c r="AB73" i="22"/>
  <c r="AC43" i="22"/>
  <c r="AC44" i="22"/>
  <c r="AC45" i="22"/>
  <c r="AC46" i="22"/>
  <c r="AC47" i="22"/>
  <c r="AC48" i="22"/>
  <c r="AC49" i="22"/>
  <c r="AC50" i="22"/>
  <c r="AC51" i="22"/>
  <c r="AC52" i="22"/>
  <c r="AC53" i="22"/>
  <c r="AC54" i="22"/>
  <c r="AC55" i="22"/>
  <c r="AC56" i="22"/>
  <c r="AC57" i="22"/>
  <c r="AC58" i="22"/>
  <c r="AC59" i="22"/>
  <c r="AC60" i="22"/>
  <c r="AC61" i="22"/>
  <c r="AC62" i="22"/>
  <c r="AC63" i="22"/>
  <c r="AC64" i="22"/>
  <c r="AC65" i="22"/>
  <c r="AC66" i="22"/>
  <c r="AC67" i="22"/>
  <c r="AC68" i="22"/>
  <c r="AC69" i="22"/>
  <c r="AC70" i="22"/>
  <c r="AC71" i="22"/>
  <c r="AC72" i="22"/>
  <c r="AC73" i="22"/>
  <c r="AK44" i="22"/>
  <c r="AK45" i="22"/>
  <c r="AK46" i="22"/>
  <c r="AK47" i="22"/>
  <c r="AK48" i="22"/>
  <c r="AK49" i="22"/>
  <c r="AK50" i="22"/>
  <c r="AK51" i="22"/>
  <c r="AK52" i="22"/>
  <c r="AK53" i="22"/>
  <c r="AK54" i="22"/>
  <c r="AK55" i="22"/>
  <c r="AK56" i="22"/>
  <c r="AK57" i="22"/>
  <c r="AK58" i="22"/>
  <c r="AK59" i="22"/>
  <c r="AK60" i="22"/>
  <c r="AK61" i="22"/>
  <c r="AK62" i="22"/>
  <c r="AK63" i="22"/>
  <c r="AK64" i="22"/>
  <c r="AK65" i="22"/>
  <c r="AK66" i="22"/>
  <c r="AK67" i="22"/>
  <c r="AK68" i="22"/>
  <c r="AK69" i="22"/>
  <c r="AK70" i="22"/>
  <c r="AK71" i="22"/>
  <c r="AK72" i="22"/>
  <c r="AK73" i="22"/>
  <c r="AM43" i="22"/>
  <c r="AM44" i="22"/>
  <c r="AM45" i="22"/>
  <c r="AM46" i="22"/>
  <c r="AM47" i="22"/>
  <c r="AM48" i="22"/>
  <c r="AM49" i="22"/>
  <c r="AM50" i="22"/>
  <c r="AM51" i="22"/>
  <c r="AM52" i="22"/>
  <c r="AM53" i="22"/>
  <c r="AM54" i="22"/>
  <c r="AM55" i="22"/>
  <c r="AM56" i="22"/>
  <c r="AM57" i="22"/>
  <c r="AM58" i="22"/>
  <c r="AM59" i="22"/>
  <c r="AM60" i="22"/>
  <c r="AM61" i="22"/>
  <c r="AM62" i="22"/>
  <c r="AM63" i="22"/>
  <c r="AM64" i="22"/>
  <c r="AM65" i="22"/>
  <c r="AM66" i="22"/>
  <c r="AM67" i="22"/>
  <c r="AM68" i="22"/>
  <c r="AM69" i="22"/>
  <c r="AM70" i="22"/>
  <c r="AM71" i="22"/>
  <c r="AM72" i="22"/>
  <c r="AM73" i="22"/>
  <c r="B76" i="1"/>
  <c r="AH75" i="1"/>
  <c r="AH76" i="1"/>
  <c r="AO75" i="1"/>
  <c r="AP75" i="1"/>
  <c r="AP76" i="1"/>
  <c r="AS75" i="1"/>
  <c r="AS76" i="1"/>
  <c r="AV75" i="1"/>
  <c r="AV76" i="1"/>
  <c r="B74" i="1"/>
  <c r="B77" i="1"/>
  <c r="D74" i="1"/>
  <c r="D77" i="1"/>
  <c r="AE74" i="1"/>
  <c r="AE77" i="1"/>
  <c r="AF74" i="1"/>
  <c r="AF77" i="1"/>
  <c r="AG74" i="1"/>
  <c r="AG77" i="1"/>
  <c r="AH73" i="1"/>
  <c r="AH74" i="1"/>
  <c r="X74" i="1" s="1"/>
  <c r="AH77" i="1"/>
  <c r="X77" i="1" s="1"/>
  <c r="AI74" i="1"/>
  <c r="AI77" i="1"/>
  <c r="AJ74" i="1"/>
  <c r="AJ77" i="1"/>
  <c r="AK74" i="1"/>
  <c r="AK77" i="1"/>
  <c r="AL74" i="1"/>
  <c r="AL77" i="1"/>
  <c r="AM74" i="1"/>
  <c r="AM77" i="1"/>
  <c r="AO73" i="1"/>
  <c r="AO74" i="1"/>
  <c r="AO77" i="1"/>
  <c r="AP73" i="1"/>
  <c r="AP74" i="1"/>
  <c r="AP77" i="1"/>
  <c r="AQ74" i="1"/>
  <c r="AQ77" i="1"/>
  <c r="AR74" i="1"/>
  <c r="AR77" i="1"/>
  <c r="AS73" i="1"/>
  <c r="AS74" i="1"/>
  <c r="AS77" i="1"/>
  <c r="AU74" i="1"/>
  <c r="AU77" i="1"/>
  <c r="AV73" i="1"/>
  <c r="AV74" i="1"/>
  <c r="AV77" i="1"/>
  <c r="AW74" i="1"/>
  <c r="AW77" i="1"/>
  <c r="AX74" i="1"/>
  <c r="AX77" i="1"/>
  <c r="AY74" i="1"/>
  <c r="AY77" i="1"/>
  <c r="AZ74" i="1"/>
  <c r="AZ77" i="1"/>
  <c r="B72" i="1"/>
  <c r="D72" i="1"/>
  <c r="AE72" i="1"/>
  <c r="AF72" i="1"/>
  <c r="AG72" i="1"/>
  <c r="AH72" i="1"/>
  <c r="X72" i="1" s="1"/>
  <c r="AI72" i="1"/>
  <c r="AJ72" i="1"/>
  <c r="AK72" i="1"/>
  <c r="AL72" i="1"/>
  <c r="AM72" i="1"/>
  <c r="AO72" i="1"/>
  <c r="AP72" i="1"/>
  <c r="AQ72" i="1"/>
  <c r="AR72" i="1"/>
  <c r="AS72" i="1"/>
  <c r="AU72" i="1"/>
  <c r="AV72" i="1"/>
  <c r="AW72" i="1"/>
  <c r="AX72" i="1"/>
  <c r="AY72" i="1"/>
  <c r="AZ72" i="1"/>
  <c r="B70" i="1"/>
  <c r="B71" i="1"/>
  <c r="AH69" i="1"/>
  <c r="AH70" i="1"/>
  <c r="AH71" i="1"/>
  <c r="AO69" i="1"/>
  <c r="AP69" i="1"/>
  <c r="AP70" i="1"/>
  <c r="AP71" i="1"/>
  <c r="AS69" i="1"/>
  <c r="AS70" i="1"/>
  <c r="AS71" i="1"/>
  <c r="AV69" i="1"/>
  <c r="AV70" i="1"/>
  <c r="AV71" i="1"/>
  <c r="N95" i="1"/>
  <c r="N85" i="1"/>
  <c r="B67" i="1"/>
  <c r="B3" i="1"/>
  <c r="B5" i="1"/>
  <c r="B7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6" i="1"/>
  <c r="B27" i="1"/>
  <c r="B29" i="1"/>
  <c r="B30" i="1"/>
  <c r="B32" i="1"/>
  <c r="B33" i="1"/>
  <c r="B34" i="1"/>
  <c r="B35" i="1"/>
  <c r="B36" i="1"/>
  <c r="B37" i="1"/>
  <c r="B39" i="1"/>
  <c r="B40" i="1"/>
  <c r="B41" i="1"/>
  <c r="B42" i="1"/>
  <c r="B43" i="1"/>
  <c r="B44" i="1"/>
  <c r="B45" i="1"/>
  <c r="B47" i="1"/>
  <c r="B48" i="1"/>
  <c r="B49" i="1"/>
  <c r="B51" i="1"/>
  <c r="B52" i="1"/>
  <c r="B54" i="1"/>
  <c r="B55" i="1"/>
  <c r="B56" i="1"/>
  <c r="B58" i="1"/>
  <c r="B60" i="1"/>
  <c r="B62" i="1"/>
  <c r="B64" i="1"/>
  <c r="B66" i="1"/>
  <c r="B68" i="1"/>
  <c r="B79" i="1"/>
  <c r="B80" i="1"/>
  <c r="B82" i="1"/>
  <c r="B83" i="1"/>
  <c r="B85" i="1"/>
  <c r="B86" i="1"/>
  <c r="B90" i="1"/>
  <c r="B91" i="1"/>
  <c r="B92" i="1"/>
  <c r="B93" i="1"/>
  <c r="B94" i="1"/>
  <c r="B96" i="1"/>
  <c r="B97" i="1"/>
  <c r="B99" i="1"/>
  <c r="B100" i="1"/>
  <c r="B101" i="1"/>
  <c r="B102" i="1"/>
  <c r="B104" i="1"/>
  <c r="B106" i="1"/>
  <c r="B107" i="1"/>
  <c r="B109" i="1"/>
  <c r="B110" i="1"/>
  <c r="B111" i="1"/>
  <c r="B112" i="1"/>
  <c r="B114" i="1"/>
  <c r="B115" i="1"/>
  <c r="B117" i="1"/>
  <c r="B119" i="1"/>
  <c r="B121" i="1"/>
  <c r="B122" i="1"/>
  <c r="B123" i="1"/>
  <c r="B124" i="1"/>
  <c r="B125" i="1"/>
  <c r="B127" i="1"/>
  <c r="B128" i="1"/>
  <c r="B129" i="1"/>
  <c r="B130" i="1"/>
  <c r="B131" i="1"/>
  <c r="B133" i="1"/>
  <c r="B134" i="1"/>
  <c r="B136" i="1"/>
  <c r="B137" i="1"/>
  <c r="B138" i="1"/>
  <c r="B139" i="1"/>
  <c r="B140" i="1"/>
  <c r="B141" i="1"/>
  <c r="B142" i="1"/>
  <c r="B144" i="1"/>
  <c r="B145" i="1"/>
  <c r="B146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10" i="1"/>
  <c r="B211" i="1"/>
  <c r="B212" i="1"/>
  <c r="B214" i="1"/>
  <c r="B215" i="1"/>
  <c r="B217" i="1"/>
  <c r="B218" i="1"/>
  <c r="B219" i="1"/>
  <c r="B220" i="1"/>
  <c r="B221" i="1"/>
  <c r="B222" i="1"/>
  <c r="B223" i="1"/>
  <c r="B224" i="1"/>
  <c r="B225" i="1"/>
  <c r="B226" i="1"/>
  <c r="B228" i="1"/>
  <c r="B229" i="1"/>
  <c r="B230" i="1"/>
  <c r="B231" i="1"/>
  <c r="B233" i="1"/>
  <c r="B235" i="1"/>
  <c r="B236" i="1"/>
  <c r="B237" i="1"/>
  <c r="B238" i="1"/>
  <c r="B239" i="1"/>
  <c r="B240" i="1"/>
  <c r="B241" i="1"/>
  <c r="B242" i="1"/>
  <c r="B243" i="1"/>
  <c r="B245" i="1"/>
  <c r="B246" i="1"/>
  <c r="B247" i="1"/>
  <c r="B248" i="1"/>
  <c r="B250" i="1"/>
  <c r="B251" i="1"/>
  <c r="B253" i="1"/>
  <c r="B254" i="1"/>
  <c r="B255" i="1"/>
  <c r="B256" i="1"/>
  <c r="B258" i="1"/>
  <c r="B260" i="1"/>
  <c r="B262" i="1"/>
  <c r="B263" i="1"/>
  <c r="B264" i="1"/>
  <c r="B266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6" i="1"/>
  <c r="B288" i="1"/>
  <c r="B290" i="1"/>
  <c r="B291" i="1"/>
  <c r="B293" i="1"/>
  <c r="B295" i="1"/>
  <c r="B296" i="1"/>
  <c r="B297" i="1"/>
  <c r="B298" i="1"/>
  <c r="B300" i="1"/>
  <c r="B302" i="1"/>
  <c r="B303" i="1"/>
  <c r="B304" i="1"/>
  <c r="B306" i="1"/>
  <c r="B307" i="1"/>
  <c r="B309" i="1"/>
  <c r="B310" i="1"/>
  <c r="B312" i="1"/>
  <c r="B313" i="1"/>
  <c r="B314" i="1"/>
  <c r="B315" i="1"/>
  <c r="B316" i="1"/>
  <c r="B317" i="1"/>
  <c r="B319" i="1"/>
  <c r="B320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D60" i="1"/>
  <c r="D62" i="1"/>
  <c r="D64" i="1"/>
  <c r="D68" i="1"/>
  <c r="D80" i="1"/>
  <c r="D83" i="1"/>
  <c r="D94" i="1"/>
  <c r="D97" i="1"/>
  <c r="D102" i="1"/>
  <c r="D104" i="1"/>
  <c r="D107" i="1"/>
  <c r="D112" i="1"/>
  <c r="D115" i="1"/>
  <c r="D117" i="1"/>
  <c r="D119" i="1"/>
  <c r="D125" i="1"/>
  <c r="D131" i="1"/>
  <c r="D134" i="1"/>
  <c r="D142" i="1"/>
  <c r="D146" i="1"/>
  <c r="D159" i="1"/>
  <c r="D191" i="1"/>
  <c r="D208" i="1"/>
  <c r="D212" i="1"/>
  <c r="D215" i="1"/>
  <c r="D226" i="1"/>
  <c r="D231" i="1"/>
  <c r="D233" i="1"/>
  <c r="D243" i="1"/>
  <c r="D248" i="1"/>
  <c r="D251" i="1"/>
  <c r="D256" i="1"/>
  <c r="D258" i="1"/>
  <c r="D260" i="1"/>
  <c r="D264" i="1"/>
  <c r="D266" i="1"/>
  <c r="D284" i="1"/>
  <c r="D286" i="1"/>
  <c r="D288" i="1"/>
  <c r="D298" i="1"/>
  <c r="D300" i="1"/>
  <c r="D304" i="1"/>
  <c r="D307" i="1"/>
  <c r="D310" i="1"/>
  <c r="D317" i="1"/>
  <c r="D320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AE60" i="1"/>
  <c r="AE62" i="1"/>
  <c r="AE64" i="1"/>
  <c r="AE68" i="1"/>
  <c r="AE80" i="1"/>
  <c r="AE83" i="1"/>
  <c r="AE94" i="1"/>
  <c r="AE97" i="1"/>
  <c r="AE102" i="1"/>
  <c r="AE104" i="1"/>
  <c r="AE107" i="1"/>
  <c r="AE112" i="1"/>
  <c r="AE115" i="1"/>
  <c r="AE117" i="1"/>
  <c r="AE119" i="1"/>
  <c r="AE125" i="1"/>
  <c r="AE131" i="1"/>
  <c r="AE134" i="1"/>
  <c r="AE142" i="1"/>
  <c r="AE146" i="1"/>
  <c r="AE159" i="1"/>
  <c r="AE191" i="1"/>
  <c r="AE208" i="1"/>
  <c r="AE212" i="1"/>
  <c r="AE215" i="1"/>
  <c r="AE226" i="1"/>
  <c r="AE231" i="1"/>
  <c r="AE233" i="1"/>
  <c r="AE243" i="1"/>
  <c r="AE248" i="1"/>
  <c r="AE251" i="1"/>
  <c r="AE256" i="1"/>
  <c r="AE258" i="1"/>
  <c r="AE260" i="1"/>
  <c r="AE264" i="1"/>
  <c r="AE266" i="1"/>
  <c r="AE284" i="1"/>
  <c r="AE286" i="1"/>
  <c r="AE288" i="1"/>
  <c r="AE298" i="1"/>
  <c r="AE300" i="1"/>
  <c r="AE304" i="1"/>
  <c r="AE307" i="1"/>
  <c r="AE310" i="1"/>
  <c r="AE317" i="1"/>
  <c r="AE320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F60" i="1"/>
  <c r="AF62" i="1"/>
  <c r="AF64" i="1"/>
  <c r="AF68" i="1"/>
  <c r="AF80" i="1"/>
  <c r="AF83" i="1"/>
  <c r="AF94" i="1"/>
  <c r="AF97" i="1"/>
  <c r="AF102" i="1"/>
  <c r="AF104" i="1"/>
  <c r="AF107" i="1"/>
  <c r="AF112" i="1"/>
  <c r="AF115" i="1"/>
  <c r="AF117" i="1"/>
  <c r="AF119" i="1"/>
  <c r="AF125" i="1"/>
  <c r="AF131" i="1"/>
  <c r="AF134" i="1"/>
  <c r="AF142" i="1"/>
  <c r="AF146" i="1"/>
  <c r="AF159" i="1"/>
  <c r="AF191" i="1"/>
  <c r="AF208" i="1"/>
  <c r="AF212" i="1"/>
  <c r="AF215" i="1"/>
  <c r="AF226" i="1"/>
  <c r="AF231" i="1"/>
  <c r="AF233" i="1"/>
  <c r="AF243" i="1"/>
  <c r="AF248" i="1"/>
  <c r="AF251" i="1"/>
  <c r="AF256" i="1"/>
  <c r="AF258" i="1"/>
  <c r="AF260" i="1"/>
  <c r="AF264" i="1"/>
  <c r="AF266" i="1"/>
  <c r="AF284" i="1"/>
  <c r="AF286" i="1"/>
  <c r="AF288" i="1"/>
  <c r="AF298" i="1"/>
  <c r="AF300" i="1"/>
  <c r="AF304" i="1"/>
  <c r="AF307" i="1"/>
  <c r="AF310" i="1"/>
  <c r="AF317" i="1"/>
  <c r="AF320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G60" i="1"/>
  <c r="AG62" i="1"/>
  <c r="AG64" i="1"/>
  <c r="AG68" i="1"/>
  <c r="AG80" i="1"/>
  <c r="AG83" i="1"/>
  <c r="AG94" i="1"/>
  <c r="AG97" i="1"/>
  <c r="AG102" i="1"/>
  <c r="AG104" i="1"/>
  <c r="AG107" i="1"/>
  <c r="AG112" i="1"/>
  <c r="AG115" i="1"/>
  <c r="AG117" i="1"/>
  <c r="AG119" i="1"/>
  <c r="AG125" i="1"/>
  <c r="AG131" i="1"/>
  <c r="AG134" i="1"/>
  <c r="AG142" i="1"/>
  <c r="AG146" i="1"/>
  <c r="AG159" i="1"/>
  <c r="AG191" i="1"/>
  <c r="AG208" i="1"/>
  <c r="AG212" i="1"/>
  <c r="AG215" i="1"/>
  <c r="AG226" i="1"/>
  <c r="AG231" i="1"/>
  <c r="AG233" i="1"/>
  <c r="AG243" i="1"/>
  <c r="AG248" i="1"/>
  <c r="AG251" i="1"/>
  <c r="AG256" i="1"/>
  <c r="AG258" i="1"/>
  <c r="AG260" i="1"/>
  <c r="AG264" i="1"/>
  <c r="AG266" i="1"/>
  <c r="AG284" i="1"/>
  <c r="AG286" i="1"/>
  <c r="AG288" i="1"/>
  <c r="AG298" i="1"/>
  <c r="AG300" i="1"/>
  <c r="AG304" i="1"/>
  <c r="AG307" i="1"/>
  <c r="AG310" i="1"/>
  <c r="AG317" i="1"/>
  <c r="AG320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H60" i="1"/>
  <c r="X60" i="1" s="1"/>
  <c r="AH61" i="1"/>
  <c r="AH62" i="1"/>
  <c r="X62" i="1" s="1"/>
  <c r="AH63" i="1"/>
  <c r="AH64" i="1"/>
  <c r="X64" i="1" s="1"/>
  <c r="AH65" i="1"/>
  <c r="AH66" i="1"/>
  <c r="AH67" i="1"/>
  <c r="AH68" i="1"/>
  <c r="X68" i="1" s="1"/>
  <c r="AH78" i="1"/>
  <c r="AH79" i="1"/>
  <c r="AH80" i="1"/>
  <c r="X80" i="1" s="1"/>
  <c r="AH81" i="1"/>
  <c r="AH82" i="1"/>
  <c r="AH83" i="1"/>
  <c r="X83" i="1" s="1"/>
  <c r="AH84" i="1"/>
  <c r="AH85" i="1"/>
  <c r="AH86" i="1"/>
  <c r="AH90" i="1"/>
  <c r="AH91" i="1"/>
  <c r="AH92" i="1"/>
  <c r="AH93" i="1"/>
  <c r="AH94" i="1"/>
  <c r="X94" i="1" s="1"/>
  <c r="AH95" i="1"/>
  <c r="AH96" i="1"/>
  <c r="AH97" i="1"/>
  <c r="X97" i="1" s="1"/>
  <c r="AH98" i="1"/>
  <c r="AH99" i="1"/>
  <c r="AH100" i="1"/>
  <c r="AH101" i="1"/>
  <c r="AH102" i="1"/>
  <c r="X102" i="1" s="1"/>
  <c r="AH103" i="1"/>
  <c r="AH104" i="1"/>
  <c r="X104" i="1" s="1"/>
  <c r="AH105" i="1"/>
  <c r="AH106" i="1"/>
  <c r="AH107" i="1"/>
  <c r="X107" i="1" s="1"/>
  <c r="AH108" i="1"/>
  <c r="AH109" i="1"/>
  <c r="AH110" i="1"/>
  <c r="AH111" i="1"/>
  <c r="AH112" i="1"/>
  <c r="X112" i="1" s="1"/>
  <c r="AH113" i="1"/>
  <c r="AH114" i="1"/>
  <c r="AH115" i="1"/>
  <c r="X115" i="1" s="1"/>
  <c r="AH116" i="1"/>
  <c r="AH117" i="1"/>
  <c r="X117" i="1" s="1"/>
  <c r="AH118" i="1"/>
  <c r="AH119" i="1"/>
  <c r="X119" i="1" s="1"/>
  <c r="AH120" i="1"/>
  <c r="AH121" i="1"/>
  <c r="AH122" i="1"/>
  <c r="AH123" i="1"/>
  <c r="AH124" i="1"/>
  <c r="AH125" i="1"/>
  <c r="X125" i="1" s="1"/>
  <c r="AH126" i="1"/>
  <c r="AH127" i="1"/>
  <c r="AH128" i="1"/>
  <c r="AH129" i="1"/>
  <c r="AH130" i="1"/>
  <c r="AH131" i="1"/>
  <c r="X131" i="1" s="1"/>
  <c r="AH132" i="1"/>
  <c r="AH133" i="1"/>
  <c r="AH134" i="1"/>
  <c r="X134" i="1" s="1"/>
  <c r="AH135" i="1"/>
  <c r="AH136" i="1"/>
  <c r="AH137" i="1"/>
  <c r="AH138" i="1"/>
  <c r="AH139" i="1"/>
  <c r="AH140" i="1"/>
  <c r="AH141" i="1"/>
  <c r="AH142" i="1"/>
  <c r="X142" i="1" s="1"/>
  <c r="AH143" i="1"/>
  <c r="AH144" i="1"/>
  <c r="AH145" i="1"/>
  <c r="AH146" i="1"/>
  <c r="X146" i="1" s="1"/>
  <c r="AH147" i="1"/>
  <c r="AH148" i="1"/>
  <c r="AH149" i="1"/>
  <c r="AH150" i="1"/>
  <c r="AH152" i="1"/>
  <c r="AH153" i="1"/>
  <c r="AH154" i="1"/>
  <c r="AH155" i="1"/>
  <c r="AH156" i="1"/>
  <c r="AH157" i="1"/>
  <c r="AH158" i="1"/>
  <c r="AH159" i="1"/>
  <c r="X159" i="1" s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X191" i="1" s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X208" i="1" s="1"/>
  <c r="AH209" i="1"/>
  <c r="AH210" i="1"/>
  <c r="AH211" i="1"/>
  <c r="AH212" i="1"/>
  <c r="X212" i="1" s="1"/>
  <c r="AH213" i="1"/>
  <c r="AH214" i="1"/>
  <c r="AH215" i="1"/>
  <c r="X215" i="1" s="1"/>
  <c r="AH216" i="1"/>
  <c r="AH217" i="1"/>
  <c r="AH218" i="1"/>
  <c r="AH219" i="1"/>
  <c r="AH220" i="1"/>
  <c r="AH221" i="1"/>
  <c r="AH222" i="1"/>
  <c r="AH223" i="1"/>
  <c r="AH224" i="1"/>
  <c r="AH225" i="1"/>
  <c r="AH226" i="1"/>
  <c r="X226" i="1" s="1"/>
  <c r="AH227" i="1"/>
  <c r="AH228" i="1"/>
  <c r="AH229" i="1"/>
  <c r="AH230" i="1"/>
  <c r="AH231" i="1"/>
  <c r="X231" i="1" s="1"/>
  <c r="AH232" i="1"/>
  <c r="AH233" i="1"/>
  <c r="X233" i="1" s="1"/>
  <c r="AH234" i="1"/>
  <c r="AH235" i="1"/>
  <c r="AH236" i="1"/>
  <c r="AH237" i="1"/>
  <c r="AH238" i="1"/>
  <c r="AH239" i="1"/>
  <c r="AH240" i="1"/>
  <c r="AH241" i="1"/>
  <c r="AH242" i="1"/>
  <c r="AH243" i="1"/>
  <c r="X243" i="1" s="1"/>
  <c r="AH244" i="1"/>
  <c r="AH245" i="1"/>
  <c r="AH246" i="1"/>
  <c r="AH247" i="1"/>
  <c r="AH248" i="1"/>
  <c r="X248" i="1" s="1"/>
  <c r="AH249" i="1"/>
  <c r="AH250" i="1"/>
  <c r="AH251" i="1"/>
  <c r="X251" i="1" s="1"/>
  <c r="AH252" i="1"/>
  <c r="AH253" i="1"/>
  <c r="AH254" i="1"/>
  <c r="AH255" i="1"/>
  <c r="AH256" i="1"/>
  <c r="X256" i="1" s="1"/>
  <c r="AH257" i="1"/>
  <c r="AH258" i="1"/>
  <c r="X258" i="1" s="1"/>
  <c r="AH259" i="1"/>
  <c r="AH260" i="1"/>
  <c r="X260" i="1" s="1"/>
  <c r="AH261" i="1"/>
  <c r="AH262" i="1"/>
  <c r="AH263" i="1"/>
  <c r="AH264" i="1"/>
  <c r="X264" i="1" s="1"/>
  <c r="AH265" i="1"/>
  <c r="AH266" i="1"/>
  <c r="X266" i="1" s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X284" i="1" s="1"/>
  <c r="AH285" i="1"/>
  <c r="AH286" i="1"/>
  <c r="X286" i="1" s="1"/>
  <c r="AH287" i="1"/>
  <c r="AH288" i="1"/>
  <c r="X288" i="1" s="1"/>
  <c r="AH289" i="1"/>
  <c r="AH290" i="1"/>
  <c r="AH291" i="1"/>
  <c r="AH292" i="1"/>
  <c r="AH293" i="1"/>
  <c r="AH294" i="1"/>
  <c r="AH295" i="1"/>
  <c r="AH296" i="1"/>
  <c r="AH297" i="1"/>
  <c r="AH298" i="1"/>
  <c r="X298" i="1" s="1"/>
  <c r="AH299" i="1"/>
  <c r="AH300" i="1"/>
  <c r="X300" i="1" s="1"/>
  <c r="AH301" i="1"/>
  <c r="AH302" i="1"/>
  <c r="AH303" i="1"/>
  <c r="AH304" i="1"/>
  <c r="X304" i="1" s="1"/>
  <c r="AH305" i="1"/>
  <c r="AH306" i="1"/>
  <c r="AH307" i="1"/>
  <c r="X307" i="1" s="1"/>
  <c r="AH308" i="1"/>
  <c r="AH309" i="1"/>
  <c r="AH310" i="1"/>
  <c r="X310" i="1" s="1"/>
  <c r="AH311" i="1"/>
  <c r="AH312" i="1"/>
  <c r="AH313" i="1"/>
  <c r="AH314" i="1"/>
  <c r="AH315" i="1"/>
  <c r="AH316" i="1"/>
  <c r="AH317" i="1"/>
  <c r="X317" i="1" s="1"/>
  <c r="AH318" i="1"/>
  <c r="AH319" i="1"/>
  <c r="AH320" i="1"/>
  <c r="X320" i="1" s="1"/>
  <c r="AH321" i="1"/>
  <c r="AH322" i="1"/>
  <c r="X322" i="1" s="1"/>
  <c r="AH323" i="1"/>
  <c r="X323" i="1" s="1"/>
  <c r="AH324" i="1"/>
  <c r="X324" i="1" s="1"/>
  <c r="AH325" i="1"/>
  <c r="X325" i="1" s="1"/>
  <c r="AH326" i="1"/>
  <c r="X326" i="1" s="1"/>
  <c r="AH327" i="1"/>
  <c r="X327" i="1" s="1"/>
  <c r="AH328" i="1"/>
  <c r="X328" i="1" s="1"/>
  <c r="AH329" i="1"/>
  <c r="X329" i="1" s="1"/>
  <c r="AH330" i="1"/>
  <c r="X330" i="1" s="1"/>
  <c r="AH331" i="1"/>
  <c r="X331" i="1" s="1"/>
  <c r="AH332" i="1"/>
  <c r="X332" i="1" s="1"/>
  <c r="AH333" i="1"/>
  <c r="X333" i="1" s="1"/>
  <c r="AH334" i="1"/>
  <c r="X334" i="1" s="1"/>
  <c r="AH335" i="1"/>
  <c r="X335" i="1" s="1"/>
  <c r="AH336" i="1"/>
  <c r="X336" i="1" s="1"/>
  <c r="AH337" i="1"/>
  <c r="X337" i="1" s="1"/>
  <c r="AH338" i="1"/>
  <c r="X338" i="1" s="1"/>
  <c r="AH339" i="1"/>
  <c r="X339" i="1" s="1"/>
  <c r="AH340" i="1"/>
  <c r="X340" i="1" s="1"/>
  <c r="AH341" i="1"/>
  <c r="X341" i="1" s="1"/>
  <c r="AH342" i="1"/>
  <c r="X342" i="1" s="1"/>
  <c r="AH343" i="1"/>
  <c r="X343" i="1" s="1"/>
  <c r="AH344" i="1"/>
  <c r="X344" i="1" s="1"/>
  <c r="AH345" i="1"/>
  <c r="X345" i="1" s="1"/>
  <c r="AH346" i="1"/>
  <c r="X346" i="1" s="1"/>
  <c r="AH347" i="1"/>
  <c r="X347" i="1" s="1"/>
  <c r="AH348" i="1"/>
  <c r="X348" i="1" s="1"/>
  <c r="AH349" i="1"/>
  <c r="X349" i="1" s="1"/>
  <c r="AH350" i="1"/>
  <c r="X350" i="1" s="1"/>
  <c r="AH351" i="1"/>
  <c r="X351" i="1" s="1"/>
  <c r="AH352" i="1"/>
  <c r="X352" i="1" s="1"/>
  <c r="AH353" i="1"/>
  <c r="X353" i="1" s="1"/>
  <c r="AH354" i="1"/>
  <c r="X354" i="1" s="1"/>
  <c r="AH355" i="1"/>
  <c r="X355" i="1" s="1"/>
  <c r="AH356" i="1"/>
  <c r="X356" i="1" s="1"/>
  <c r="AH357" i="1"/>
  <c r="X357" i="1" s="1"/>
  <c r="AH358" i="1"/>
  <c r="X358" i="1" s="1"/>
  <c r="AH359" i="1"/>
  <c r="X359" i="1" s="1"/>
  <c r="AH360" i="1"/>
  <c r="X360" i="1" s="1"/>
  <c r="AH361" i="1"/>
  <c r="X361" i="1" s="1"/>
  <c r="AH362" i="1"/>
  <c r="X362" i="1" s="1"/>
  <c r="AH363" i="1"/>
  <c r="X363" i="1" s="1"/>
  <c r="AH364" i="1"/>
  <c r="X364" i="1" s="1"/>
  <c r="AH365" i="1"/>
  <c r="X365" i="1" s="1"/>
  <c r="AH366" i="1"/>
  <c r="X366" i="1" s="1"/>
  <c r="AH367" i="1"/>
  <c r="X367" i="1" s="1"/>
  <c r="AH368" i="1"/>
  <c r="X368" i="1" s="1"/>
  <c r="AH369" i="1"/>
  <c r="X369" i="1" s="1"/>
  <c r="AH370" i="1"/>
  <c r="X370" i="1" s="1"/>
  <c r="AH371" i="1"/>
  <c r="X371" i="1" s="1"/>
  <c r="AH372" i="1"/>
  <c r="X372" i="1" s="1"/>
  <c r="AH373" i="1"/>
  <c r="X373" i="1" s="1"/>
  <c r="AH374" i="1"/>
  <c r="X374" i="1" s="1"/>
  <c r="AH375" i="1"/>
  <c r="X375" i="1" s="1"/>
  <c r="AH376" i="1"/>
  <c r="X376" i="1" s="1"/>
  <c r="AH377" i="1"/>
  <c r="X377" i="1" s="1"/>
  <c r="AH378" i="1"/>
  <c r="X378" i="1" s="1"/>
  <c r="AH379" i="1"/>
  <c r="X379" i="1" s="1"/>
  <c r="AH380" i="1"/>
  <c r="X380" i="1" s="1"/>
  <c r="AH381" i="1"/>
  <c r="X381" i="1" s="1"/>
  <c r="AH382" i="1"/>
  <c r="X382" i="1" s="1"/>
  <c r="AH383" i="1"/>
  <c r="X383" i="1" s="1"/>
  <c r="AH384" i="1"/>
  <c r="X384" i="1" s="1"/>
  <c r="AH385" i="1"/>
  <c r="X385" i="1" s="1"/>
  <c r="AH386" i="1"/>
  <c r="X386" i="1" s="1"/>
  <c r="AH387" i="1"/>
  <c r="X387" i="1" s="1"/>
  <c r="AH388" i="1"/>
  <c r="X388" i="1" s="1"/>
  <c r="AH389" i="1"/>
  <c r="X389" i="1" s="1"/>
  <c r="AH390" i="1"/>
  <c r="X390" i="1" s="1"/>
  <c r="AH391" i="1"/>
  <c r="X391" i="1" s="1"/>
  <c r="AH392" i="1"/>
  <c r="X392" i="1" s="1"/>
  <c r="AH393" i="1"/>
  <c r="X393" i="1" s="1"/>
  <c r="AH394" i="1"/>
  <c r="X394" i="1" s="1"/>
  <c r="AH395" i="1"/>
  <c r="X395" i="1" s="1"/>
  <c r="AH396" i="1"/>
  <c r="X396" i="1" s="1"/>
  <c r="AH397" i="1"/>
  <c r="X397" i="1" s="1"/>
  <c r="AH398" i="1"/>
  <c r="X398" i="1" s="1"/>
  <c r="AH399" i="1"/>
  <c r="X399" i="1" s="1"/>
  <c r="AH400" i="1"/>
  <c r="X400" i="1" s="1"/>
  <c r="AH401" i="1"/>
  <c r="X401" i="1" s="1"/>
  <c r="AH402" i="1"/>
  <c r="X402" i="1" s="1"/>
  <c r="AH403" i="1"/>
  <c r="X403" i="1" s="1"/>
  <c r="AH404" i="1"/>
  <c r="X404" i="1" s="1"/>
  <c r="AH405" i="1"/>
  <c r="X405" i="1" s="1"/>
  <c r="AH406" i="1"/>
  <c r="X406" i="1" s="1"/>
  <c r="AH407" i="1"/>
  <c r="X407" i="1" s="1"/>
  <c r="AH408" i="1"/>
  <c r="X408" i="1" s="1"/>
  <c r="AH409" i="1"/>
  <c r="X409" i="1" s="1"/>
  <c r="AH410" i="1"/>
  <c r="X410" i="1" s="1"/>
  <c r="AH411" i="1"/>
  <c r="X411" i="1" s="1"/>
  <c r="AH412" i="1"/>
  <c r="X412" i="1" s="1"/>
  <c r="AH413" i="1"/>
  <c r="X413" i="1" s="1"/>
  <c r="AH414" i="1"/>
  <c r="X414" i="1" s="1"/>
  <c r="AH415" i="1"/>
  <c r="X415" i="1" s="1"/>
  <c r="AH416" i="1"/>
  <c r="X416" i="1" s="1"/>
  <c r="AH417" i="1"/>
  <c r="X417" i="1" s="1"/>
  <c r="AH418" i="1"/>
  <c r="X418" i="1" s="1"/>
  <c r="AH419" i="1"/>
  <c r="X419" i="1" s="1"/>
  <c r="AH420" i="1"/>
  <c r="X420" i="1" s="1"/>
  <c r="AH421" i="1"/>
  <c r="X421" i="1" s="1"/>
  <c r="AH422" i="1"/>
  <c r="X422" i="1" s="1"/>
  <c r="AH423" i="1"/>
  <c r="X423" i="1" s="1"/>
  <c r="AH424" i="1"/>
  <c r="X424" i="1" s="1"/>
  <c r="AH425" i="1"/>
  <c r="X425" i="1" s="1"/>
  <c r="AH426" i="1"/>
  <c r="X426" i="1" s="1"/>
  <c r="AH427" i="1"/>
  <c r="X427" i="1" s="1"/>
  <c r="AH428" i="1"/>
  <c r="X428" i="1" s="1"/>
  <c r="AH429" i="1"/>
  <c r="X429" i="1" s="1"/>
  <c r="AH430" i="1"/>
  <c r="X430" i="1" s="1"/>
  <c r="AH431" i="1"/>
  <c r="X431" i="1" s="1"/>
  <c r="AH432" i="1"/>
  <c r="X432" i="1" s="1"/>
  <c r="AH433" i="1"/>
  <c r="X433" i="1" s="1"/>
  <c r="AH434" i="1"/>
  <c r="X434" i="1" s="1"/>
  <c r="AH435" i="1"/>
  <c r="X435" i="1" s="1"/>
  <c r="AH436" i="1"/>
  <c r="X436" i="1" s="1"/>
  <c r="AH437" i="1"/>
  <c r="X437" i="1" s="1"/>
  <c r="AH438" i="1"/>
  <c r="X438" i="1" s="1"/>
  <c r="AH439" i="1"/>
  <c r="X439" i="1" s="1"/>
  <c r="AH440" i="1"/>
  <c r="X440" i="1" s="1"/>
  <c r="AH441" i="1"/>
  <c r="X441" i="1" s="1"/>
  <c r="AH442" i="1"/>
  <c r="X442" i="1" s="1"/>
  <c r="AH443" i="1"/>
  <c r="X443" i="1" s="1"/>
  <c r="AH444" i="1"/>
  <c r="X444" i="1" s="1"/>
  <c r="AH445" i="1"/>
  <c r="X445" i="1" s="1"/>
  <c r="AH446" i="1"/>
  <c r="X446" i="1" s="1"/>
  <c r="AH447" i="1"/>
  <c r="X447" i="1" s="1"/>
  <c r="AH448" i="1"/>
  <c r="X448" i="1" s="1"/>
  <c r="AH449" i="1"/>
  <c r="X449" i="1" s="1"/>
  <c r="AH450" i="1"/>
  <c r="X450" i="1" s="1"/>
  <c r="AH451" i="1"/>
  <c r="X451" i="1" s="1"/>
  <c r="AH452" i="1"/>
  <c r="X452" i="1" s="1"/>
  <c r="AH453" i="1"/>
  <c r="X453" i="1" s="1"/>
  <c r="AH454" i="1"/>
  <c r="X454" i="1" s="1"/>
  <c r="AH455" i="1"/>
  <c r="X455" i="1" s="1"/>
  <c r="AH456" i="1"/>
  <c r="X456" i="1" s="1"/>
  <c r="AH457" i="1"/>
  <c r="X457" i="1" s="1"/>
  <c r="AH458" i="1"/>
  <c r="X458" i="1" s="1"/>
  <c r="AH459" i="1"/>
  <c r="X459" i="1" s="1"/>
  <c r="AH460" i="1"/>
  <c r="X460" i="1" s="1"/>
  <c r="AH461" i="1"/>
  <c r="X461" i="1" s="1"/>
  <c r="AH462" i="1"/>
  <c r="X462" i="1" s="1"/>
  <c r="AH463" i="1"/>
  <c r="X463" i="1" s="1"/>
  <c r="AH464" i="1"/>
  <c r="X464" i="1" s="1"/>
  <c r="AH465" i="1"/>
  <c r="X465" i="1" s="1"/>
  <c r="AH466" i="1"/>
  <c r="X466" i="1" s="1"/>
  <c r="AH467" i="1"/>
  <c r="X467" i="1" s="1"/>
  <c r="AH468" i="1"/>
  <c r="X468" i="1" s="1"/>
  <c r="AH469" i="1"/>
  <c r="X469" i="1" s="1"/>
  <c r="AH470" i="1"/>
  <c r="X470" i="1" s="1"/>
  <c r="AH471" i="1"/>
  <c r="X471" i="1" s="1"/>
  <c r="AH472" i="1"/>
  <c r="X472" i="1" s="1"/>
  <c r="AH473" i="1"/>
  <c r="X473" i="1" s="1"/>
  <c r="AH474" i="1"/>
  <c r="X474" i="1" s="1"/>
  <c r="AH475" i="1"/>
  <c r="X475" i="1" s="1"/>
  <c r="AH476" i="1"/>
  <c r="X476" i="1" s="1"/>
  <c r="AH477" i="1"/>
  <c r="X477" i="1" s="1"/>
  <c r="AH478" i="1"/>
  <c r="X478" i="1" s="1"/>
  <c r="AH479" i="1"/>
  <c r="X479" i="1" s="1"/>
  <c r="AH480" i="1"/>
  <c r="X480" i="1" s="1"/>
  <c r="AH481" i="1"/>
  <c r="X481" i="1" s="1"/>
  <c r="AH482" i="1"/>
  <c r="X482" i="1" s="1"/>
  <c r="AH483" i="1"/>
  <c r="X483" i="1" s="1"/>
  <c r="AH484" i="1"/>
  <c r="X484" i="1" s="1"/>
  <c r="AH485" i="1"/>
  <c r="X485" i="1" s="1"/>
  <c r="AH486" i="1"/>
  <c r="X486" i="1" s="1"/>
  <c r="AH487" i="1"/>
  <c r="X487" i="1" s="1"/>
  <c r="AH488" i="1"/>
  <c r="X488" i="1" s="1"/>
  <c r="AH489" i="1"/>
  <c r="X489" i="1" s="1"/>
  <c r="AH490" i="1"/>
  <c r="X490" i="1" s="1"/>
  <c r="AH491" i="1"/>
  <c r="X491" i="1" s="1"/>
  <c r="AH492" i="1"/>
  <c r="X492" i="1" s="1"/>
  <c r="AH493" i="1"/>
  <c r="X493" i="1" s="1"/>
  <c r="AH494" i="1"/>
  <c r="X494" i="1" s="1"/>
  <c r="AH495" i="1"/>
  <c r="X495" i="1" s="1"/>
  <c r="AH496" i="1"/>
  <c r="X496" i="1" s="1"/>
  <c r="AH497" i="1"/>
  <c r="X497" i="1" s="1"/>
  <c r="AH498" i="1"/>
  <c r="X498" i="1" s="1"/>
  <c r="AH499" i="1"/>
  <c r="X499" i="1" s="1"/>
  <c r="AH500" i="1"/>
  <c r="X500" i="1" s="1"/>
  <c r="AH501" i="1"/>
  <c r="X501" i="1" s="1"/>
  <c r="AH502" i="1"/>
  <c r="X502" i="1" s="1"/>
  <c r="AH503" i="1"/>
  <c r="X503" i="1" s="1"/>
  <c r="AH504" i="1"/>
  <c r="X504" i="1" s="1"/>
  <c r="AH505" i="1"/>
  <c r="X505" i="1" s="1"/>
  <c r="AH506" i="1"/>
  <c r="X506" i="1" s="1"/>
  <c r="AH507" i="1"/>
  <c r="X507" i="1" s="1"/>
  <c r="AH508" i="1"/>
  <c r="X508" i="1" s="1"/>
  <c r="AH509" i="1"/>
  <c r="X509" i="1" s="1"/>
  <c r="AH510" i="1"/>
  <c r="X510" i="1" s="1"/>
  <c r="AH511" i="1"/>
  <c r="X511" i="1" s="1"/>
  <c r="AH512" i="1"/>
  <c r="X512" i="1" s="1"/>
  <c r="AH513" i="1"/>
  <c r="X513" i="1" s="1"/>
  <c r="AH514" i="1"/>
  <c r="X514" i="1" s="1"/>
  <c r="AH515" i="1"/>
  <c r="X515" i="1" s="1"/>
  <c r="AH516" i="1"/>
  <c r="X516" i="1" s="1"/>
  <c r="AH517" i="1"/>
  <c r="X517" i="1" s="1"/>
  <c r="AH518" i="1"/>
  <c r="X518" i="1" s="1"/>
  <c r="AH519" i="1"/>
  <c r="X519" i="1" s="1"/>
  <c r="AH520" i="1"/>
  <c r="X520" i="1" s="1"/>
  <c r="AH521" i="1"/>
  <c r="X521" i="1" s="1"/>
  <c r="AH522" i="1"/>
  <c r="X522" i="1" s="1"/>
  <c r="AH523" i="1"/>
  <c r="X523" i="1" s="1"/>
  <c r="AH524" i="1"/>
  <c r="X524" i="1" s="1"/>
  <c r="AH525" i="1"/>
  <c r="X525" i="1" s="1"/>
  <c r="AH526" i="1"/>
  <c r="X526" i="1" s="1"/>
  <c r="AH527" i="1"/>
  <c r="X527" i="1" s="1"/>
  <c r="AH528" i="1"/>
  <c r="X528" i="1" s="1"/>
  <c r="AH529" i="1"/>
  <c r="X529" i="1" s="1"/>
  <c r="AH530" i="1"/>
  <c r="X530" i="1" s="1"/>
  <c r="AH531" i="1"/>
  <c r="X531" i="1" s="1"/>
  <c r="AH532" i="1"/>
  <c r="X532" i="1" s="1"/>
  <c r="AH533" i="1"/>
  <c r="X533" i="1" s="1"/>
  <c r="AH534" i="1"/>
  <c r="X534" i="1" s="1"/>
  <c r="AH535" i="1"/>
  <c r="X535" i="1" s="1"/>
  <c r="AH536" i="1"/>
  <c r="X536" i="1" s="1"/>
  <c r="AH537" i="1"/>
  <c r="X537" i="1" s="1"/>
  <c r="AH538" i="1"/>
  <c r="X538" i="1" s="1"/>
  <c r="AH539" i="1"/>
  <c r="X539" i="1" s="1"/>
  <c r="AH540" i="1"/>
  <c r="X540" i="1" s="1"/>
  <c r="AH541" i="1"/>
  <c r="X541" i="1" s="1"/>
  <c r="AH542" i="1"/>
  <c r="X542" i="1" s="1"/>
  <c r="AH543" i="1"/>
  <c r="X543" i="1" s="1"/>
  <c r="AH544" i="1"/>
  <c r="X544" i="1" s="1"/>
  <c r="AH545" i="1"/>
  <c r="X545" i="1" s="1"/>
  <c r="AH546" i="1"/>
  <c r="X546" i="1" s="1"/>
  <c r="AH547" i="1"/>
  <c r="X547" i="1" s="1"/>
  <c r="AH548" i="1"/>
  <c r="X548" i="1" s="1"/>
  <c r="AH549" i="1"/>
  <c r="X549" i="1" s="1"/>
  <c r="AH550" i="1"/>
  <c r="X550" i="1" s="1"/>
  <c r="AH551" i="1"/>
  <c r="X551" i="1" s="1"/>
  <c r="AH552" i="1"/>
  <c r="X552" i="1" s="1"/>
  <c r="AH553" i="1"/>
  <c r="X553" i="1" s="1"/>
  <c r="AH554" i="1"/>
  <c r="X554" i="1" s="1"/>
  <c r="AH555" i="1"/>
  <c r="X555" i="1" s="1"/>
  <c r="AH556" i="1"/>
  <c r="X556" i="1" s="1"/>
  <c r="AH557" i="1"/>
  <c r="X557" i="1" s="1"/>
  <c r="AH558" i="1"/>
  <c r="X558" i="1" s="1"/>
  <c r="AH559" i="1"/>
  <c r="X559" i="1" s="1"/>
  <c r="AH560" i="1"/>
  <c r="X560" i="1" s="1"/>
  <c r="AH561" i="1"/>
  <c r="X561" i="1" s="1"/>
  <c r="AH562" i="1"/>
  <c r="X562" i="1" s="1"/>
  <c r="AH563" i="1"/>
  <c r="X563" i="1" s="1"/>
  <c r="AH564" i="1"/>
  <c r="X564" i="1" s="1"/>
  <c r="AH565" i="1"/>
  <c r="X565" i="1" s="1"/>
  <c r="AH566" i="1"/>
  <c r="X566" i="1" s="1"/>
  <c r="AH567" i="1"/>
  <c r="X567" i="1" s="1"/>
  <c r="AH568" i="1"/>
  <c r="X568" i="1" s="1"/>
  <c r="AH569" i="1"/>
  <c r="X569" i="1" s="1"/>
  <c r="AH570" i="1"/>
  <c r="X570" i="1" s="1"/>
  <c r="AH571" i="1"/>
  <c r="X571" i="1" s="1"/>
  <c r="AH572" i="1"/>
  <c r="X572" i="1" s="1"/>
  <c r="AH573" i="1"/>
  <c r="X573" i="1" s="1"/>
  <c r="AH574" i="1"/>
  <c r="X574" i="1" s="1"/>
  <c r="AH575" i="1"/>
  <c r="X575" i="1" s="1"/>
  <c r="AH576" i="1"/>
  <c r="X576" i="1" s="1"/>
  <c r="AH577" i="1"/>
  <c r="X577" i="1" s="1"/>
  <c r="AH578" i="1"/>
  <c r="X578" i="1" s="1"/>
  <c r="AH579" i="1"/>
  <c r="X579" i="1" s="1"/>
  <c r="AH580" i="1"/>
  <c r="X580" i="1" s="1"/>
  <c r="AH581" i="1"/>
  <c r="X581" i="1" s="1"/>
  <c r="AH582" i="1"/>
  <c r="X582" i="1" s="1"/>
  <c r="AH583" i="1"/>
  <c r="X583" i="1" s="1"/>
  <c r="AH584" i="1"/>
  <c r="X584" i="1" s="1"/>
  <c r="AH585" i="1"/>
  <c r="X585" i="1" s="1"/>
  <c r="AH586" i="1"/>
  <c r="X586" i="1" s="1"/>
  <c r="AH587" i="1"/>
  <c r="X587" i="1" s="1"/>
  <c r="AH588" i="1"/>
  <c r="X588" i="1" s="1"/>
  <c r="AH589" i="1"/>
  <c r="X589" i="1" s="1"/>
  <c r="AH590" i="1"/>
  <c r="X590" i="1" s="1"/>
  <c r="AH591" i="1"/>
  <c r="X591" i="1" s="1"/>
  <c r="AH592" i="1"/>
  <c r="X592" i="1" s="1"/>
  <c r="AH593" i="1"/>
  <c r="X593" i="1" s="1"/>
  <c r="AH594" i="1"/>
  <c r="X594" i="1" s="1"/>
  <c r="AH595" i="1"/>
  <c r="X595" i="1" s="1"/>
  <c r="AH596" i="1"/>
  <c r="X596" i="1" s="1"/>
  <c r="AH597" i="1"/>
  <c r="X597" i="1" s="1"/>
  <c r="AH598" i="1"/>
  <c r="X598" i="1" s="1"/>
  <c r="AH599" i="1"/>
  <c r="X599" i="1" s="1"/>
  <c r="AH600" i="1"/>
  <c r="X600" i="1" s="1"/>
  <c r="AH601" i="1"/>
  <c r="X601" i="1" s="1"/>
  <c r="AH602" i="1"/>
  <c r="X602" i="1" s="1"/>
  <c r="AH603" i="1"/>
  <c r="X603" i="1" s="1"/>
  <c r="AH604" i="1"/>
  <c r="X604" i="1" s="1"/>
  <c r="AH605" i="1"/>
  <c r="X605" i="1" s="1"/>
  <c r="AH606" i="1"/>
  <c r="X606" i="1" s="1"/>
  <c r="AH607" i="1"/>
  <c r="X607" i="1" s="1"/>
  <c r="AH608" i="1"/>
  <c r="X608" i="1" s="1"/>
  <c r="AH609" i="1"/>
  <c r="X609" i="1" s="1"/>
  <c r="AH610" i="1"/>
  <c r="X610" i="1" s="1"/>
  <c r="AH611" i="1"/>
  <c r="X611" i="1" s="1"/>
  <c r="AH612" i="1"/>
  <c r="X612" i="1" s="1"/>
  <c r="AH613" i="1"/>
  <c r="X613" i="1" s="1"/>
  <c r="AH614" i="1"/>
  <c r="X614" i="1" s="1"/>
  <c r="AH615" i="1"/>
  <c r="X615" i="1" s="1"/>
  <c r="AH616" i="1"/>
  <c r="X616" i="1" s="1"/>
  <c r="AH617" i="1"/>
  <c r="X617" i="1" s="1"/>
  <c r="AH618" i="1"/>
  <c r="X618" i="1" s="1"/>
  <c r="AH619" i="1"/>
  <c r="X619" i="1" s="1"/>
  <c r="AH620" i="1"/>
  <c r="X620" i="1" s="1"/>
  <c r="AH621" i="1"/>
  <c r="X621" i="1" s="1"/>
  <c r="AH622" i="1"/>
  <c r="X622" i="1" s="1"/>
  <c r="AH623" i="1"/>
  <c r="X623" i="1" s="1"/>
  <c r="AH624" i="1"/>
  <c r="X624" i="1" s="1"/>
  <c r="AH625" i="1"/>
  <c r="X625" i="1" s="1"/>
  <c r="AH626" i="1"/>
  <c r="X626" i="1" s="1"/>
  <c r="AH627" i="1"/>
  <c r="X627" i="1" s="1"/>
  <c r="AH628" i="1"/>
  <c r="X628" i="1" s="1"/>
  <c r="AH629" i="1"/>
  <c r="X629" i="1" s="1"/>
  <c r="AH630" i="1"/>
  <c r="X630" i="1" s="1"/>
  <c r="AH631" i="1"/>
  <c r="X631" i="1" s="1"/>
  <c r="AH632" i="1"/>
  <c r="X632" i="1" s="1"/>
  <c r="AH633" i="1"/>
  <c r="X633" i="1" s="1"/>
  <c r="AH634" i="1"/>
  <c r="X634" i="1" s="1"/>
  <c r="AH635" i="1"/>
  <c r="X635" i="1" s="1"/>
  <c r="AH636" i="1"/>
  <c r="X636" i="1" s="1"/>
  <c r="AH637" i="1"/>
  <c r="X637" i="1" s="1"/>
  <c r="AH638" i="1"/>
  <c r="X638" i="1" s="1"/>
  <c r="AH639" i="1"/>
  <c r="X639" i="1" s="1"/>
  <c r="AH640" i="1"/>
  <c r="X640" i="1" s="1"/>
  <c r="AH641" i="1"/>
  <c r="X641" i="1" s="1"/>
  <c r="AH642" i="1"/>
  <c r="X642" i="1" s="1"/>
  <c r="AH643" i="1"/>
  <c r="X643" i="1" s="1"/>
  <c r="AH644" i="1"/>
  <c r="X644" i="1" s="1"/>
  <c r="AH645" i="1"/>
  <c r="X645" i="1" s="1"/>
  <c r="AH646" i="1"/>
  <c r="X646" i="1" s="1"/>
  <c r="AH647" i="1"/>
  <c r="X647" i="1" s="1"/>
  <c r="AH648" i="1"/>
  <c r="X648" i="1" s="1"/>
  <c r="AH649" i="1"/>
  <c r="X649" i="1" s="1"/>
  <c r="AH650" i="1"/>
  <c r="X650" i="1" s="1"/>
  <c r="AH651" i="1"/>
  <c r="X651" i="1" s="1"/>
  <c r="AH652" i="1"/>
  <c r="X652" i="1" s="1"/>
  <c r="AH653" i="1"/>
  <c r="X653" i="1" s="1"/>
  <c r="AH654" i="1"/>
  <c r="X654" i="1" s="1"/>
  <c r="AH655" i="1"/>
  <c r="X655" i="1" s="1"/>
  <c r="AH656" i="1"/>
  <c r="X656" i="1" s="1"/>
  <c r="AH657" i="1"/>
  <c r="X657" i="1" s="1"/>
  <c r="AH658" i="1"/>
  <c r="X658" i="1" s="1"/>
  <c r="AH659" i="1"/>
  <c r="X659" i="1" s="1"/>
  <c r="AH660" i="1"/>
  <c r="X660" i="1" s="1"/>
  <c r="AH661" i="1"/>
  <c r="X661" i="1" s="1"/>
  <c r="AH662" i="1"/>
  <c r="X662" i="1" s="1"/>
  <c r="AH663" i="1"/>
  <c r="X663" i="1" s="1"/>
  <c r="AH664" i="1"/>
  <c r="X664" i="1" s="1"/>
  <c r="AH665" i="1"/>
  <c r="X665" i="1" s="1"/>
  <c r="AH666" i="1"/>
  <c r="X666" i="1" s="1"/>
  <c r="AH667" i="1"/>
  <c r="X667" i="1" s="1"/>
  <c r="AH668" i="1"/>
  <c r="X668" i="1" s="1"/>
  <c r="AH669" i="1"/>
  <c r="X669" i="1" s="1"/>
  <c r="AH670" i="1"/>
  <c r="X670" i="1" s="1"/>
  <c r="AH671" i="1"/>
  <c r="X671" i="1" s="1"/>
  <c r="AH672" i="1"/>
  <c r="X672" i="1" s="1"/>
  <c r="AH673" i="1"/>
  <c r="X673" i="1" s="1"/>
  <c r="AH674" i="1"/>
  <c r="X674" i="1" s="1"/>
  <c r="AH675" i="1"/>
  <c r="X675" i="1" s="1"/>
  <c r="AH676" i="1"/>
  <c r="X676" i="1" s="1"/>
  <c r="AH677" i="1"/>
  <c r="X677" i="1" s="1"/>
  <c r="AH678" i="1"/>
  <c r="X678" i="1" s="1"/>
  <c r="AH679" i="1"/>
  <c r="X679" i="1" s="1"/>
  <c r="AH680" i="1"/>
  <c r="X680" i="1" s="1"/>
  <c r="AH681" i="1"/>
  <c r="X681" i="1" s="1"/>
  <c r="AH682" i="1"/>
  <c r="X682" i="1" s="1"/>
  <c r="AH683" i="1"/>
  <c r="X683" i="1" s="1"/>
  <c r="AH684" i="1"/>
  <c r="X684" i="1" s="1"/>
  <c r="AH685" i="1"/>
  <c r="X685" i="1" s="1"/>
  <c r="AH686" i="1"/>
  <c r="X686" i="1" s="1"/>
  <c r="AH687" i="1"/>
  <c r="X687" i="1" s="1"/>
  <c r="AH688" i="1"/>
  <c r="X688" i="1" s="1"/>
  <c r="AH689" i="1"/>
  <c r="X689" i="1" s="1"/>
  <c r="AH690" i="1"/>
  <c r="X690" i="1" s="1"/>
  <c r="AH691" i="1"/>
  <c r="X691" i="1" s="1"/>
  <c r="AH692" i="1"/>
  <c r="X692" i="1" s="1"/>
  <c r="AH693" i="1"/>
  <c r="X693" i="1" s="1"/>
  <c r="AH694" i="1"/>
  <c r="X694" i="1" s="1"/>
  <c r="AH695" i="1"/>
  <c r="X695" i="1" s="1"/>
  <c r="AH696" i="1"/>
  <c r="X696" i="1" s="1"/>
  <c r="AH697" i="1"/>
  <c r="X697" i="1" s="1"/>
  <c r="AH698" i="1"/>
  <c r="X698" i="1" s="1"/>
  <c r="AH699" i="1"/>
  <c r="X699" i="1" s="1"/>
  <c r="AH700" i="1"/>
  <c r="X700" i="1" s="1"/>
  <c r="AH701" i="1"/>
  <c r="X701" i="1" s="1"/>
  <c r="AH702" i="1"/>
  <c r="X702" i="1" s="1"/>
  <c r="AH703" i="1"/>
  <c r="X703" i="1" s="1"/>
  <c r="AH704" i="1"/>
  <c r="X704" i="1" s="1"/>
  <c r="AH705" i="1"/>
  <c r="X705" i="1" s="1"/>
  <c r="AH706" i="1"/>
  <c r="X706" i="1" s="1"/>
  <c r="AH707" i="1"/>
  <c r="X707" i="1" s="1"/>
  <c r="AH708" i="1"/>
  <c r="X708" i="1" s="1"/>
  <c r="AH709" i="1"/>
  <c r="X709" i="1" s="1"/>
  <c r="AH710" i="1"/>
  <c r="X710" i="1" s="1"/>
  <c r="AH711" i="1"/>
  <c r="X711" i="1" s="1"/>
  <c r="AH712" i="1"/>
  <c r="X712" i="1" s="1"/>
  <c r="AH713" i="1"/>
  <c r="X713" i="1" s="1"/>
  <c r="AH714" i="1"/>
  <c r="X714" i="1" s="1"/>
  <c r="AH715" i="1"/>
  <c r="X715" i="1" s="1"/>
  <c r="AH716" i="1"/>
  <c r="X716" i="1" s="1"/>
  <c r="AH717" i="1"/>
  <c r="X717" i="1" s="1"/>
  <c r="AH718" i="1"/>
  <c r="X718" i="1" s="1"/>
  <c r="AH719" i="1"/>
  <c r="X719" i="1" s="1"/>
  <c r="AH720" i="1"/>
  <c r="X720" i="1" s="1"/>
  <c r="AH721" i="1"/>
  <c r="X721" i="1" s="1"/>
  <c r="AH722" i="1"/>
  <c r="X722" i="1" s="1"/>
  <c r="AH723" i="1"/>
  <c r="X723" i="1" s="1"/>
  <c r="AH724" i="1"/>
  <c r="X724" i="1" s="1"/>
  <c r="AH725" i="1"/>
  <c r="X725" i="1" s="1"/>
  <c r="AH726" i="1"/>
  <c r="X726" i="1" s="1"/>
  <c r="AH727" i="1"/>
  <c r="X727" i="1" s="1"/>
  <c r="AH728" i="1"/>
  <c r="X728" i="1" s="1"/>
  <c r="AH729" i="1"/>
  <c r="X729" i="1" s="1"/>
  <c r="AH730" i="1"/>
  <c r="X730" i="1" s="1"/>
  <c r="AH731" i="1"/>
  <c r="X731" i="1" s="1"/>
  <c r="AH732" i="1"/>
  <c r="X732" i="1" s="1"/>
  <c r="AH733" i="1"/>
  <c r="X733" i="1" s="1"/>
  <c r="AH734" i="1"/>
  <c r="X734" i="1" s="1"/>
  <c r="AH735" i="1"/>
  <c r="X735" i="1" s="1"/>
  <c r="AH736" i="1"/>
  <c r="X736" i="1" s="1"/>
  <c r="AH737" i="1"/>
  <c r="X737" i="1" s="1"/>
  <c r="AH738" i="1"/>
  <c r="X738" i="1" s="1"/>
  <c r="AH739" i="1"/>
  <c r="X739" i="1" s="1"/>
  <c r="AH740" i="1"/>
  <c r="X740" i="1" s="1"/>
  <c r="AH741" i="1"/>
  <c r="X741" i="1" s="1"/>
  <c r="AH742" i="1"/>
  <c r="X742" i="1" s="1"/>
  <c r="AH743" i="1"/>
  <c r="X743" i="1" s="1"/>
  <c r="AH744" i="1"/>
  <c r="X744" i="1" s="1"/>
  <c r="AH745" i="1"/>
  <c r="X745" i="1" s="1"/>
  <c r="AH746" i="1"/>
  <c r="X746" i="1" s="1"/>
  <c r="AH747" i="1"/>
  <c r="X747" i="1" s="1"/>
  <c r="AH748" i="1"/>
  <c r="X748" i="1" s="1"/>
  <c r="AH749" i="1"/>
  <c r="X749" i="1" s="1"/>
  <c r="AH750" i="1"/>
  <c r="X750" i="1" s="1"/>
  <c r="AH751" i="1"/>
  <c r="X751" i="1" s="1"/>
  <c r="AH752" i="1"/>
  <c r="X752" i="1" s="1"/>
  <c r="AH753" i="1"/>
  <c r="X753" i="1" s="1"/>
  <c r="AH754" i="1"/>
  <c r="X754" i="1" s="1"/>
  <c r="AH755" i="1"/>
  <c r="X755" i="1" s="1"/>
  <c r="AH756" i="1"/>
  <c r="X756" i="1" s="1"/>
  <c r="AH757" i="1"/>
  <c r="X757" i="1" s="1"/>
  <c r="AH758" i="1"/>
  <c r="X758" i="1" s="1"/>
  <c r="AH759" i="1"/>
  <c r="X759" i="1" s="1"/>
  <c r="AH760" i="1"/>
  <c r="X760" i="1" s="1"/>
  <c r="AH761" i="1"/>
  <c r="X761" i="1" s="1"/>
  <c r="AH762" i="1"/>
  <c r="X762" i="1" s="1"/>
  <c r="AH763" i="1"/>
  <c r="X763" i="1" s="1"/>
  <c r="AH764" i="1"/>
  <c r="X764" i="1" s="1"/>
  <c r="AH765" i="1"/>
  <c r="X765" i="1" s="1"/>
  <c r="AH766" i="1"/>
  <c r="X766" i="1" s="1"/>
  <c r="AH767" i="1"/>
  <c r="X767" i="1" s="1"/>
  <c r="AH768" i="1"/>
  <c r="X768" i="1" s="1"/>
  <c r="AH769" i="1"/>
  <c r="X769" i="1" s="1"/>
  <c r="AH770" i="1"/>
  <c r="X770" i="1" s="1"/>
  <c r="AH771" i="1"/>
  <c r="X771" i="1" s="1"/>
  <c r="AH772" i="1"/>
  <c r="X772" i="1" s="1"/>
  <c r="AH773" i="1"/>
  <c r="X773" i="1" s="1"/>
  <c r="AH774" i="1"/>
  <c r="X774" i="1" s="1"/>
  <c r="AH775" i="1"/>
  <c r="X775" i="1" s="1"/>
  <c r="AH776" i="1"/>
  <c r="X776" i="1" s="1"/>
  <c r="AH777" i="1"/>
  <c r="X777" i="1" s="1"/>
  <c r="AH778" i="1"/>
  <c r="X778" i="1" s="1"/>
  <c r="AH779" i="1"/>
  <c r="X779" i="1" s="1"/>
  <c r="AH780" i="1"/>
  <c r="X780" i="1" s="1"/>
  <c r="AH781" i="1"/>
  <c r="X781" i="1" s="1"/>
  <c r="AH782" i="1"/>
  <c r="X782" i="1" s="1"/>
  <c r="AH783" i="1"/>
  <c r="X783" i="1" s="1"/>
  <c r="AH784" i="1"/>
  <c r="X784" i="1" s="1"/>
  <c r="AH785" i="1"/>
  <c r="X785" i="1" s="1"/>
  <c r="AH786" i="1"/>
  <c r="X786" i="1" s="1"/>
  <c r="AH787" i="1"/>
  <c r="X787" i="1" s="1"/>
  <c r="AH788" i="1"/>
  <c r="X788" i="1" s="1"/>
  <c r="AH789" i="1"/>
  <c r="X789" i="1" s="1"/>
  <c r="AH790" i="1"/>
  <c r="X790" i="1" s="1"/>
  <c r="AH791" i="1"/>
  <c r="X791" i="1" s="1"/>
  <c r="AH792" i="1"/>
  <c r="X792" i="1" s="1"/>
  <c r="AH793" i="1"/>
  <c r="X793" i="1" s="1"/>
  <c r="AH794" i="1"/>
  <c r="X794" i="1" s="1"/>
  <c r="AH795" i="1"/>
  <c r="X795" i="1" s="1"/>
  <c r="AH796" i="1"/>
  <c r="X796" i="1" s="1"/>
  <c r="AH797" i="1"/>
  <c r="X797" i="1" s="1"/>
  <c r="AH798" i="1"/>
  <c r="X798" i="1" s="1"/>
  <c r="AH799" i="1"/>
  <c r="X799" i="1" s="1"/>
  <c r="AH800" i="1"/>
  <c r="X800" i="1" s="1"/>
  <c r="AH801" i="1"/>
  <c r="X801" i="1" s="1"/>
  <c r="AH802" i="1"/>
  <c r="X802" i="1" s="1"/>
  <c r="AH803" i="1"/>
  <c r="X803" i="1" s="1"/>
  <c r="AH804" i="1"/>
  <c r="X804" i="1" s="1"/>
  <c r="AH805" i="1"/>
  <c r="X805" i="1" s="1"/>
  <c r="AH806" i="1"/>
  <c r="X806" i="1" s="1"/>
  <c r="AH807" i="1"/>
  <c r="X807" i="1" s="1"/>
  <c r="AH808" i="1"/>
  <c r="X808" i="1" s="1"/>
  <c r="AH809" i="1"/>
  <c r="X809" i="1" s="1"/>
  <c r="AH810" i="1"/>
  <c r="X810" i="1" s="1"/>
  <c r="AH811" i="1"/>
  <c r="X811" i="1" s="1"/>
  <c r="AH812" i="1"/>
  <c r="X812" i="1" s="1"/>
  <c r="AH813" i="1"/>
  <c r="X813" i="1" s="1"/>
  <c r="AH814" i="1"/>
  <c r="X814" i="1" s="1"/>
  <c r="AH815" i="1"/>
  <c r="X815" i="1" s="1"/>
  <c r="AH816" i="1"/>
  <c r="X816" i="1" s="1"/>
  <c r="AH817" i="1"/>
  <c r="X817" i="1" s="1"/>
  <c r="AH818" i="1"/>
  <c r="X818" i="1" s="1"/>
  <c r="AH819" i="1"/>
  <c r="X819" i="1" s="1"/>
  <c r="AH820" i="1"/>
  <c r="X820" i="1" s="1"/>
  <c r="AH821" i="1"/>
  <c r="X821" i="1" s="1"/>
  <c r="AH822" i="1"/>
  <c r="X822" i="1" s="1"/>
  <c r="AH823" i="1"/>
  <c r="X823" i="1" s="1"/>
  <c r="AH824" i="1"/>
  <c r="X824" i="1" s="1"/>
  <c r="AH825" i="1"/>
  <c r="X825" i="1" s="1"/>
  <c r="AH826" i="1"/>
  <c r="X826" i="1" s="1"/>
  <c r="AH827" i="1"/>
  <c r="X827" i="1" s="1"/>
  <c r="AH828" i="1"/>
  <c r="X828" i="1" s="1"/>
  <c r="AH829" i="1"/>
  <c r="X829" i="1" s="1"/>
  <c r="AH830" i="1"/>
  <c r="X830" i="1" s="1"/>
  <c r="AH831" i="1"/>
  <c r="X831" i="1" s="1"/>
  <c r="AH832" i="1"/>
  <c r="X832" i="1" s="1"/>
  <c r="AH833" i="1"/>
  <c r="X833" i="1" s="1"/>
  <c r="AH834" i="1"/>
  <c r="X834" i="1" s="1"/>
  <c r="AH835" i="1"/>
  <c r="X835" i="1" s="1"/>
  <c r="AH836" i="1"/>
  <c r="X836" i="1" s="1"/>
  <c r="AH837" i="1"/>
  <c r="X837" i="1" s="1"/>
  <c r="AH838" i="1"/>
  <c r="X838" i="1" s="1"/>
  <c r="AH839" i="1"/>
  <c r="X839" i="1" s="1"/>
  <c r="AH840" i="1"/>
  <c r="X840" i="1" s="1"/>
  <c r="AH841" i="1"/>
  <c r="X841" i="1" s="1"/>
  <c r="AH842" i="1"/>
  <c r="X842" i="1" s="1"/>
  <c r="AH843" i="1"/>
  <c r="X843" i="1" s="1"/>
  <c r="AH844" i="1"/>
  <c r="X844" i="1" s="1"/>
  <c r="AH845" i="1"/>
  <c r="X845" i="1" s="1"/>
  <c r="AH846" i="1"/>
  <c r="X846" i="1" s="1"/>
  <c r="AH847" i="1"/>
  <c r="X847" i="1" s="1"/>
  <c r="AH848" i="1"/>
  <c r="X848" i="1" s="1"/>
  <c r="AH849" i="1"/>
  <c r="X849" i="1" s="1"/>
  <c r="AH850" i="1"/>
  <c r="X850" i="1" s="1"/>
  <c r="AH851" i="1"/>
  <c r="X851" i="1" s="1"/>
  <c r="AH852" i="1"/>
  <c r="X852" i="1" s="1"/>
  <c r="AH853" i="1"/>
  <c r="X853" i="1" s="1"/>
  <c r="AH854" i="1"/>
  <c r="X854" i="1" s="1"/>
  <c r="AH855" i="1"/>
  <c r="X855" i="1" s="1"/>
  <c r="AH856" i="1"/>
  <c r="X856" i="1" s="1"/>
  <c r="AH857" i="1"/>
  <c r="X857" i="1" s="1"/>
  <c r="AH858" i="1"/>
  <c r="X858" i="1" s="1"/>
  <c r="AH859" i="1"/>
  <c r="X859" i="1" s="1"/>
  <c r="AH860" i="1"/>
  <c r="X860" i="1" s="1"/>
  <c r="AH861" i="1"/>
  <c r="X861" i="1" s="1"/>
  <c r="AH862" i="1"/>
  <c r="X862" i="1" s="1"/>
  <c r="AH863" i="1"/>
  <c r="X863" i="1" s="1"/>
  <c r="AH864" i="1"/>
  <c r="X864" i="1" s="1"/>
  <c r="AH865" i="1"/>
  <c r="X865" i="1" s="1"/>
  <c r="AH866" i="1"/>
  <c r="X866" i="1" s="1"/>
  <c r="AH867" i="1"/>
  <c r="X867" i="1" s="1"/>
  <c r="AH868" i="1"/>
  <c r="X868" i="1" s="1"/>
  <c r="AH869" i="1"/>
  <c r="X869" i="1" s="1"/>
  <c r="AH870" i="1"/>
  <c r="X870" i="1" s="1"/>
  <c r="AH871" i="1"/>
  <c r="X871" i="1" s="1"/>
  <c r="AH872" i="1"/>
  <c r="X872" i="1" s="1"/>
  <c r="AH873" i="1"/>
  <c r="X873" i="1" s="1"/>
  <c r="AH874" i="1"/>
  <c r="X874" i="1" s="1"/>
  <c r="AH875" i="1"/>
  <c r="X875" i="1" s="1"/>
  <c r="AH876" i="1"/>
  <c r="X876" i="1" s="1"/>
  <c r="AH877" i="1"/>
  <c r="X877" i="1" s="1"/>
  <c r="AH878" i="1"/>
  <c r="X878" i="1" s="1"/>
  <c r="AH879" i="1"/>
  <c r="X879" i="1" s="1"/>
  <c r="AH880" i="1"/>
  <c r="X880" i="1" s="1"/>
  <c r="AH881" i="1"/>
  <c r="X881" i="1" s="1"/>
  <c r="AH882" i="1"/>
  <c r="X882" i="1" s="1"/>
  <c r="AH883" i="1"/>
  <c r="X883" i="1" s="1"/>
  <c r="AH884" i="1"/>
  <c r="X884" i="1" s="1"/>
  <c r="AH885" i="1"/>
  <c r="X885" i="1" s="1"/>
  <c r="AH886" i="1"/>
  <c r="X886" i="1" s="1"/>
  <c r="AH887" i="1"/>
  <c r="X887" i="1" s="1"/>
  <c r="AH888" i="1"/>
  <c r="X888" i="1" s="1"/>
  <c r="AH889" i="1"/>
  <c r="X889" i="1" s="1"/>
  <c r="AH890" i="1"/>
  <c r="X890" i="1" s="1"/>
  <c r="AH891" i="1"/>
  <c r="X891" i="1" s="1"/>
  <c r="AH892" i="1"/>
  <c r="X892" i="1" s="1"/>
  <c r="AH893" i="1"/>
  <c r="X893" i="1" s="1"/>
  <c r="AH894" i="1"/>
  <c r="X894" i="1" s="1"/>
  <c r="AH895" i="1"/>
  <c r="X895" i="1" s="1"/>
  <c r="AH896" i="1"/>
  <c r="X896" i="1" s="1"/>
  <c r="AH897" i="1"/>
  <c r="X897" i="1" s="1"/>
  <c r="AH898" i="1"/>
  <c r="X898" i="1" s="1"/>
  <c r="AH899" i="1"/>
  <c r="X899" i="1" s="1"/>
  <c r="AH900" i="1"/>
  <c r="X900" i="1" s="1"/>
  <c r="AH901" i="1"/>
  <c r="X901" i="1" s="1"/>
  <c r="AH902" i="1"/>
  <c r="X902" i="1" s="1"/>
  <c r="AH903" i="1"/>
  <c r="X903" i="1" s="1"/>
  <c r="AH904" i="1"/>
  <c r="X904" i="1" s="1"/>
  <c r="AH905" i="1"/>
  <c r="X905" i="1" s="1"/>
  <c r="AH906" i="1"/>
  <c r="X906" i="1" s="1"/>
  <c r="AH907" i="1"/>
  <c r="X907" i="1" s="1"/>
  <c r="AH908" i="1"/>
  <c r="X908" i="1" s="1"/>
  <c r="AH909" i="1"/>
  <c r="X909" i="1" s="1"/>
  <c r="AH910" i="1"/>
  <c r="X910" i="1" s="1"/>
  <c r="AH911" i="1"/>
  <c r="X911" i="1" s="1"/>
  <c r="AH912" i="1"/>
  <c r="X912" i="1" s="1"/>
  <c r="AH913" i="1"/>
  <c r="X913" i="1" s="1"/>
  <c r="AH914" i="1"/>
  <c r="X914" i="1" s="1"/>
  <c r="AH915" i="1"/>
  <c r="X915" i="1" s="1"/>
  <c r="AH916" i="1"/>
  <c r="X916" i="1" s="1"/>
  <c r="AH917" i="1"/>
  <c r="X917" i="1" s="1"/>
  <c r="AH918" i="1"/>
  <c r="X918" i="1" s="1"/>
  <c r="AH919" i="1"/>
  <c r="X919" i="1" s="1"/>
  <c r="AH920" i="1"/>
  <c r="X920" i="1" s="1"/>
  <c r="AH921" i="1"/>
  <c r="X921" i="1" s="1"/>
  <c r="AH922" i="1"/>
  <c r="X922" i="1" s="1"/>
  <c r="AH923" i="1"/>
  <c r="X923" i="1" s="1"/>
  <c r="AH924" i="1"/>
  <c r="X924" i="1" s="1"/>
  <c r="AH925" i="1"/>
  <c r="X925" i="1" s="1"/>
  <c r="AH926" i="1"/>
  <c r="X926" i="1" s="1"/>
  <c r="AH927" i="1"/>
  <c r="X927" i="1" s="1"/>
  <c r="AH928" i="1"/>
  <c r="X928" i="1" s="1"/>
  <c r="AH929" i="1"/>
  <c r="X929" i="1" s="1"/>
  <c r="AH930" i="1"/>
  <c r="X930" i="1" s="1"/>
  <c r="AH931" i="1"/>
  <c r="X931" i="1" s="1"/>
  <c r="AH932" i="1"/>
  <c r="X932" i="1" s="1"/>
  <c r="AH933" i="1"/>
  <c r="X933" i="1" s="1"/>
  <c r="AH934" i="1"/>
  <c r="X934" i="1" s="1"/>
  <c r="AH935" i="1"/>
  <c r="X935" i="1" s="1"/>
  <c r="AH936" i="1"/>
  <c r="X936" i="1" s="1"/>
  <c r="AH937" i="1"/>
  <c r="X937" i="1" s="1"/>
  <c r="AH938" i="1"/>
  <c r="X938" i="1" s="1"/>
  <c r="AH939" i="1"/>
  <c r="X939" i="1" s="1"/>
  <c r="AH940" i="1"/>
  <c r="X940" i="1" s="1"/>
  <c r="AH941" i="1"/>
  <c r="X941" i="1" s="1"/>
  <c r="AH942" i="1"/>
  <c r="X942" i="1" s="1"/>
  <c r="AH943" i="1"/>
  <c r="X943" i="1" s="1"/>
  <c r="AH944" i="1"/>
  <c r="X944" i="1" s="1"/>
  <c r="AH945" i="1"/>
  <c r="X945" i="1" s="1"/>
  <c r="AH946" i="1"/>
  <c r="X946" i="1" s="1"/>
  <c r="AH947" i="1"/>
  <c r="X947" i="1" s="1"/>
  <c r="AH948" i="1"/>
  <c r="X948" i="1" s="1"/>
  <c r="AH949" i="1"/>
  <c r="X949" i="1" s="1"/>
  <c r="AH950" i="1"/>
  <c r="X950" i="1" s="1"/>
  <c r="AH951" i="1"/>
  <c r="X951" i="1" s="1"/>
  <c r="AH952" i="1"/>
  <c r="X952" i="1" s="1"/>
  <c r="AH953" i="1"/>
  <c r="X953" i="1" s="1"/>
  <c r="AH954" i="1"/>
  <c r="X954" i="1" s="1"/>
  <c r="AH955" i="1"/>
  <c r="X955" i="1" s="1"/>
  <c r="AH956" i="1"/>
  <c r="X956" i="1" s="1"/>
  <c r="AH957" i="1"/>
  <c r="X957" i="1" s="1"/>
  <c r="AH958" i="1"/>
  <c r="X958" i="1" s="1"/>
  <c r="AH959" i="1"/>
  <c r="X959" i="1" s="1"/>
  <c r="AH960" i="1"/>
  <c r="X960" i="1" s="1"/>
  <c r="AH961" i="1"/>
  <c r="X961" i="1" s="1"/>
  <c r="AH962" i="1"/>
  <c r="X962" i="1" s="1"/>
  <c r="AH963" i="1"/>
  <c r="X963" i="1" s="1"/>
  <c r="AH964" i="1"/>
  <c r="X964" i="1" s="1"/>
  <c r="AH965" i="1"/>
  <c r="X965" i="1" s="1"/>
  <c r="AH966" i="1"/>
  <c r="X966" i="1" s="1"/>
  <c r="AH967" i="1"/>
  <c r="X967" i="1" s="1"/>
  <c r="AH968" i="1"/>
  <c r="X968" i="1" s="1"/>
  <c r="AH969" i="1"/>
  <c r="X969" i="1" s="1"/>
  <c r="AH970" i="1"/>
  <c r="X970" i="1" s="1"/>
  <c r="AH971" i="1"/>
  <c r="X971" i="1" s="1"/>
  <c r="AH972" i="1"/>
  <c r="X972" i="1" s="1"/>
  <c r="AH973" i="1"/>
  <c r="X973" i="1" s="1"/>
  <c r="AH974" i="1"/>
  <c r="X974" i="1" s="1"/>
  <c r="AH975" i="1"/>
  <c r="X975" i="1" s="1"/>
  <c r="AH976" i="1"/>
  <c r="X976" i="1" s="1"/>
  <c r="AH977" i="1"/>
  <c r="X977" i="1" s="1"/>
  <c r="AH978" i="1"/>
  <c r="X978" i="1" s="1"/>
  <c r="AH979" i="1"/>
  <c r="X979" i="1" s="1"/>
  <c r="AH980" i="1"/>
  <c r="X980" i="1" s="1"/>
  <c r="AH981" i="1"/>
  <c r="X981" i="1" s="1"/>
  <c r="AH982" i="1"/>
  <c r="X982" i="1" s="1"/>
  <c r="AH983" i="1"/>
  <c r="X983" i="1" s="1"/>
  <c r="AH984" i="1"/>
  <c r="X984" i="1" s="1"/>
  <c r="AH985" i="1"/>
  <c r="X985" i="1" s="1"/>
  <c r="AH986" i="1"/>
  <c r="X986" i="1" s="1"/>
  <c r="AH987" i="1"/>
  <c r="X987" i="1" s="1"/>
  <c r="AH988" i="1"/>
  <c r="X988" i="1" s="1"/>
  <c r="AH989" i="1"/>
  <c r="X989" i="1" s="1"/>
  <c r="AH990" i="1"/>
  <c r="X990" i="1" s="1"/>
  <c r="AH991" i="1"/>
  <c r="X991" i="1" s="1"/>
  <c r="AH992" i="1"/>
  <c r="X992" i="1" s="1"/>
  <c r="AH993" i="1"/>
  <c r="X993" i="1" s="1"/>
  <c r="AH994" i="1"/>
  <c r="X994" i="1" s="1"/>
  <c r="AH995" i="1"/>
  <c r="X995" i="1" s="1"/>
  <c r="AH996" i="1"/>
  <c r="X996" i="1" s="1"/>
  <c r="AH997" i="1"/>
  <c r="X997" i="1" s="1"/>
  <c r="AH998" i="1"/>
  <c r="X998" i="1" s="1"/>
  <c r="AH999" i="1"/>
  <c r="X999" i="1" s="1"/>
  <c r="AH1000" i="1"/>
  <c r="X1000" i="1" s="1"/>
  <c r="AH1001" i="1"/>
  <c r="X1001" i="1" s="1"/>
  <c r="AH1002" i="1"/>
  <c r="X1002" i="1" s="1"/>
  <c r="AH1003" i="1"/>
  <c r="X1003" i="1" s="1"/>
  <c r="AH1004" i="1"/>
  <c r="X1004" i="1" s="1"/>
  <c r="AH1005" i="1"/>
  <c r="X1005" i="1" s="1"/>
  <c r="AH1006" i="1"/>
  <c r="X1006" i="1" s="1"/>
  <c r="AH1007" i="1"/>
  <c r="X1007" i="1" s="1"/>
  <c r="AH1008" i="1"/>
  <c r="X1008" i="1" s="1"/>
  <c r="AH1009" i="1"/>
  <c r="X1009" i="1" s="1"/>
  <c r="AH1010" i="1"/>
  <c r="X1010" i="1" s="1"/>
  <c r="AH1011" i="1"/>
  <c r="X1011" i="1" s="1"/>
  <c r="AI60" i="1"/>
  <c r="AI62" i="1"/>
  <c r="AI64" i="1"/>
  <c r="AI68" i="1"/>
  <c r="AI80" i="1"/>
  <c r="AI83" i="1"/>
  <c r="AI94" i="1"/>
  <c r="AI97" i="1"/>
  <c r="AI102" i="1"/>
  <c r="AI104" i="1"/>
  <c r="AI107" i="1"/>
  <c r="AI112" i="1"/>
  <c r="AI115" i="1"/>
  <c r="AI117" i="1"/>
  <c r="AI119" i="1"/>
  <c r="AI125" i="1"/>
  <c r="AI131" i="1"/>
  <c r="AI134" i="1"/>
  <c r="AI142" i="1"/>
  <c r="AI146" i="1"/>
  <c r="AI159" i="1"/>
  <c r="AI191" i="1"/>
  <c r="AI208" i="1"/>
  <c r="AI212" i="1"/>
  <c r="AI215" i="1"/>
  <c r="AI226" i="1"/>
  <c r="AI231" i="1"/>
  <c r="AI233" i="1"/>
  <c r="AI243" i="1"/>
  <c r="AI248" i="1"/>
  <c r="AI251" i="1"/>
  <c r="AI256" i="1"/>
  <c r="AI258" i="1"/>
  <c r="AI260" i="1"/>
  <c r="AI264" i="1"/>
  <c r="AI266" i="1"/>
  <c r="AI284" i="1"/>
  <c r="AI286" i="1"/>
  <c r="AI288" i="1"/>
  <c r="AI298" i="1"/>
  <c r="AI300" i="1"/>
  <c r="AI304" i="1"/>
  <c r="AI307" i="1"/>
  <c r="AI310" i="1"/>
  <c r="AI317" i="1"/>
  <c r="AI320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J60" i="1"/>
  <c r="AJ62" i="1"/>
  <c r="AJ64" i="1"/>
  <c r="AJ68" i="1"/>
  <c r="AJ80" i="1"/>
  <c r="AJ83" i="1"/>
  <c r="AJ94" i="1"/>
  <c r="AJ97" i="1"/>
  <c r="AJ102" i="1"/>
  <c r="AJ104" i="1"/>
  <c r="AJ107" i="1"/>
  <c r="AJ112" i="1"/>
  <c r="AJ115" i="1"/>
  <c r="AJ117" i="1"/>
  <c r="AJ119" i="1"/>
  <c r="AJ125" i="1"/>
  <c r="AJ131" i="1"/>
  <c r="AJ134" i="1"/>
  <c r="AJ142" i="1"/>
  <c r="AJ146" i="1"/>
  <c r="AJ159" i="1"/>
  <c r="AJ191" i="1"/>
  <c r="AJ208" i="1"/>
  <c r="AJ212" i="1"/>
  <c r="AJ215" i="1"/>
  <c r="AJ226" i="1"/>
  <c r="AJ231" i="1"/>
  <c r="AJ233" i="1"/>
  <c r="AJ243" i="1"/>
  <c r="AJ248" i="1"/>
  <c r="AJ251" i="1"/>
  <c r="AJ256" i="1"/>
  <c r="AJ258" i="1"/>
  <c r="AJ260" i="1"/>
  <c r="AJ264" i="1"/>
  <c r="AJ266" i="1"/>
  <c r="AJ284" i="1"/>
  <c r="AJ286" i="1"/>
  <c r="AJ288" i="1"/>
  <c r="AJ298" i="1"/>
  <c r="AJ300" i="1"/>
  <c r="AJ304" i="1"/>
  <c r="AJ307" i="1"/>
  <c r="AJ310" i="1"/>
  <c r="AJ317" i="1"/>
  <c r="AJ320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K60" i="1"/>
  <c r="AK62" i="1"/>
  <c r="AK64" i="1"/>
  <c r="AK68" i="1"/>
  <c r="AK80" i="1"/>
  <c r="AK83" i="1"/>
  <c r="AK94" i="1"/>
  <c r="AK97" i="1"/>
  <c r="AK102" i="1"/>
  <c r="AK104" i="1"/>
  <c r="AK107" i="1"/>
  <c r="AK112" i="1"/>
  <c r="AK115" i="1"/>
  <c r="AK117" i="1"/>
  <c r="AK119" i="1"/>
  <c r="AK125" i="1"/>
  <c r="AK131" i="1"/>
  <c r="AK134" i="1"/>
  <c r="AK142" i="1"/>
  <c r="AK146" i="1"/>
  <c r="AK159" i="1"/>
  <c r="AK191" i="1"/>
  <c r="AK208" i="1"/>
  <c r="AK212" i="1"/>
  <c r="AK215" i="1"/>
  <c r="AK226" i="1"/>
  <c r="AK231" i="1"/>
  <c r="AK233" i="1"/>
  <c r="AK243" i="1"/>
  <c r="AK248" i="1"/>
  <c r="AK251" i="1"/>
  <c r="AK256" i="1"/>
  <c r="AK258" i="1"/>
  <c r="AK260" i="1"/>
  <c r="AK264" i="1"/>
  <c r="AK266" i="1"/>
  <c r="AK284" i="1"/>
  <c r="AK286" i="1"/>
  <c r="AK288" i="1"/>
  <c r="AK298" i="1"/>
  <c r="AK300" i="1"/>
  <c r="AK304" i="1"/>
  <c r="AK307" i="1"/>
  <c r="AK310" i="1"/>
  <c r="AK317" i="1"/>
  <c r="AK320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L60" i="1"/>
  <c r="AL62" i="1"/>
  <c r="AL64" i="1"/>
  <c r="AL68" i="1"/>
  <c r="AL80" i="1"/>
  <c r="AL83" i="1"/>
  <c r="AL94" i="1"/>
  <c r="AL97" i="1"/>
  <c r="AL102" i="1"/>
  <c r="AL104" i="1"/>
  <c r="AL107" i="1"/>
  <c r="AL112" i="1"/>
  <c r="AL115" i="1"/>
  <c r="AL117" i="1"/>
  <c r="AL119" i="1"/>
  <c r="AL125" i="1"/>
  <c r="AL131" i="1"/>
  <c r="AL134" i="1"/>
  <c r="AL142" i="1"/>
  <c r="AL146" i="1"/>
  <c r="AL159" i="1"/>
  <c r="AL191" i="1"/>
  <c r="AL208" i="1"/>
  <c r="AL212" i="1"/>
  <c r="AL215" i="1"/>
  <c r="AL226" i="1"/>
  <c r="AL231" i="1"/>
  <c r="AL233" i="1"/>
  <c r="AL243" i="1"/>
  <c r="AL248" i="1"/>
  <c r="AL251" i="1"/>
  <c r="AL256" i="1"/>
  <c r="AL258" i="1"/>
  <c r="AL260" i="1"/>
  <c r="AL264" i="1"/>
  <c r="AL266" i="1"/>
  <c r="AL284" i="1"/>
  <c r="AL286" i="1"/>
  <c r="AL288" i="1"/>
  <c r="AL298" i="1"/>
  <c r="AL300" i="1"/>
  <c r="AL304" i="1"/>
  <c r="AL307" i="1"/>
  <c r="AL310" i="1"/>
  <c r="AL317" i="1"/>
  <c r="AL320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M60" i="1"/>
  <c r="AM62" i="1"/>
  <c r="AM64" i="1"/>
  <c r="AM68" i="1"/>
  <c r="AM80" i="1"/>
  <c r="AM83" i="1"/>
  <c r="AM94" i="1"/>
  <c r="AM97" i="1"/>
  <c r="AM102" i="1"/>
  <c r="AM104" i="1"/>
  <c r="AM107" i="1"/>
  <c r="AM112" i="1"/>
  <c r="AM115" i="1"/>
  <c r="AM117" i="1"/>
  <c r="AM119" i="1"/>
  <c r="AM125" i="1"/>
  <c r="AM131" i="1"/>
  <c r="AM134" i="1"/>
  <c r="AM142" i="1"/>
  <c r="AM146" i="1"/>
  <c r="AM159" i="1"/>
  <c r="AM191" i="1"/>
  <c r="AM208" i="1"/>
  <c r="AM212" i="1"/>
  <c r="AM215" i="1"/>
  <c r="AM226" i="1"/>
  <c r="AM231" i="1"/>
  <c r="AM233" i="1"/>
  <c r="AM243" i="1"/>
  <c r="AM248" i="1"/>
  <c r="AM251" i="1"/>
  <c r="AM256" i="1"/>
  <c r="AM258" i="1"/>
  <c r="AM260" i="1"/>
  <c r="AM264" i="1"/>
  <c r="AM266" i="1"/>
  <c r="AM284" i="1"/>
  <c r="AM286" i="1"/>
  <c r="AM288" i="1"/>
  <c r="AM298" i="1"/>
  <c r="AM300" i="1"/>
  <c r="AM304" i="1"/>
  <c r="AM307" i="1"/>
  <c r="AM310" i="1"/>
  <c r="AM317" i="1"/>
  <c r="AM320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O60" i="1"/>
  <c r="AO61" i="1"/>
  <c r="AO62" i="1"/>
  <c r="AO63" i="1"/>
  <c r="AO64" i="1"/>
  <c r="AO65" i="1"/>
  <c r="AO68" i="1"/>
  <c r="AO78" i="1"/>
  <c r="AO80" i="1"/>
  <c r="AO81" i="1"/>
  <c r="AO83" i="1"/>
  <c r="AO84" i="1"/>
  <c r="AO94" i="1"/>
  <c r="AO95" i="1"/>
  <c r="AO97" i="1"/>
  <c r="AO98" i="1"/>
  <c r="AO102" i="1"/>
  <c r="AO103" i="1"/>
  <c r="AO104" i="1"/>
  <c r="AO105" i="1"/>
  <c r="AO107" i="1"/>
  <c r="AO108" i="1"/>
  <c r="AO112" i="1"/>
  <c r="AO113" i="1"/>
  <c r="AO115" i="1"/>
  <c r="AO116" i="1"/>
  <c r="AO117" i="1"/>
  <c r="AO118" i="1"/>
  <c r="AO119" i="1"/>
  <c r="AO120" i="1"/>
  <c r="AO125" i="1"/>
  <c r="AO126" i="1"/>
  <c r="AO131" i="1"/>
  <c r="AO132" i="1"/>
  <c r="AO134" i="1"/>
  <c r="AO135" i="1"/>
  <c r="AO142" i="1"/>
  <c r="AO143" i="1"/>
  <c r="AO146" i="1"/>
  <c r="AO147" i="1"/>
  <c r="AO159" i="1"/>
  <c r="AO160" i="1"/>
  <c r="AO176" i="1"/>
  <c r="AO191" i="1"/>
  <c r="AO192" i="1"/>
  <c r="AO208" i="1"/>
  <c r="AO209" i="1"/>
  <c r="AO212" i="1"/>
  <c r="AO213" i="1"/>
  <c r="AO215" i="1"/>
  <c r="AO226" i="1"/>
  <c r="AO227" i="1"/>
  <c r="AO231" i="1"/>
  <c r="AO232" i="1"/>
  <c r="AO233" i="1"/>
  <c r="AO234" i="1"/>
  <c r="AO243" i="1"/>
  <c r="AO248" i="1"/>
  <c r="AO249" i="1"/>
  <c r="AO251" i="1"/>
  <c r="AO252" i="1"/>
  <c r="AO256" i="1"/>
  <c r="AO257" i="1"/>
  <c r="AO258" i="1"/>
  <c r="AO259" i="1"/>
  <c r="AO260" i="1"/>
  <c r="AO261" i="1"/>
  <c r="AO264" i="1"/>
  <c r="AO265" i="1"/>
  <c r="AO266" i="1"/>
  <c r="AO267" i="1"/>
  <c r="AO284" i="1"/>
  <c r="AO285" i="1"/>
  <c r="AO286" i="1"/>
  <c r="AO287" i="1"/>
  <c r="AO288" i="1"/>
  <c r="AO298" i="1"/>
  <c r="AO300" i="1"/>
  <c r="AO304" i="1"/>
  <c r="AO307" i="1"/>
  <c r="AO310" i="1"/>
  <c r="AO317" i="1"/>
  <c r="AO320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P60" i="1"/>
  <c r="AP61" i="1"/>
  <c r="AP62" i="1"/>
  <c r="AP63" i="1"/>
  <c r="AP64" i="1"/>
  <c r="AP65" i="1"/>
  <c r="AP66" i="1"/>
  <c r="AP67" i="1"/>
  <c r="AP68" i="1"/>
  <c r="AP78" i="1"/>
  <c r="AP79" i="1"/>
  <c r="AP80" i="1"/>
  <c r="AP81" i="1"/>
  <c r="AP82" i="1"/>
  <c r="AP83" i="1"/>
  <c r="AP84" i="1"/>
  <c r="AP85" i="1"/>
  <c r="AP86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Q60" i="1"/>
  <c r="AQ62" i="1"/>
  <c r="AQ64" i="1"/>
  <c r="AQ68" i="1"/>
  <c r="AQ80" i="1"/>
  <c r="AQ83" i="1"/>
  <c r="AQ94" i="1"/>
  <c r="AQ97" i="1"/>
  <c r="AQ102" i="1"/>
  <c r="AQ104" i="1"/>
  <c r="AQ107" i="1"/>
  <c r="AQ112" i="1"/>
  <c r="AQ115" i="1"/>
  <c r="AQ117" i="1"/>
  <c r="AQ119" i="1"/>
  <c r="AQ125" i="1"/>
  <c r="AQ131" i="1"/>
  <c r="AQ134" i="1"/>
  <c r="AQ142" i="1"/>
  <c r="AQ146" i="1"/>
  <c r="AQ159" i="1"/>
  <c r="AQ191" i="1"/>
  <c r="AQ208" i="1"/>
  <c r="AQ212" i="1"/>
  <c r="AQ215" i="1"/>
  <c r="AQ226" i="1"/>
  <c r="AQ231" i="1"/>
  <c r="AQ233" i="1"/>
  <c r="AQ243" i="1"/>
  <c r="AQ248" i="1"/>
  <c r="AQ251" i="1"/>
  <c r="AQ256" i="1"/>
  <c r="AQ258" i="1"/>
  <c r="AQ260" i="1"/>
  <c r="AQ264" i="1"/>
  <c r="AQ266" i="1"/>
  <c r="AQ284" i="1"/>
  <c r="AQ286" i="1"/>
  <c r="AQ288" i="1"/>
  <c r="AQ298" i="1"/>
  <c r="AQ300" i="1"/>
  <c r="AQ304" i="1"/>
  <c r="AQ307" i="1"/>
  <c r="AQ310" i="1"/>
  <c r="AQ317" i="1"/>
  <c r="AQ320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R60" i="1"/>
  <c r="AR62" i="1"/>
  <c r="AR64" i="1"/>
  <c r="AR68" i="1"/>
  <c r="AR80" i="1"/>
  <c r="AR83" i="1"/>
  <c r="AR94" i="1"/>
  <c r="AR97" i="1"/>
  <c r="AR102" i="1"/>
  <c r="AR104" i="1"/>
  <c r="AR107" i="1"/>
  <c r="AR112" i="1"/>
  <c r="AR115" i="1"/>
  <c r="AR117" i="1"/>
  <c r="AR119" i="1"/>
  <c r="AR125" i="1"/>
  <c r="AR131" i="1"/>
  <c r="AR134" i="1"/>
  <c r="AR142" i="1"/>
  <c r="AR146" i="1"/>
  <c r="AR159" i="1"/>
  <c r="AR191" i="1"/>
  <c r="AR208" i="1"/>
  <c r="AR212" i="1"/>
  <c r="AR215" i="1"/>
  <c r="AR226" i="1"/>
  <c r="AR231" i="1"/>
  <c r="AR233" i="1"/>
  <c r="AR243" i="1"/>
  <c r="AR248" i="1"/>
  <c r="AR251" i="1"/>
  <c r="AR256" i="1"/>
  <c r="AR258" i="1"/>
  <c r="AR260" i="1"/>
  <c r="AR264" i="1"/>
  <c r="AR266" i="1"/>
  <c r="AR284" i="1"/>
  <c r="AR286" i="1"/>
  <c r="AR288" i="1"/>
  <c r="AR298" i="1"/>
  <c r="AR300" i="1"/>
  <c r="AR304" i="1"/>
  <c r="AR307" i="1"/>
  <c r="AR310" i="1"/>
  <c r="AR317" i="1"/>
  <c r="AR320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S60" i="1"/>
  <c r="AS61" i="1"/>
  <c r="AS62" i="1"/>
  <c r="AS63" i="1"/>
  <c r="AS64" i="1"/>
  <c r="AS65" i="1"/>
  <c r="AS66" i="1"/>
  <c r="AS67" i="1"/>
  <c r="AS68" i="1"/>
  <c r="AS78" i="1"/>
  <c r="AS79" i="1"/>
  <c r="AS80" i="1"/>
  <c r="AS81" i="1"/>
  <c r="AS82" i="1"/>
  <c r="AS83" i="1"/>
  <c r="AS84" i="1"/>
  <c r="AS85" i="1"/>
  <c r="AS86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U60" i="1"/>
  <c r="AU62" i="1"/>
  <c r="AU64" i="1"/>
  <c r="AU68" i="1"/>
  <c r="AU80" i="1"/>
  <c r="AU83" i="1"/>
  <c r="AU94" i="1"/>
  <c r="AU97" i="1"/>
  <c r="AU102" i="1"/>
  <c r="AU104" i="1"/>
  <c r="AU107" i="1"/>
  <c r="AU112" i="1"/>
  <c r="AU115" i="1"/>
  <c r="AU117" i="1"/>
  <c r="AU119" i="1"/>
  <c r="AU125" i="1"/>
  <c r="AU131" i="1"/>
  <c r="AU134" i="1"/>
  <c r="AU142" i="1"/>
  <c r="AU146" i="1"/>
  <c r="AU159" i="1"/>
  <c r="AU175" i="1"/>
  <c r="AU191" i="1"/>
  <c r="AU208" i="1"/>
  <c r="AU212" i="1"/>
  <c r="AU215" i="1"/>
  <c r="AU226" i="1"/>
  <c r="AU231" i="1"/>
  <c r="AU233" i="1"/>
  <c r="AU243" i="1"/>
  <c r="AU248" i="1"/>
  <c r="AU251" i="1"/>
  <c r="AU256" i="1"/>
  <c r="AU258" i="1"/>
  <c r="AU260" i="1"/>
  <c r="AU264" i="1"/>
  <c r="AU266" i="1"/>
  <c r="AU284" i="1"/>
  <c r="AU286" i="1"/>
  <c r="AU288" i="1"/>
  <c r="AU291" i="1"/>
  <c r="AU292" i="1"/>
  <c r="C237" i="22" s="1"/>
  <c r="AU293" i="1"/>
  <c r="C238" i="22" s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V60" i="1"/>
  <c r="AV61" i="1"/>
  <c r="AV62" i="1"/>
  <c r="AV63" i="1"/>
  <c r="AV64" i="1"/>
  <c r="AV65" i="1"/>
  <c r="AV66" i="1"/>
  <c r="AV67" i="1"/>
  <c r="AV68" i="1"/>
  <c r="AV78" i="1"/>
  <c r="AV79" i="1"/>
  <c r="AV80" i="1"/>
  <c r="AV81" i="1"/>
  <c r="AV82" i="1"/>
  <c r="AV83" i="1"/>
  <c r="AV84" i="1"/>
  <c r="AV85" i="1"/>
  <c r="AV86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W60" i="1"/>
  <c r="AW62" i="1"/>
  <c r="AW64" i="1"/>
  <c r="AW68" i="1"/>
  <c r="AW80" i="1"/>
  <c r="AW83" i="1"/>
  <c r="AW94" i="1"/>
  <c r="AW97" i="1"/>
  <c r="AW102" i="1"/>
  <c r="AW104" i="1"/>
  <c r="AW107" i="1"/>
  <c r="AW112" i="1"/>
  <c r="AW115" i="1"/>
  <c r="AW117" i="1"/>
  <c r="AW119" i="1"/>
  <c r="AW125" i="1"/>
  <c r="AW131" i="1"/>
  <c r="AW134" i="1"/>
  <c r="AW142" i="1"/>
  <c r="AW146" i="1"/>
  <c r="AW159" i="1"/>
  <c r="AW191" i="1"/>
  <c r="AW208" i="1"/>
  <c r="AW212" i="1"/>
  <c r="AW215" i="1"/>
  <c r="AW226" i="1"/>
  <c r="AW231" i="1"/>
  <c r="AW233" i="1"/>
  <c r="AW243" i="1"/>
  <c r="AW248" i="1"/>
  <c r="AW251" i="1"/>
  <c r="AW256" i="1"/>
  <c r="AW258" i="1"/>
  <c r="AW260" i="1"/>
  <c r="AW264" i="1"/>
  <c r="AW266" i="1"/>
  <c r="AW284" i="1"/>
  <c r="AW286" i="1"/>
  <c r="AW288" i="1"/>
  <c r="AW298" i="1"/>
  <c r="AW300" i="1"/>
  <c r="AW304" i="1"/>
  <c r="AW307" i="1"/>
  <c r="AW310" i="1"/>
  <c r="AW317" i="1"/>
  <c r="AW320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X60" i="1"/>
  <c r="AX62" i="1"/>
  <c r="AX64" i="1"/>
  <c r="AX68" i="1"/>
  <c r="AX80" i="1"/>
  <c r="AX83" i="1"/>
  <c r="AX94" i="1"/>
  <c r="AX97" i="1"/>
  <c r="AX102" i="1"/>
  <c r="AX104" i="1"/>
  <c r="AX107" i="1"/>
  <c r="AX112" i="1"/>
  <c r="AX115" i="1"/>
  <c r="AX117" i="1"/>
  <c r="AX119" i="1"/>
  <c r="AX125" i="1"/>
  <c r="AX131" i="1"/>
  <c r="AX134" i="1"/>
  <c r="AX142" i="1"/>
  <c r="AX146" i="1"/>
  <c r="AX159" i="1"/>
  <c r="AX191" i="1"/>
  <c r="AX208" i="1"/>
  <c r="AX212" i="1"/>
  <c r="AX215" i="1"/>
  <c r="AX226" i="1"/>
  <c r="AX231" i="1"/>
  <c r="AX233" i="1"/>
  <c r="AX243" i="1"/>
  <c r="AX248" i="1"/>
  <c r="AX251" i="1"/>
  <c r="AX256" i="1"/>
  <c r="AX258" i="1"/>
  <c r="AX260" i="1"/>
  <c r="AX264" i="1"/>
  <c r="AX266" i="1"/>
  <c r="AX284" i="1"/>
  <c r="AX286" i="1"/>
  <c r="AX288" i="1"/>
  <c r="AX298" i="1"/>
  <c r="AX300" i="1"/>
  <c r="AX304" i="1"/>
  <c r="AX307" i="1"/>
  <c r="AX310" i="1"/>
  <c r="AX317" i="1"/>
  <c r="AX320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AX501" i="1"/>
  <c r="AX502" i="1"/>
  <c r="AX503" i="1"/>
  <c r="AX504" i="1"/>
  <c r="AX505" i="1"/>
  <c r="AX506" i="1"/>
  <c r="AX507" i="1"/>
  <c r="AX508" i="1"/>
  <c r="AX509" i="1"/>
  <c r="AX510" i="1"/>
  <c r="AX511" i="1"/>
  <c r="AX512" i="1"/>
  <c r="AX513" i="1"/>
  <c r="AX514" i="1"/>
  <c r="AX515" i="1"/>
  <c r="AX516" i="1"/>
  <c r="AX517" i="1"/>
  <c r="AX518" i="1"/>
  <c r="AX519" i="1"/>
  <c r="AX520" i="1"/>
  <c r="AX521" i="1"/>
  <c r="AX522" i="1"/>
  <c r="AX523" i="1"/>
  <c r="AX524" i="1"/>
  <c r="AX525" i="1"/>
  <c r="AX526" i="1"/>
  <c r="AX527" i="1"/>
  <c r="AX528" i="1"/>
  <c r="AX529" i="1"/>
  <c r="AX530" i="1"/>
  <c r="AX531" i="1"/>
  <c r="AX532" i="1"/>
  <c r="AX533" i="1"/>
  <c r="AX534" i="1"/>
  <c r="AX535" i="1"/>
  <c r="AX536" i="1"/>
  <c r="AX537" i="1"/>
  <c r="AX538" i="1"/>
  <c r="AX539" i="1"/>
  <c r="AX540" i="1"/>
  <c r="AX541" i="1"/>
  <c r="AX542" i="1"/>
  <c r="AX543" i="1"/>
  <c r="AX544" i="1"/>
  <c r="AX545" i="1"/>
  <c r="AX546" i="1"/>
  <c r="AX547" i="1"/>
  <c r="AX548" i="1"/>
  <c r="AX549" i="1"/>
  <c r="AX550" i="1"/>
  <c r="AX551" i="1"/>
  <c r="AX552" i="1"/>
  <c r="AX553" i="1"/>
  <c r="AX554" i="1"/>
  <c r="AX555" i="1"/>
  <c r="AX556" i="1"/>
  <c r="AX557" i="1"/>
  <c r="AX558" i="1"/>
  <c r="AX559" i="1"/>
  <c r="AX560" i="1"/>
  <c r="AX561" i="1"/>
  <c r="AX562" i="1"/>
  <c r="AX563" i="1"/>
  <c r="AX564" i="1"/>
  <c r="AX565" i="1"/>
  <c r="AX566" i="1"/>
  <c r="AX567" i="1"/>
  <c r="AX568" i="1"/>
  <c r="AX569" i="1"/>
  <c r="AX570" i="1"/>
  <c r="AX571" i="1"/>
  <c r="AX572" i="1"/>
  <c r="AX573" i="1"/>
  <c r="AX574" i="1"/>
  <c r="AX575" i="1"/>
  <c r="AX576" i="1"/>
  <c r="AX577" i="1"/>
  <c r="AX578" i="1"/>
  <c r="AX579" i="1"/>
  <c r="AX580" i="1"/>
  <c r="AX581" i="1"/>
  <c r="AX582" i="1"/>
  <c r="AX583" i="1"/>
  <c r="AX584" i="1"/>
  <c r="AX585" i="1"/>
  <c r="AX586" i="1"/>
  <c r="AX587" i="1"/>
  <c r="AX588" i="1"/>
  <c r="AX589" i="1"/>
  <c r="AX590" i="1"/>
  <c r="AX591" i="1"/>
  <c r="AX592" i="1"/>
  <c r="AX593" i="1"/>
  <c r="AX594" i="1"/>
  <c r="AX595" i="1"/>
  <c r="AX596" i="1"/>
  <c r="AX597" i="1"/>
  <c r="AX598" i="1"/>
  <c r="AX599" i="1"/>
  <c r="AX600" i="1"/>
  <c r="AX601" i="1"/>
  <c r="AX602" i="1"/>
  <c r="AX603" i="1"/>
  <c r="AX604" i="1"/>
  <c r="AX605" i="1"/>
  <c r="AX606" i="1"/>
  <c r="AX607" i="1"/>
  <c r="AX608" i="1"/>
  <c r="AX609" i="1"/>
  <c r="AX610" i="1"/>
  <c r="AX611" i="1"/>
  <c r="AX612" i="1"/>
  <c r="AX613" i="1"/>
  <c r="AX614" i="1"/>
  <c r="AX615" i="1"/>
  <c r="AX616" i="1"/>
  <c r="AX617" i="1"/>
  <c r="AX618" i="1"/>
  <c r="AX619" i="1"/>
  <c r="AX620" i="1"/>
  <c r="AX621" i="1"/>
  <c r="AX622" i="1"/>
  <c r="AX623" i="1"/>
  <c r="AX624" i="1"/>
  <c r="AX625" i="1"/>
  <c r="AX626" i="1"/>
  <c r="AX627" i="1"/>
  <c r="AX628" i="1"/>
  <c r="AX629" i="1"/>
  <c r="AX630" i="1"/>
  <c r="AX631" i="1"/>
  <c r="AX632" i="1"/>
  <c r="AX633" i="1"/>
  <c r="AX634" i="1"/>
  <c r="AX635" i="1"/>
  <c r="AX636" i="1"/>
  <c r="AX637" i="1"/>
  <c r="AX638" i="1"/>
  <c r="AX639" i="1"/>
  <c r="AX640" i="1"/>
  <c r="AX641" i="1"/>
  <c r="AX642" i="1"/>
  <c r="AX643" i="1"/>
  <c r="AX644" i="1"/>
  <c r="AX645" i="1"/>
  <c r="AX646" i="1"/>
  <c r="AX647" i="1"/>
  <c r="AX648" i="1"/>
  <c r="AX649" i="1"/>
  <c r="AX650" i="1"/>
  <c r="AX651" i="1"/>
  <c r="AX652" i="1"/>
  <c r="AX653" i="1"/>
  <c r="AX654" i="1"/>
  <c r="AX655" i="1"/>
  <c r="AX656" i="1"/>
  <c r="AX657" i="1"/>
  <c r="AX658" i="1"/>
  <c r="AX659" i="1"/>
  <c r="AX660" i="1"/>
  <c r="AX661" i="1"/>
  <c r="AX662" i="1"/>
  <c r="AX663" i="1"/>
  <c r="AX664" i="1"/>
  <c r="AX665" i="1"/>
  <c r="AX666" i="1"/>
  <c r="AX667" i="1"/>
  <c r="AX668" i="1"/>
  <c r="AX669" i="1"/>
  <c r="AX670" i="1"/>
  <c r="AX671" i="1"/>
  <c r="AX672" i="1"/>
  <c r="AX673" i="1"/>
  <c r="AX674" i="1"/>
  <c r="AX675" i="1"/>
  <c r="AX676" i="1"/>
  <c r="AX677" i="1"/>
  <c r="AX678" i="1"/>
  <c r="AX679" i="1"/>
  <c r="AX680" i="1"/>
  <c r="AX681" i="1"/>
  <c r="AX682" i="1"/>
  <c r="AX683" i="1"/>
  <c r="AX684" i="1"/>
  <c r="AX685" i="1"/>
  <c r="AX686" i="1"/>
  <c r="AX687" i="1"/>
  <c r="AX688" i="1"/>
  <c r="AX689" i="1"/>
  <c r="AX690" i="1"/>
  <c r="AX691" i="1"/>
  <c r="AX692" i="1"/>
  <c r="AX693" i="1"/>
  <c r="AX694" i="1"/>
  <c r="AX695" i="1"/>
  <c r="AX696" i="1"/>
  <c r="AX697" i="1"/>
  <c r="AX698" i="1"/>
  <c r="AX699" i="1"/>
  <c r="AX700" i="1"/>
  <c r="AX701" i="1"/>
  <c r="AX702" i="1"/>
  <c r="AX703" i="1"/>
  <c r="AX704" i="1"/>
  <c r="AX705" i="1"/>
  <c r="AX706" i="1"/>
  <c r="AX707" i="1"/>
  <c r="AX708" i="1"/>
  <c r="AX709" i="1"/>
  <c r="AX710" i="1"/>
  <c r="AX711" i="1"/>
  <c r="AX712" i="1"/>
  <c r="AX713" i="1"/>
  <c r="AX714" i="1"/>
  <c r="AX715" i="1"/>
  <c r="AX716" i="1"/>
  <c r="AX717" i="1"/>
  <c r="AX718" i="1"/>
  <c r="AX719" i="1"/>
  <c r="AX720" i="1"/>
  <c r="AX721" i="1"/>
  <c r="AX722" i="1"/>
  <c r="AX723" i="1"/>
  <c r="AX724" i="1"/>
  <c r="AX725" i="1"/>
  <c r="AX726" i="1"/>
  <c r="AX727" i="1"/>
  <c r="AX728" i="1"/>
  <c r="AX729" i="1"/>
  <c r="AX730" i="1"/>
  <c r="AX731" i="1"/>
  <c r="AX732" i="1"/>
  <c r="AX733" i="1"/>
  <c r="AX734" i="1"/>
  <c r="AX735" i="1"/>
  <c r="AX736" i="1"/>
  <c r="AX737" i="1"/>
  <c r="AX738" i="1"/>
  <c r="AX739" i="1"/>
  <c r="AX740" i="1"/>
  <c r="AX741" i="1"/>
  <c r="AX742" i="1"/>
  <c r="AX743" i="1"/>
  <c r="AX744" i="1"/>
  <c r="AX745" i="1"/>
  <c r="AX746" i="1"/>
  <c r="AX747" i="1"/>
  <c r="AX748" i="1"/>
  <c r="AX749" i="1"/>
  <c r="AX750" i="1"/>
  <c r="AX751" i="1"/>
  <c r="AX752" i="1"/>
  <c r="AX753" i="1"/>
  <c r="AX754" i="1"/>
  <c r="AX755" i="1"/>
  <c r="AX756" i="1"/>
  <c r="AX757" i="1"/>
  <c r="AX758" i="1"/>
  <c r="AX759" i="1"/>
  <c r="AX760" i="1"/>
  <c r="AX761" i="1"/>
  <c r="AX762" i="1"/>
  <c r="AX763" i="1"/>
  <c r="AX764" i="1"/>
  <c r="AX765" i="1"/>
  <c r="AX766" i="1"/>
  <c r="AX767" i="1"/>
  <c r="AX768" i="1"/>
  <c r="AX769" i="1"/>
  <c r="AX770" i="1"/>
  <c r="AX771" i="1"/>
  <c r="AX772" i="1"/>
  <c r="AX773" i="1"/>
  <c r="AX774" i="1"/>
  <c r="AX775" i="1"/>
  <c r="AX776" i="1"/>
  <c r="AX777" i="1"/>
  <c r="AX778" i="1"/>
  <c r="AX779" i="1"/>
  <c r="AX780" i="1"/>
  <c r="AX781" i="1"/>
  <c r="AX782" i="1"/>
  <c r="AX783" i="1"/>
  <c r="AX784" i="1"/>
  <c r="AX785" i="1"/>
  <c r="AX786" i="1"/>
  <c r="AX787" i="1"/>
  <c r="AX788" i="1"/>
  <c r="AX789" i="1"/>
  <c r="AX790" i="1"/>
  <c r="AX791" i="1"/>
  <c r="AX792" i="1"/>
  <c r="AX793" i="1"/>
  <c r="AX794" i="1"/>
  <c r="AX795" i="1"/>
  <c r="AX796" i="1"/>
  <c r="AX797" i="1"/>
  <c r="AX798" i="1"/>
  <c r="AX799" i="1"/>
  <c r="AX800" i="1"/>
  <c r="AX801" i="1"/>
  <c r="AX802" i="1"/>
  <c r="AX803" i="1"/>
  <c r="AX804" i="1"/>
  <c r="AX805" i="1"/>
  <c r="AX806" i="1"/>
  <c r="AX807" i="1"/>
  <c r="AX808" i="1"/>
  <c r="AX809" i="1"/>
  <c r="AX810" i="1"/>
  <c r="AX811" i="1"/>
  <c r="AX812" i="1"/>
  <c r="AX813" i="1"/>
  <c r="AX814" i="1"/>
  <c r="AX815" i="1"/>
  <c r="AX816" i="1"/>
  <c r="AX817" i="1"/>
  <c r="AX818" i="1"/>
  <c r="AX819" i="1"/>
  <c r="AX820" i="1"/>
  <c r="AX821" i="1"/>
  <c r="AX822" i="1"/>
  <c r="AX823" i="1"/>
  <c r="AX824" i="1"/>
  <c r="AX825" i="1"/>
  <c r="AX826" i="1"/>
  <c r="AX827" i="1"/>
  <c r="AX828" i="1"/>
  <c r="AX829" i="1"/>
  <c r="AX830" i="1"/>
  <c r="AX831" i="1"/>
  <c r="AX832" i="1"/>
  <c r="AX833" i="1"/>
  <c r="AX834" i="1"/>
  <c r="AX835" i="1"/>
  <c r="AX836" i="1"/>
  <c r="AX837" i="1"/>
  <c r="AX838" i="1"/>
  <c r="AX839" i="1"/>
  <c r="AX840" i="1"/>
  <c r="AX841" i="1"/>
  <c r="AX842" i="1"/>
  <c r="AX843" i="1"/>
  <c r="AX844" i="1"/>
  <c r="AX845" i="1"/>
  <c r="AX846" i="1"/>
  <c r="AX847" i="1"/>
  <c r="AX848" i="1"/>
  <c r="AX849" i="1"/>
  <c r="AX850" i="1"/>
  <c r="AX851" i="1"/>
  <c r="AX852" i="1"/>
  <c r="AX853" i="1"/>
  <c r="AX854" i="1"/>
  <c r="AX855" i="1"/>
  <c r="AX856" i="1"/>
  <c r="AX857" i="1"/>
  <c r="AX858" i="1"/>
  <c r="AX859" i="1"/>
  <c r="AX860" i="1"/>
  <c r="AX861" i="1"/>
  <c r="AX862" i="1"/>
  <c r="AX863" i="1"/>
  <c r="AX864" i="1"/>
  <c r="AX865" i="1"/>
  <c r="AX866" i="1"/>
  <c r="AX867" i="1"/>
  <c r="AX868" i="1"/>
  <c r="AX869" i="1"/>
  <c r="AX870" i="1"/>
  <c r="AX871" i="1"/>
  <c r="AX872" i="1"/>
  <c r="AX873" i="1"/>
  <c r="AX874" i="1"/>
  <c r="AX875" i="1"/>
  <c r="AX876" i="1"/>
  <c r="AX877" i="1"/>
  <c r="AX878" i="1"/>
  <c r="AX879" i="1"/>
  <c r="AX880" i="1"/>
  <c r="AX881" i="1"/>
  <c r="AX882" i="1"/>
  <c r="AX883" i="1"/>
  <c r="AX884" i="1"/>
  <c r="AX885" i="1"/>
  <c r="AX886" i="1"/>
  <c r="AX887" i="1"/>
  <c r="AX888" i="1"/>
  <c r="AX889" i="1"/>
  <c r="AX890" i="1"/>
  <c r="AX891" i="1"/>
  <c r="AX892" i="1"/>
  <c r="AX893" i="1"/>
  <c r="AX894" i="1"/>
  <c r="AX895" i="1"/>
  <c r="AX896" i="1"/>
  <c r="AX897" i="1"/>
  <c r="AX898" i="1"/>
  <c r="AX899" i="1"/>
  <c r="AX900" i="1"/>
  <c r="AX901" i="1"/>
  <c r="AX902" i="1"/>
  <c r="AX903" i="1"/>
  <c r="AX904" i="1"/>
  <c r="AX905" i="1"/>
  <c r="AX906" i="1"/>
  <c r="AX907" i="1"/>
  <c r="AX908" i="1"/>
  <c r="AX909" i="1"/>
  <c r="AX910" i="1"/>
  <c r="AX911" i="1"/>
  <c r="AX912" i="1"/>
  <c r="AX913" i="1"/>
  <c r="AX914" i="1"/>
  <c r="AX915" i="1"/>
  <c r="AX916" i="1"/>
  <c r="AX917" i="1"/>
  <c r="AX918" i="1"/>
  <c r="AX919" i="1"/>
  <c r="AX920" i="1"/>
  <c r="AX921" i="1"/>
  <c r="AX922" i="1"/>
  <c r="AX923" i="1"/>
  <c r="AX924" i="1"/>
  <c r="AX925" i="1"/>
  <c r="AX926" i="1"/>
  <c r="AX927" i="1"/>
  <c r="AX928" i="1"/>
  <c r="AX929" i="1"/>
  <c r="AX930" i="1"/>
  <c r="AX931" i="1"/>
  <c r="AX932" i="1"/>
  <c r="AX933" i="1"/>
  <c r="AX934" i="1"/>
  <c r="AX935" i="1"/>
  <c r="AX936" i="1"/>
  <c r="AX937" i="1"/>
  <c r="AX938" i="1"/>
  <c r="AX939" i="1"/>
  <c r="AX940" i="1"/>
  <c r="AX941" i="1"/>
  <c r="AX942" i="1"/>
  <c r="AX943" i="1"/>
  <c r="AX944" i="1"/>
  <c r="AX945" i="1"/>
  <c r="AX946" i="1"/>
  <c r="AX947" i="1"/>
  <c r="AX948" i="1"/>
  <c r="AX949" i="1"/>
  <c r="AX950" i="1"/>
  <c r="AX951" i="1"/>
  <c r="AX952" i="1"/>
  <c r="AX953" i="1"/>
  <c r="AX954" i="1"/>
  <c r="AX955" i="1"/>
  <c r="AX956" i="1"/>
  <c r="AX957" i="1"/>
  <c r="AX958" i="1"/>
  <c r="AX959" i="1"/>
  <c r="AX960" i="1"/>
  <c r="AX961" i="1"/>
  <c r="AX962" i="1"/>
  <c r="AX963" i="1"/>
  <c r="AX964" i="1"/>
  <c r="AX965" i="1"/>
  <c r="AX966" i="1"/>
  <c r="AX967" i="1"/>
  <c r="AX968" i="1"/>
  <c r="AX969" i="1"/>
  <c r="AX970" i="1"/>
  <c r="AX971" i="1"/>
  <c r="AX972" i="1"/>
  <c r="AX973" i="1"/>
  <c r="AX974" i="1"/>
  <c r="AX975" i="1"/>
  <c r="AX976" i="1"/>
  <c r="AX977" i="1"/>
  <c r="AX978" i="1"/>
  <c r="AX979" i="1"/>
  <c r="AX980" i="1"/>
  <c r="AX981" i="1"/>
  <c r="AX982" i="1"/>
  <c r="AX983" i="1"/>
  <c r="AX984" i="1"/>
  <c r="AX985" i="1"/>
  <c r="AX986" i="1"/>
  <c r="AX987" i="1"/>
  <c r="AX988" i="1"/>
  <c r="AX989" i="1"/>
  <c r="AX990" i="1"/>
  <c r="AX991" i="1"/>
  <c r="AX992" i="1"/>
  <c r="AX993" i="1"/>
  <c r="AX994" i="1"/>
  <c r="AX995" i="1"/>
  <c r="AX996" i="1"/>
  <c r="AX997" i="1"/>
  <c r="AX998" i="1"/>
  <c r="AX999" i="1"/>
  <c r="AX1000" i="1"/>
  <c r="AX1001" i="1"/>
  <c r="AX1002" i="1"/>
  <c r="AX1003" i="1"/>
  <c r="AX1004" i="1"/>
  <c r="AX1005" i="1"/>
  <c r="AX1006" i="1"/>
  <c r="AX1007" i="1"/>
  <c r="AX1008" i="1"/>
  <c r="AX1009" i="1"/>
  <c r="AX1010" i="1"/>
  <c r="AX1011" i="1"/>
  <c r="AY60" i="1"/>
  <c r="AY62" i="1"/>
  <c r="AY64" i="1"/>
  <c r="AY68" i="1"/>
  <c r="AY80" i="1"/>
  <c r="AY83" i="1"/>
  <c r="AY94" i="1"/>
  <c r="AY97" i="1"/>
  <c r="AY102" i="1"/>
  <c r="AY104" i="1"/>
  <c r="AY107" i="1"/>
  <c r="AY112" i="1"/>
  <c r="AY115" i="1"/>
  <c r="AY117" i="1"/>
  <c r="AY119" i="1"/>
  <c r="AY125" i="1"/>
  <c r="AY131" i="1"/>
  <c r="AY134" i="1"/>
  <c r="AY142" i="1"/>
  <c r="AY146" i="1"/>
  <c r="AY159" i="1"/>
  <c r="AY191" i="1"/>
  <c r="AY208" i="1"/>
  <c r="AY212" i="1"/>
  <c r="AY215" i="1"/>
  <c r="AY226" i="1"/>
  <c r="AY231" i="1"/>
  <c r="AY233" i="1"/>
  <c r="AY243" i="1"/>
  <c r="AY248" i="1"/>
  <c r="AY251" i="1"/>
  <c r="AY256" i="1"/>
  <c r="AY258" i="1"/>
  <c r="AY260" i="1"/>
  <c r="AY264" i="1"/>
  <c r="AY266" i="1"/>
  <c r="AY284" i="1"/>
  <c r="AY286" i="1"/>
  <c r="AY288" i="1"/>
  <c r="AY298" i="1"/>
  <c r="AY300" i="1"/>
  <c r="AY304" i="1"/>
  <c r="AY307" i="1"/>
  <c r="AY310" i="1"/>
  <c r="AY317" i="1"/>
  <c r="AY320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Z60" i="1"/>
  <c r="AZ62" i="1"/>
  <c r="AZ64" i="1"/>
  <c r="AZ68" i="1"/>
  <c r="AZ80" i="1"/>
  <c r="AZ83" i="1"/>
  <c r="AZ94" i="1"/>
  <c r="AZ97" i="1"/>
  <c r="AZ102" i="1"/>
  <c r="AZ104" i="1"/>
  <c r="AZ107" i="1"/>
  <c r="AZ112" i="1"/>
  <c r="AZ115" i="1"/>
  <c r="AZ117" i="1"/>
  <c r="AZ119" i="1"/>
  <c r="AZ125" i="1"/>
  <c r="AZ131" i="1"/>
  <c r="AZ134" i="1"/>
  <c r="AZ142" i="1"/>
  <c r="AZ146" i="1"/>
  <c r="AZ159" i="1"/>
  <c r="AZ191" i="1"/>
  <c r="AZ208" i="1"/>
  <c r="AZ212" i="1"/>
  <c r="AZ215" i="1"/>
  <c r="AZ226" i="1"/>
  <c r="AZ231" i="1"/>
  <c r="AZ233" i="1"/>
  <c r="AZ243" i="1"/>
  <c r="AZ248" i="1"/>
  <c r="AZ251" i="1"/>
  <c r="AZ256" i="1"/>
  <c r="AZ258" i="1"/>
  <c r="AZ260" i="1"/>
  <c r="AZ264" i="1"/>
  <c r="AZ266" i="1"/>
  <c r="AZ284" i="1"/>
  <c r="AZ286" i="1"/>
  <c r="AZ288" i="1"/>
  <c r="AZ298" i="1"/>
  <c r="AZ300" i="1"/>
  <c r="AZ304" i="1"/>
  <c r="AZ307" i="1"/>
  <c r="AZ310" i="1"/>
  <c r="AZ317" i="1"/>
  <c r="AZ320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425" i="1"/>
  <c r="AZ426" i="1"/>
  <c r="AZ427" i="1"/>
  <c r="AZ428" i="1"/>
  <c r="AZ429" i="1"/>
  <c r="AZ430" i="1"/>
  <c r="AZ431" i="1"/>
  <c r="AZ432" i="1"/>
  <c r="AZ433" i="1"/>
  <c r="AZ434" i="1"/>
  <c r="AZ435" i="1"/>
  <c r="AZ436" i="1"/>
  <c r="AZ437" i="1"/>
  <c r="AZ438" i="1"/>
  <c r="AZ439" i="1"/>
  <c r="AZ440" i="1"/>
  <c r="AZ441" i="1"/>
  <c r="AZ442" i="1"/>
  <c r="AZ443" i="1"/>
  <c r="AZ444" i="1"/>
  <c r="AZ445" i="1"/>
  <c r="AZ446" i="1"/>
  <c r="AZ447" i="1"/>
  <c r="AZ448" i="1"/>
  <c r="AZ449" i="1"/>
  <c r="AZ450" i="1"/>
  <c r="AZ451" i="1"/>
  <c r="AZ452" i="1"/>
  <c r="AZ453" i="1"/>
  <c r="AZ454" i="1"/>
  <c r="AZ455" i="1"/>
  <c r="AZ456" i="1"/>
  <c r="AZ457" i="1"/>
  <c r="AZ458" i="1"/>
  <c r="AZ459" i="1"/>
  <c r="AZ460" i="1"/>
  <c r="AZ461" i="1"/>
  <c r="AZ462" i="1"/>
  <c r="AZ463" i="1"/>
  <c r="AZ464" i="1"/>
  <c r="AZ465" i="1"/>
  <c r="AZ466" i="1"/>
  <c r="AZ467" i="1"/>
  <c r="AZ468" i="1"/>
  <c r="AZ469" i="1"/>
  <c r="AZ470" i="1"/>
  <c r="AZ471" i="1"/>
  <c r="AZ472" i="1"/>
  <c r="AZ473" i="1"/>
  <c r="AZ474" i="1"/>
  <c r="AZ475" i="1"/>
  <c r="AZ476" i="1"/>
  <c r="AZ477" i="1"/>
  <c r="AZ478" i="1"/>
  <c r="AZ479" i="1"/>
  <c r="AZ480" i="1"/>
  <c r="AZ481" i="1"/>
  <c r="AZ482" i="1"/>
  <c r="AZ483" i="1"/>
  <c r="AZ484" i="1"/>
  <c r="AZ485" i="1"/>
  <c r="AZ486" i="1"/>
  <c r="AZ487" i="1"/>
  <c r="AZ488" i="1"/>
  <c r="AZ489" i="1"/>
  <c r="AZ490" i="1"/>
  <c r="AZ491" i="1"/>
  <c r="AZ492" i="1"/>
  <c r="AZ493" i="1"/>
  <c r="AZ494" i="1"/>
  <c r="AZ495" i="1"/>
  <c r="AZ496" i="1"/>
  <c r="AZ497" i="1"/>
  <c r="AZ498" i="1"/>
  <c r="AZ499" i="1"/>
  <c r="AZ500" i="1"/>
  <c r="AZ501" i="1"/>
  <c r="AZ502" i="1"/>
  <c r="AZ503" i="1"/>
  <c r="AZ504" i="1"/>
  <c r="AZ505" i="1"/>
  <c r="AZ506" i="1"/>
  <c r="AZ507" i="1"/>
  <c r="AZ508" i="1"/>
  <c r="AZ509" i="1"/>
  <c r="AZ510" i="1"/>
  <c r="AZ511" i="1"/>
  <c r="AZ512" i="1"/>
  <c r="AZ513" i="1"/>
  <c r="AZ514" i="1"/>
  <c r="AZ515" i="1"/>
  <c r="AZ516" i="1"/>
  <c r="AZ517" i="1"/>
  <c r="AZ518" i="1"/>
  <c r="AZ519" i="1"/>
  <c r="AZ520" i="1"/>
  <c r="AZ521" i="1"/>
  <c r="AZ522" i="1"/>
  <c r="AZ523" i="1"/>
  <c r="AZ524" i="1"/>
  <c r="AZ525" i="1"/>
  <c r="AZ526" i="1"/>
  <c r="AZ527" i="1"/>
  <c r="AZ528" i="1"/>
  <c r="AZ529" i="1"/>
  <c r="AZ530" i="1"/>
  <c r="AZ531" i="1"/>
  <c r="AZ532" i="1"/>
  <c r="AZ533" i="1"/>
  <c r="AZ534" i="1"/>
  <c r="AZ535" i="1"/>
  <c r="AZ536" i="1"/>
  <c r="AZ537" i="1"/>
  <c r="AZ538" i="1"/>
  <c r="AZ539" i="1"/>
  <c r="AZ540" i="1"/>
  <c r="AZ541" i="1"/>
  <c r="AZ542" i="1"/>
  <c r="AZ543" i="1"/>
  <c r="AZ544" i="1"/>
  <c r="AZ545" i="1"/>
  <c r="AZ546" i="1"/>
  <c r="AZ547" i="1"/>
  <c r="AZ548" i="1"/>
  <c r="AZ549" i="1"/>
  <c r="AZ550" i="1"/>
  <c r="AZ551" i="1"/>
  <c r="AZ552" i="1"/>
  <c r="AZ553" i="1"/>
  <c r="AZ554" i="1"/>
  <c r="AZ555" i="1"/>
  <c r="AZ556" i="1"/>
  <c r="AZ557" i="1"/>
  <c r="AZ558" i="1"/>
  <c r="AZ559" i="1"/>
  <c r="AZ560" i="1"/>
  <c r="AZ561" i="1"/>
  <c r="AZ562" i="1"/>
  <c r="AZ563" i="1"/>
  <c r="AZ564" i="1"/>
  <c r="AZ565" i="1"/>
  <c r="AZ566" i="1"/>
  <c r="AZ567" i="1"/>
  <c r="AZ568" i="1"/>
  <c r="AZ569" i="1"/>
  <c r="AZ570" i="1"/>
  <c r="AZ571" i="1"/>
  <c r="AZ572" i="1"/>
  <c r="AZ573" i="1"/>
  <c r="AZ574" i="1"/>
  <c r="AZ575" i="1"/>
  <c r="AZ576" i="1"/>
  <c r="AZ577" i="1"/>
  <c r="AZ578" i="1"/>
  <c r="AZ579" i="1"/>
  <c r="AZ580" i="1"/>
  <c r="AZ581" i="1"/>
  <c r="AZ582" i="1"/>
  <c r="AZ583" i="1"/>
  <c r="AZ584" i="1"/>
  <c r="AZ585" i="1"/>
  <c r="AZ586" i="1"/>
  <c r="AZ587" i="1"/>
  <c r="AZ588" i="1"/>
  <c r="AZ589" i="1"/>
  <c r="AZ590" i="1"/>
  <c r="AZ591" i="1"/>
  <c r="AZ592" i="1"/>
  <c r="AZ593" i="1"/>
  <c r="AZ594" i="1"/>
  <c r="AZ595" i="1"/>
  <c r="AZ596" i="1"/>
  <c r="AZ597" i="1"/>
  <c r="AZ598" i="1"/>
  <c r="AZ599" i="1"/>
  <c r="AZ600" i="1"/>
  <c r="AZ601" i="1"/>
  <c r="AZ602" i="1"/>
  <c r="AZ603" i="1"/>
  <c r="AZ604" i="1"/>
  <c r="AZ605" i="1"/>
  <c r="AZ606" i="1"/>
  <c r="AZ607" i="1"/>
  <c r="AZ608" i="1"/>
  <c r="AZ609" i="1"/>
  <c r="AZ610" i="1"/>
  <c r="AZ611" i="1"/>
  <c r="AZ612" i="1"/>
  <c r="AZ613" i="1"/>
  <c r="AZ614" i="1"/>
  <c r="AZ615" i="1"/>
  <c r="AZ616" i="1"/>
  <c r="AZ617" i="1"/>
  <c r="AZ618" i="1"/>
  <c r="AZ619" i="1"/>
  <c r="AZ620" i="1"/>
  <c r="AZ621" i="1"/>
  <c r="AZ622" i="1"/>
  <c r="AZ623" i="1"/>
  <c r="AZ624" i="1"/>
  <c r="AZ625" i="1"/>
  <c r="AZ626" i="1"/>
  <c r="AZ627" i="1"/>
  <c r="AZ628" i="1"/>
  <c r="AZ629" i="1"/>
  <c r="AZ630" i="1"/>
  <c r="AZ631" i="1"/>
  <c r="AZ632" i="1"/>
  <c r="AZ633" i="1"/>
  <c r="AZ634" i="1"/>
  <c r="AZ635" i="1"/>
  <c r="AZ636" i="1"/>
  <c r="AZ637" i="1"/>
  <c r="AZ638" i="1"/>
  <c r="AZ639" i="1"/>
  <c r="AZ640" i="1"/>
  <c r="AZ641" i="1"/>
  <c r="AZ642" i="1"/>
  <c r="AZ643" i="1"/>
  <c r="AZ644" i="1"/>
  <c r="AZ645" i="1"/>
  <c r="AZ646" i="1"/>
  <c r="AZ647" i="1"/>
  <c r="AZ648" i="1"/>
  <c r="AZ649" i="1"/>
  <c r="AZ650" i="1"/>
  <c r="AZ651" i="1"/>
  <c r="AZ652" i="1"/>
  <c r="AZ653" i="1"/>
  <c r="AZ654" i="1"/>
  <c r="AZ655" i="1"/>
  <c r="AZ656" i="1"/>
  <c r="AZ657" i="1"/>
  <c r="AZ658" i="1"/>
  <c r="AZ659" i="1"/>
  <c r="AZ660" i="1"/>
  <c r="AZ661" i="1"/>
  <c r="AZ662" i="1"/>
  <c r="AZ663" i="1"/>
  <c r="AZ664" i="1"/>
  <c r="AZ665" i="1"/>
  <c r="AZ666" i="1"/>
  <c r="AZ667" i="1"/>
  <c r="AZ668" i="1"/>
  <c r="AZ669" i="1"/>
  <c r="AZ670" i="1"/>
  <c r="AZ671" i="1"/>
  <c r="AZ672" i="1"/>
  <c r="AZ673" i="1"/>
  <c r="AZ674" i="1"/>
  <c r="AZ675" i="1"/>
  <c r="AZ676" i="1"/>
  <c r="AZ677" i="1"/>
  <c r="AZ678" i="1"/>
  <c r="AZ679" i="1"/>
  <c r="AZ680" i="1"/>
  <c r="AZ681" i="1"/>
  <c r="AZ682" i="1"/>
  <c r="AZ683" i="1"/>
  <c r="AZ684" i="1"/>
  <c r="AZ685" i="1"/>
  <c r="AZ686" i="1"/>
  <c r="AZ687" i="1"/>
  <c r="AZ688" i="1"/>
  <c r="AZ689" i="1"/>
  <c r="AZ690" i="1"/>
  <c r="AZ691" i="1"/>
  <c r="AZ692" i="1"/>
  <c r="AZ693" i="1"/>
  <c r="AZ694" i="1"/>
  <c r="AZ695" i="1"/>
  <c r="AZ696" i="1"/>
  <c r="AZ697" i="1"/>
  <c r="AZ698" i="1"/>
  <c r="AZ699" i="1"/>
  <c r="AZ700" i="1"/>
  <c r="AZ701" i="1"/>
  <c r="AZ702" i="1"/>
  <c r="AZ703" i="1"/>
  <c r="AZ704" i="1"/>
  <c r="AZ705" i="1"/>
  <c r="AZ706" i="1"/>
  <c r="AZ707" i="1"/>
  <c r="AZ708" i="1"/>
  <c r="AZ709" i="1"/>
  <c r="AZ710" i="1"/>
  <c r="AZ711" i="1"/>
  <c r="AZ712" i="1"/>
  <c r="AZ713" i="1"/>
  <c r="AZ714" i="1"/>
  <c r="AZ715" i="1"/>
  <c r="AZ716" i="1"/>
  <c r="AZ717" i="1"/>
  <c r="AZ718" i="1"/>
  <c r="AZ719" i="1"/>
  <c r="AZ720" i="1"/>
  <c r="AZ721" i="1"/>
  <c r="AZ722" i="1"/>
  <c r="AZ723" i="1"/>
  <c r="AZ724" i="1"/>
  <c r="AZ725" i="1"/>
  <c r="AZ726" i="1"/>
  <c r="AZ727" i="1"/>
  <c r="AZ728" i="1"/>
  <c r="AZ729" i="1"/>
  <c r="AZ730" i="1"/>
  <c r="AZ731" i="1"/>
  <c r="AZ732" i="1"/>
  <c r="AZ733" i="1"/>
  <c r="AZ734" i="1"/>
  <c r="AZ735" i="1"/>
  <c r="AZ736" i="1"/>
  <c r="AZ737" i="1"/>
  <c r="AZ738" i="1"/>
  <c r="AZ739" i="1"/>
  <c r="AZ740" i="1"/>
  <c r="AZ741" i="1"/>
  <c r="AZ742" i="1"/>
  <c r="AZ743" i="1"/>
  <c r="AZ744" i="1"/>
  <c r="AZ745" i="1"/>
  <c r="AZ746" i="1"/>
  <c r="AZ747" i="1"/>
  <c r="AZ748" i="1"/>
  <c r="AZ749" i="1"/>
  <c r="AZ750" i="1"/>
  <c r="AZ751" i="1"/>
  <c r="AZ752" i="1"/>
  <c r="AZ753" i="1"/>
  <c r="AZ754" i="1"/>
  <c r="AZ755" i="1"/>
  <c r="AZ756" i="1"/>
  <c r="AZ757" i="1"/>
  <c r="AZ758" i="1"/>
  <c r="AZ759" i="1"/>
  <c r="AZ760" i="1"/>
  <c r="AZ761" i="1"/>
  <c r="AZ762" i="1"/>
  <c r="AZ763" i="1"/>
  <c r="AZ764" i="1"/>
  <c r="AZ765" i="1"/>
  <c r="AZ766" i="1"/>
  <c r="AZ767" i="1"/>
  <c r="AZ768" i="1"/>
  <c r="AZ769" i="1"/>
  <c r="AZ770" i="1"/>
  <c r="AZ771" i="1"/>
  <c r="AZ772" i="1"/>
  <c r="AZ773" i="1"/>
  <c r="AZ774" i="1"/>
  <c r="AZ775" i="1"/>
  <c r="AZ776" i="1"/>
  <c r="AZ777" i="1"/>
  <c r="AZ778" i="1"/>
  <c r="AZ779" i="1"/>
  <c r="AZ780" i="1"/>
  <c r="AZ781" i="1"/>
  <c r="AZ782" i="1"/>
  <c r="AZ783" i="1"/>
  <c r="AZ784" i="1"/>
  <c r="AZ785" i="1"/>
  <c r="AZ786" i="1"/>
  <c r="AZ787" i="1"/>
  <c r="AZ788" i="1"/>
  <c r="AZ789" i="1"/>
  <c r="AZ790" i="1"/>
  <c r="AZ791" i="1"/>
  <c r="AZ792" i="1"/>
  <c r="AZ793" i="1"/>
  <c r="AZ794" i="1"/>
  <c r="AZ795" i="1"/>
  <c r="AZ796" i="1"/>
  <c r="AZ797" i="1"/>
  <c r="AZ798" i="1"/>
  <c r="AZ799" i="1"/>
  <c r="AZ800" i="1"/>
  <c r="AZ801" i="1"/>
  <c r="AZ802" i="1"/>
  <c r="AZ803" i="1"/>
  <c r="AZ804" i="1"/>
  <c r="AZ805" i="1"/>
  <c r="AZ806" i="1"/>
  <c r="AZ807" i="1"/>
  <c r="AZ808" i="1"/>
  <c r="AZ809" i="1"/>
  <c r="AZ810" i="1"/>
  <c r="AZ811" i="1"/>
  <c r="AZ812" i="1"/>
  <c r="AZ813" i="1"/>
  <c r="AZ814" i="1"/>
  <c r="AZ815" i="1"/>
  <c r="AZ816" i="1"/>
  <c r="AZ817" i="1"/>
  <c r="AZ818" i="1"/>
  <c r="AZ819" i="1"/>
  <c r="AZ820" i="1"/>
  <c r="AZ821" i="1"/>
  <c r="AZ822" i="1"/>
  <c r="AZ823" i="1"/>
  <c r="AZ824" i="1"/>
  <c r="AZ825" i="1"/>
  <c r="AZ826" i="1"/>
  <c r="AZ827" i="1"/>
  <c r="AZ828" i="1"/>
  <c r="AZ829" i="1"/>
  <c r="AZ830" i="1"/>
  <c r="AZ831" i="1"/>
  <c r="AZ832" i="1"/>
  <c r="AZ833" i="1"/>
  <c r="AZ834" i="1"/>
  <c r="AZ835" i="1"/>
  <c r="AZ836" i="1"/>
  <c r="AZ837" i="1"/>
  <c r="AZ838" i="1"/>
  <c r="AZ839" i="1"/>
  <c r="AZ840" i="1"/>
  <c r="AZ841" i="1"/>
  <c r="AZ842" i="1"/>
  <c r="AZ843" i="1"/>
  <c r="AZ844" i="1"/>
  <c r="AZ845" i="1"/>
  <c r="AZ846" i="1"/>
  <c r="AZ847" i="1"/>
  <c r="AZ848" i="1"/>
  <c r="AZ849" i="1"/>
  <c r="AZ850" i="1"/>
  <c r="AZ851" i="1"/>
  <c r="AZ852" i="1"/>
  <c r="AZ853" i="1"/>
  <c r="AZ854" i="1"/>
  <c r="AZ855" i="1"/>
  <c r="AZ856" i="1"/>
  <c r="AZ857" i="1"/>
  <c r="AZ858" i="1"/>
  <c r="AZ859" i="1"/>
  <c r="AZ860" i="1"/>
  <c r="AZ861" i="1"/>
  <c r="AZ862" i="1"/>
  <c r="AZ863" i="1"/>
  <c r="AZ864" i="1"/>
  <c r="AZ865" i="1"/>
  <c r="AZ866" i="1"/>
  <c r="AZ867" i="1"/>
  <c r="AZ868" i="1"/>
  <c r="AZ869" i="1"/>
  <c r="AZ870" i="1"/>
  <c r="AZ871" i="1"/>
  <c r="AZ872" i="1"/>
  <c r="AZ873" i="1"/>
  <c r="AZ874" i="1"/>
  <c r="AZ875" i="1"/>
  <c r="AZ876" i="1"/>
  <c r="AZ877" i="1"/>
  <c r="AZ878" i="1"/>
  <c r="AZ879" i="1"/>
  <c r="AZ880" i="1"/>
  <c r="AZ881" i="1"/>
  <c r="AZ882" i="1"/>
  <c r="AZ883" i="1"/>
  <c r="AZ884" i="1"/>
  <c r="AZ885" i="1"/>
  <c r="AZ886" i="1"/>
  <c r="AZ887" i="1"/>
  <c r="AZ888" i="1"/>
  <c r="AZ889" i="1"/>
  <c r="AZ890" i="1"/>
  <c r="AZ891" i="1"/>
  <c r="AZ892" i="1"/>
  <c r="AZ893" i="1"/>
  <c r="AZ894" i="1"/>
  <c r="AZ895" i="1"/>
  <c r="AZ896" i="1"/>
  <c r="AZ897" i="1"/>
  <c r="AZ898" i="1"/>
  <c r="AZ899" i="1"/>
  <c r="AZ900" i="1"/>
  <c r="AZ901" i="1"/>
  <c r="AZ902" i="1"/>
  <c r="AZ903" i="1"/>
  <c r="AZ904" i="1"/>
  <c r="AZ905" i="1"/>
  <c r="AZ906" i="1"/>
  <c r="AZ907" i="1"/>
  <c r="AZ908" i="1"/>
  <c r="AZ909" i="1"/>
  <c r="AZ910" i="1"/>
  <c r="AZ911" i="1"/>
  <c r="AZ912" i="1"/>
  <c r="AZ913" i="1"/>
  <c r="AZ914" i="1"/>
  <c r="AZ915" i="1"/>
  <c r="AZ916" i="1"/>
  <c r="AZ917" i="1"/>
  <c r="AZ918" i="1"/>
  <c r="AZ919" i="1"/>
  <c r="AZ920" i="1"/>
  <c r="AZ921" i="1"/>
  <c r="AZ922" i="1"/>
  <c r="AZ923" i="1"/>
  <c r="AZ924" i="1"/>
  <c r="AZ925" i="1"/>
  <c r="AZ926" i="1"/>
  <c r="AZ927" i="1"/>
  <c r="AZ928" i="1"/>
  <c r="AZ929" i="1"/>
  <c r="AZ930" i="1"/>
  <c r="AZ931" i="1"/>
  <c r="AZ932" i="1"/>
  <c r="AZ933" i="1"/>
  <c r="AZ934" i="1"/>
  <c r="AZ935" i="1"/>
  <c r="AZ936" i="1"/>
  <c r="AZ937" i="1"/>
  <c r="AZ938" i="1"/>
  <c r="AZ939" i="1"/>
  <c r="AZ940" i="1"/>
  <c r="AZ941" i="1"/>
  <c r="AZ942" i="1"/>
  <c r="AZ943" i="1"/>
  <c r="AZ944" i="1"/>
  <c r="AZ945" i="1"/>
  <c r="AZ946" i="1"/>
  <c r="AZ947" i="1"/>
  <c r="AZ948" i="1"/>
  <c r="AZ949" i="1"/>
  <c r="AZ950" i="1"/>
  <c r="AZ951" i="1"/>
  <c r="AZ952" i="1"/>
  <c r="AZ953" i="1"/>
  <c r="AZ954" i="1"/>
  <c r="AZ955" i="1"/>
  <c r="AZ956" i="1"/>
  <c r="AZ957" i="1"/>
  <c r="AZ958" i="1"/>
  <c r="AZ959" i="1"/>
  <c r="AZ960" i="1"/>
  <c r="AZ961" i="1"/>
  <c r="AZ962" i="1"/>
  <c r="AZ963" i="1"/>
  <c r="AZ964" i="1"/>
  <c r="AZ965" i="1"/>
  <c r="AZ966" i="1"/>
  <c r="AZ967" i="1"/>
  <c r="AZ968" i="1"/>
  <c r="AZ969" i="1"/>
  <c r="AZ970" i="1"/>
  <c r="AZ971" i="1"/>
  <c r="AZ972" i="1"/>
  <c r="AZ973" i="1"/>
  <c r="AZ974" i="1"/>
  <c r="AZ975" i="1"/>
  <c r="AZ976" i="1"/>
  <c r="AZ977" i="1"/>
  <c r="AZ978" i="1"/>
  <c r="AZ979" i="1"/>
  <c r="AZ980" i="1"/>
  <c r="AZ981" i="1"/>
  <c r="AZ982" i="1"/>
  <c r="AZ983" i="1"/>
  <c r="AZ984" i="1"/>
  <c r="AZ985" i="1"/>
  <c r="AZ986" i="1"/>
  <c r="AZ987" i="1"/>
  <c r="AZ988" i="1"/>
  <c r="AZ989" i="1"/>
  <c r="AZ990" i="1"/>
  <c r="AZ991" i="1"/>
  <c r="AZ992" i="1"/>
  <c r="AZ993" i="1"/>
  <c r="AZ994" i="1"/>
  <c r="AZ995" i="1"/>
  <c r="AZ996" i="1"/>
  <c r="AZ997" i="1"/>
  <c r="AZ998" i="1"/>
  <c r="AZ999" i="1"/>
  <c r="AZ1000" i="1"/>
  <c r="AZ1001" i="1"/>
  <c r="AZ1002" i="1"/>
  <c r="AZ1003" i="1"/>
  <c r="AZ1004" i="1"/>
  <c r="AZ1005" i="1"/>
  <c r="AZ1006" i="1"/>
  <c r="AZ1007" i="1"/>
  <c r="AZ1008" i="1"/>
  <c r="AZ1009" i="1"/>
  <c r="AZ1010" i="1"/>
  <c r="AZ1011" i="1"/>
  <c r="AH59" i="1"/>
  <c r="AO59" i="1"/>
  <c r="AP59" i="1"/>
  <c r="AS59" i="1"/>
  <c r="AV59" i="1"/>
  <c r="D58" i="1"/>
  <c r="AE58" i="1"/>
  <c r="AF58" i="1"/>
  <c r="AG58" i="1"/>
  <c r="AH58" i="1"/>
  <c r="X58" i="1" s="1"/>
  <c r="AI58" i="1"/>
  <c r="AJ58" i="1"/>
  <c r="AK58" i="1"/>
  <c r="AL58" i="1"/>
  <c r="AM58" i="1"/>
  <c r="AO58" i="1"/>
  <c r="AP58" i="1"/>
  <c r="AQ58" i="1"/>
  <c r="AR58" i="1"/>
  <c r="AS58" i="1"/>
  <c r="AU58" i="1"/>
  <c r="AV58" i="1"/>
  <c r="AW58" i="1"/>
  <c r="AX58" i="1"/>
  <c r="AY58" i="1"/>
  <c r="AZ58" i="1"/>
  <c r="AH57" i="1"/>
  <c r="AO57" i="1"/>
  <c r="AP57" i="1"/>
  <c r="AS57" i="1"/>
  <c r="AV57" i="1"/>
  <c r="D56" i="1"/>
  <c r="AE56" i="1"/>
  <c r="AF56" i="1"/>
  <c r="AG56" i="1"/>
  <c r="AH56" i="1"/>
  <c r="X56" i="1" s="1"/>
  <c r="AI56" i="1"/>
  <c r="AJ56" i="1"/>
  <c r="AK56" i="1"/>
  <c r="AL56" i="1"/>
  <c r="AM56" i="1"/>
  <c r="AO56" i="1"/>
  <c r="AP56" i="1"/>
  <c r="AQ56" i="1"/>
  <c r="AR56" i="1"/>
  <c r="AS56" i="1"/>
  <c r="AU56" i="1"/>
  <c r="AV56" i="1"/>
  <c r="AW56" i="1"/>
  <c r="AX56" i="1"/>
  <c r="AY56" i="1"/>
  <c r="AZ56" i="1"/>
  <c r="AH55" i="1"/>
  <c r="AP55" i="1"/>
  <c r="AS55" i="1"/>
  <c r="AV55" i="1"/>
  <c r="AH54" i="1"/>
  <c r="AP54" i="1"/>
  <c r="AS54" i="1"/>
  <c r="AV54" i="1"/>
  <c r="AH53" i="1"/>
  <c r="AO53" i="1"/>
  <c r="AP53" i="1"/>
  <c r="AS53" i="1"/>
  <c r="AV53" i="1"/>
  <c r="D52" i="1"/>
  <c r="AE52" i="1"/>
  <c r="AF52" i="1"/>
  <c r="AG52" i="1"/>
  <c r="AH52" i="1"/>
  <c r="X52" i="1" s="1"/>
  <c r="AI52" i="1"/>
  <c r="AJ52" i="1"/>
  <c r="AK52" i="1"/>
  <c r="AL52" i="1"/>
  <c r="AM52" i="1"/>
  <c r="AO52" i="1"/>
  <c r="AP52" i="1"/>
  <c r="AQ52" i="1"/>
  <c r="AR52" i="1"/>
  <c r="AS52" i="1"/>
  <c r="AU52" i="1"/>
  <c r="AV52" i="1"/>
  <c r="AW52" i="1"/>
  <c r="AX52" i="1"/>
  <c r="AY52" i="1"/>
  <c r="AZ52" i="1"/>
  <c r="AH51" i="1"/>
  <c r="AP51" i="1"/>
  <c r="AS51" i="1"/>
  <c r="AV51" i="1"/>
  <c r="AH50" i="1"/>
  <c r="AO50" i="1"/>
  <c r="AP50" i="1"/>
  <c r="AS50" i="1"/>
  <c r="AV50" i="1"/>
  <c r="D49" i="1"/>
  <c r="AE49" i="1"/>
  <c r="AF49" i="1"/>
  <c r="AG49" i="1"/>
  <c r="AH49" i="1"/>
  <c r="X49" i="1" s="1"/>
  <c r="AI49" i="1"/>
  <c r="AJ49" i="1"/>
  <c r="AK49" i="1"/>
  <c r="AL49" i="1"/>
  <c r="AM49" i="1"/>
  <c r="AO49" i="1"/>
  <c r="AP49" i="1"/>
  <c r="AQ49" i="1"/>
  <c r="AR49" i="1"/>
  <c r="AS49" i="1"/>
  <c r="AU49" i="1"/>
  <c r="AV49" i="1"/>
  <c r="AW49" i="1"/>
  <c r="AX49" i="1"/>
  <c r="AY49" i="1"/>
  <c r="AZ49" i="1"/>
  <c r="J5" i="22"/>
  <c r="E238" i="22" l="1"/>
  <c r="F238" i="22"/>
  <c r="Q238" i="22"/>
  <c r="R238" i="22"/>
  <c r="E237" i="22"/>
  <c r="F237" i="22"/>
  <c r="Q237" i="22"/>
  <c r="R237" i="22"/>
  <c r="X293" i="1"/>
  <c r="AG293" i="1"/>
  <c r="X321" i="1"/>
  <c r="AG321" i="1"/>
  <c r="X319" i="1"/>
  <c r="AG319" i="1"/>
  <c r="X318" i="1"/>
  <c r="AG318" i="1"/>
  <c r="X316" i="1"/>
  <c r="AG316" i="1"/>
  <c r="X315" i="1"/>
  <c r="AG315" i="1"/>
  <c r="X314" i="1"/>
  <c r="AG314" i="1"/>
  <c r="X313" i="1"/>
  <c r="AG313" i="1"/>
  <c r="X312" i="1"/>
  <c r="AG312" i="1"/>
  <c r="X311" i="1"/>
  <c r="AG311" i="1"/>
  <c r="X309" i="1"/>
  <c r="AG309" i="1"/>
  <c r="X308" i="1"/>
  <c r="AG308" i="1"/>
  <c r="X306" i="1"/>
  <c r="AG306" i="1"/>
  <c r="X305" i="1"/>
  <c r="AG305" i="1"/>
  <c r="X303" i="1"/>
  <c r="AG303" i="1"/>
  <c r="X302" i="1"/>
  <c r="AG302" i="1"/>
  <c r="X301" i="1"/>
  <c r="AG301" i="1"/>
  <c r="X299" i="1"/>
  <c r="AG299" i="1"/>
  <c r="X297" i="1"/>
  <c r="AG297" i="1"/>
  <c r="X296" i="1"/>
  <c r="AG296" i="1"/>
  <c r="X295" i="1"/>
  <c r="AG295" i="1"/>
  <c r="X294" i="1"/>
  <c r="AG294" i="1"/>
  <c r="X292" i="1"/>
  <c r="AG292" i="1"/>
  <c r="X291" i="1"/>
  <c r="AG291" i="1"/>
  <c r="X290" i="1"/>
  <c r="AG290" i="1"/>
  <c r="X289" i="1"/>
  <c r="AG289" i="1"/>
  <c r="X287" i="1"/>
  <c r="AG287" i="1"/>
  <c r="X285" i="1"/>
  <c r="AG285" i="1"/>
  <c r="X283" i="1"/>
  <c r="AG283" i="1"/>
  <c r="X282" i="1"/>
  <c r="AG282" i="1"/>
  <c r="X281" i="1"/>
  <c r="AG281" i="1"/>
  <c r="X280" i="1"/>
  <c r="AG280" i="1"/>
  <c r="X279" i="1"/>
  <c r="AG279" i="1"/>
  <c r="X278" i="1"/>
  <c r="AG278" i="1"/>
  <c r="X277" i="1"/>
  <c r="AG277" i="1"/>
  <c r="X276" i="1"/>
  <c r="AG276" i="1"/>
  <c r="X275" i="1"/>
  <c r="AG275" i="1"/>
  <c r="X274" i="1"/>
  <c r="AG274" i="1"/>
  <c r="X273" i="1"/>
  <c r="AG273" i="1"/>
  <c r="X272" i="1"/>
  <c r="AG272" i="1"/>
  <c r="X271" i="1"/>
  <c r="AG271" i="1"/>
  <c r="X270" i="1"/>
  <c r="AG270" i="1"/>
  <c r="X269" i="1"/>
  <c r="AG269" i="1"/>
  <c r="X268" i="1"/>
  <c r="AG268" i="1"/>
  <c r="X267" i="1"/>
  <c r="AG267" i="1"/>
  <c r="X265" i="1"/>
  <c r="AG265" i="1"/>
  <c r="X151" i="1"/>
  <c r="AG151" i="1"/>
  <c r="AD118" i="22" s="1"/>
  <c r="AE118" i="22" s="1"/>
  <c r="AF118" i="22" s="1"/>
  <c r="X263" i="1"/>
  <c r="AG263" i="1"/>
  <c r="AD215" i="22" s="1"/>
  <c r="AE215" i="22" s="1"/>
  <c r="AF215" i="22" s="1"/>
  <c r="X262" i="1"/>
  <c r="AG262" i="1"/>
  <c r="AD214" i="22" s="1"/>
  <c r="AE214" i="22" s="1"/>
  <c r="AF214" i="22" s="1"/>
  <c r="X261" i="1"/>
  <c r="AG261" i="1"/>
  <c r="AD213" i="22" s="1"/>
  <c r="AE213" i="22" s="1"/>
  <c r="AF213" i="22" s="1"/>
  <c r="X259" i="1"/>
  <c r="AG259" i="1"/>
  <c r="AD212" i="22" s="1"/>
  <c r="AE212" i="22" s="1"/>
  <c r="AF212" i="22" s="1"/>
  <c r="X257" i="1"/>
  <c r="AG257" i="1"/>
  <c r="AD211" i="22" s="1"/>
  <c r="AE211" i="22" s="1"/>
  <c r="AF211" i="22" s="1"/>
  <c r="X255" i="1"/>
  <c r="AG255" i="1"/>
  <c r="AD210" i="22" s="1"/>
  <c r="AE210" i="22" s="1"/>
  <c r="AF210" i="22" s="1"/>
  <c r="X254" i="1"/>
  <c r="AG254" i="1"/>
  <c r="AD209" i="22" s="1"/>
  <c r="AE209" i="22" s="1"/>
  <c r="AF209" i="22" s="1"/>
  <c r="X253" i="1"/>
  <c r="AG253" i="1"/>
  <c r="AD208" i="22" s="1"/>
  <c r="AE208" i="22" s="1"/>
  <c r="AF208" i="22" s="1"/>
  <c r="X252" i="1"/>
  <c r="AG252" i="1"/>
  <c r="AD207" i="22" s="1"/>
  <c r="AE207" i="22" s="1"/>
  <c r="AF207" i="22" s="1"/>
  <c r="X249" i="1"/>
  <c r="AG249" i="1"/>
  <c r="AD205" i="22" s="1"/>
  <c r="AE205" i="22" s="1"/>
  <c r="X250" i="1"/>
  <c r="AG250" i="1"/>
  <c r="AD206" i="22" s="1"/>
  <c r="AE206" i="22" s="1"/>
  <c r="X247" i="1"/>
  <c r="AG247" i="1"/>
  <c r="AD204" i="22" s="1"/>
  <c r="AE204" i="22" s="1"/>
  <c r="AF204" i="22" s="1"/>
  <c r="X246" i="1"/>
  <c r="AG246" i="1"/>
  <c r="AD203" i="22" s="1"/>
  <c r="AE203" i="22" s="1"/>
  <c r="AF203" i="22" s="1"/>
  <c r="X245" i="1"/>
  <c r="AG245" i="1"/>
  <c r="AD202" i="22" s="1"/>
  <c r="AE202" i="22" s="1"/>
  <c r="AF202" i="22" s="1"/>
  <c r="X244" i="1"/>
  <c r="AG244" i="1"/>
  <c r="AD201" i="22" s="1"/>
  <c r="AE201" i="22" s="1"/>
  <c r="AF201" i="22" s="1"/>
  <c r="X242" i="1"/>
  <c r="AG242" i="1"/>
  <c r="AD200" i="22" s="1"/>
  <c r="AE200" i="22" s="1"/>
  <c r="AF200" i="22" s="1"/>
  <c r="X241" i="1"/>
  <c r="AG241" i="1"/>
  <c r="AD199" i="22" s="1"/>
  <c r="AE199" i="22" s="1"/>
  <c r="AF199" i="22" s="1"/>
  <c r="X240" i="1"/>
  <c r="AG240" i="1"/>
  <c r="AD198" i="22" s="1"/>
  <c r="AE198" i="22" s="1"/>
  <c r="AF198" i="22" s="1"/>
  <c r="X239" i="1"/>
  <c r="AG239" i="1"/>
  <c r="AD197" i="22" s="1"/>
  <c r="AE197" i="22" s="1"/>
  <c r="AF197" i="22" s="1"/>
  <c r="X238" i="1"/>
  <c r="AG238" i="1"/>
  <c r="AD196" i="22" s="1"/>
  <c r="AE196" i="22" s="1"/>
  <c r="AF196" i="22" s="1"/>
  <c r="X237" i="1"/>
  <c r="AG237" i="1"/>
  <c r="AD195" i="22" s="1"/>
  <c r="AE195" i="22" s="1"/>
  <c r="AF195" i="22" s="1"/>
  <c r="X236" i="1"/>
  <c r="AG236" i="1"/>
  <c r="AD194" i="22" s="1"/>
  <c r="AE194" i="22" s="1"/>
  <c r="AF194" i="22" s="1"/>
  <c r="X235" i="1"/>
  <c r="AG235" i="1"/>
  <c r="AD193" i="22" s="1"/>
  <c r="AE193" i="22" s="1"/>
  <c r="AF193" i="22" s="1"/>
  <c r="X234" i="1"/>
  <c r="AG234" i="1"/>
  <c r="AD192" i="22" s="1"/>
  <c r="AE192" i="22" s="1"/>
  <c r="AF192" i="22" s="1"/>
  <c r="X232" i="1"/>
  <c r="AG232" i="1"/>
  <c r="AD191" i="22" s="1"/>
  <c r="AE191" i="22" s="1"/>
  <c r="X230" i="1"/>
  <c r="AG230" i="1"/>
  <c r="AD190" i="22" s="1"/>
  <c r="AE190" i="22" s="1"/>
  <c r="X229" i="1"/>
  <c r="AG229" i="1"/>
  <c r="AD189" i="22" s="1"/>
  <c r="AE189" i="22" s="1"/>
  <c r="AF189" i="22" s="1"/>
  <c r="X228" i="1"/>
  <c r="AG228" i="1"/>
  <c r="AD188" i="22" s="1"/>
  <c r="AE188" i="22" s="1"/>
  <c r="AF188" i="22" s="1"/>
  <c r="X227" i="1"/>
  <c r="AG227" i="1"/>
  <c r="AD187" i="22" s="1"/>
  <c r="AE187" i="22" s="1"/>
  <c r="AF187" i="22" s="1"/>
  <c r="X225" i="1"/>
  <c r="AG225" i="1"/>
  <c r="AD186" i="22" s="1"/>
  <c r="AE186" i="22" s="1"/>
  <c r="X224" i="1"/>
  <c r="AG224" i="1"/>
  <c r="AD185" i="22" s="1"/>
  <c r="AE185" i="22" s="1"/>
  <c r="X223" i="1"/>
  <c r="AG223" i="1"/>
  <c r="AD184" i="22" s="1"/>
  <c r="AE184" i="22" s="1"/>
  <c r="X222" i="1"/>
  <c r="AG222" i="1"/>
  <c r="AD183" i="22" s="1"/>
  <c r="AE183" i="22" s="1"/>
  <c r="X221" i="1"/>
  <c r="AG221" i="1"/>
  <c r="AD182" i="22" s="1"/>
  <c r="AE182" i="22" s="1"/>
  <c r="X220" i="1"/>
  <c r="AG220" i="1"/>
  <c r="AD181" i="22" s="1"/>
  <c r="AE181" i="22" s="1"/>
  <c r="X219" i="1"/>
  <c r="AG219" i="1"/>
  <c r="AD180" i="22" s="1"/>
  <c r="AE180" i="22" s="1"/>
  <c r="X218" i="1"/>
  <c r="AG218" i="1"/>
  <c r="AD179" i="22" s="1"/>
  <c r="AE179" i="22" s="1"/>
  <c r="X217" i="1"/>
  <c r="AG217" i="1"/>
  <c r="AD178" i="22" s="1"/>
  <c r="AE178" i="22" s="1"/>
  <c r="X216" i="1"/>
  <c r="AG216" i="1"/>
  <c r="AD177" i="22" s="1"/>
  <c r="AE177" i="22" s="1"/>
  <c r="X214" i="1"/>
  <c r="AG214" i="1"/>
  <c r="AD176" i="22" s="1"/>
  <c r="AE176" i="22" s="1"/>
  <c r="X213" i="1"/>
  <c r="AG213" i="1"/>
  <c r="AD175" i="22" s="1"/>
  <c r="AE175" i="22" s="1"/>
  <c r="AF175" i="22" s="1"/>
  <c r="X211" i="1"/>
  <c r="AG211" i="1"/>
  <c r="AD174" i="22" s="1"/>
  <c r="AE174" i="22" s="1"/>
  <c r="X210" i="1"/>
  <c r="AG210" i="1"/>
  <c r="AD173" i="22" s="1"/>
  <c r="AE173" i="22" s="1"/>
  <c r="X209" i="1"/>
  <c r="AG209" i="1"/>
  <c r="AD172" i="22" s="1"/>
  <c r="AE172" i="22" s="1"/>
  <c r="X207" i="1"/>
  <c r="AG207" i="1"/>
  <c r="AD171" i="22" s="1"/>
  <c r="AE171" i="22" s="1"/>
  <c r="X206" i="1"/>
  <c r="AG206" i="1"/>
  <c r="AD170" i="22" s="1"/>
  <c r="AE170" i="22" s="1"/>
  <c r="AF170" i="22" s="1"/>
  <c r="X205" i="1"/>
  <c r="AG205" i="1"/>
  <c r="AD169" i="22" s="1"/>
  <c r="AE169" i="22" s="1"/>
  <c r="AF169" i="22" s="1"/>
  <c r="X204" i="1"/>
  <c r="AG204" i="1"/>
  <c r="AD168" i="22" s="1"/>
  <c r="AE168" i="22" s="1"/>
  <c r="AF168" i="22" s="1"/>
  <c r="X203" i="1"/>
  <c r="AG203" i="1"/>
  <c r="AD167" i="22" s="1"/>
  <c r="AE167" i="22" s="1"/>
  <c r="AF167" i="22" s="1"/>
  <c r="X202" i="1"/>
  <c r="AG202" i="1"/>
  <c r="AD166" i="22" s="1"/>
  <c r="AE166" i="22" s="1"/>
  <c r="AF166" i="22" s="1"/>
  <c r="X201" i="1"/>
  <c r="AG201" i="1"/>
  <c r="AD165" i="22" s="1"/>
  <c r="AE165" i="22" s="1"/>
  <c r="AF165" i="22" s="1"/>
  <c r="X200" i="1"/>
  <c r="AG200" i="1"/>
  <c r="AD164" i="22" s="1"/>
  <c r="AE164" i="22" s="1"/>
  <c r="AF164" i="22" s="1"/>
  <c r="X199" i="1"/>
  <c r="AG199" i="1"/>
  <c r="AD163" i="22" s="1"/>
  <c r="AE163" i="22" s="1"/>
  <c r="AF163" i="22" s="1"/>
  <c r="X198" i="1"/>
  <c r="AG198" i="1"/>
  <c r="AD162" i="22" s="1"/>
  <c r="AE162" i="22" s="1"/>
  <c r="AF162" i="22" s="1"/>
  <c r="X197" i="1"/>
  <c r="AG197" i="1"/>
  <c r="AD161" i="22" s="1"/>
  <c r="AE161" i="22" s="1"/>
  <c r="AF161" i="22" s="1"/>
  <c r="X196" i="1"/>
  <c r="AG196" i="1"/>
  <c r="AD160" i="22" s="1"/>
  <c r="AE160" i="22" s="1"/>
  <c r="AF160" i="22" s="1"/>
  <c r="X195" i="1"/>
  <c r="AG195" i="1"/>
  <c r="AD159" i="22" s="1"/>
  <c r="AE159" i="22" s="1"/>
  <c r="AF159" i="22" s="1"/>
  <c r="X194" i="1"/>
  <c r="AG194" i="1"/>
  <c r="AD158" i="22" s="1"/>
  <c r="AE158" i="22" s="1"/>
  <c r="AF158" i="22" s="1"/>
  <c r="X193" i="1"/>
  <c r="AG193" i="1"/>
  <c r="AD157" i="22" s="1"/>
  <c r="AE157" i="22" s="1"/>
  <c r="AF157" i="22" s="1"/>
  <c r="X192" i="1"/>
  <c r="AG192" i="1"/>
  <c r="AD156" i="22" s="1"/>
  <c r="AE156" i="22" s="1"/>
  <c r="AF156" i="22" s="1"/>
  <c r="X190" i="1"/>
  <c r="AG190" i="1"/>
  <c r="AD155" i="22" s="1"/>
  <c r="AE155" i="22" s="1"/>
  <c r="AF155" i="22" s="1"/>
  <c r="X189" i="1"/>
  <c r="AG189" i="1"/>
  <c r="AD154" i="22" s="1"/>
  <c r="AE154" i="22" s="1"/>
  <c r="AF154" i="22" s="1"/>
  <c r="X188" i="1"/>
  <c r="AG188" i="1"/>
  <c r="AD153" i="22" s="1"/>
  <c r="AE153" i="22" s="1"/>
  <c r="AF153" i="22" s="1"/>
  <c r="X187" i="1"/>
  <c r="AG187" i="1"/>
  <c r="AD152" i="22" s="1"/>
  <c r="AE152" i="22" s="1"/>
  <c r="AF152" i="22" s="1"/>
  <c r="X186" i="1"/>
  <c r="AG186" i="1"/>
  <c r="AD151" i="22" s="1"/>
  <c r="AE151" i="22" s="1"/>
  <c r="AF151" i="22" s="1"/>
  <c r="X185" i="1"/>
  <c r="AG185" i="1"/>
  <c r="AD150" i="22" s="1"/>
  <c r="AE150" i="22" s="1"/>
  <c r="AF150" i="22" s="1"/>
  <c r="X184" i="1"/>
  <c r="AG184" i="1"/>
  <c r="AD149" i="22" s="1"/>
  <c r="AE149" i="22" s="1"/>
  <c r="AF149" i="22" s="1"/>
  <c r="X183" i="1"/>
  <c r="AG183" i="1"/>
  <c r="AD148" i="22" s="1"/>
  <c r="AE148" i="22" s="1"/>
  <c r="AF148" i="22" s="1"/>
  <c r="X182" i="1"/>
  <c r="AG182" i="1"/>
  <c r="AD147" i="22" s="1"/>
  <c r="AE147" i="22" s="1"/>
  <c r="AF147" i="22" s="1"/>
  <c r="X181" i="1"/>
  <c r="AG181" i="1"/>
  <c r="AD146" i="22" s="1"/>
  <c r="AE146" i="22" s="1"/>
  <c r="AF146" i="22" s="1"/>
  <c r="X180" i="1"/>
  <c r="AG180" i="1"/>
  <c r="AD145" i="22" s="1"/>
  <c r="AE145" i="22" s="1"/>
  <c r="AF145" i="22" s="1"/>
  <c r="X179" i="1"/>
  <c r="AG179" i="1"/>
  <c r="AD144" i="22" s="1"/>
  <c r="AE144" i="22" s="1"/>
  <c r="AF144" i="22" s="1"/>
  <c r="X178" i="1"/>
  <c r="AG178" i="1"/>
  <c r="AD143" i="22" s="1"/>
  <c r="AE143" i="22" s="1"/>
  <c r="AF143" i="22" s="1"/>
  <c r="X177" i="1"/>
  <c r="AG177" i="1"/>
  <c r="AD142" i="22" s="1"/>
  <c r="AE142" i="22" s="1"/>
  <c r="AF142" i="22" s="1"/>
  <c r="X176" i="1"/>
  <c r="AG176" i="1"/>
  <c r="AD141" i="22" s="1"/>
  <c r="AE141" i="22" s="1"/>
  <c r="AF141" i="22" s="1"/>
  <c r="X175" i="1"/>
  <c r="AG175" i="1"/>
  <c r="X174" i="1"/>
  <c r="AG174" i="1"/>
  <c r="AD140" i="22" s="1"/>
  <c r="AE140" i="22" s="1"/>
  <c r="AF140" i="22" s="1"/>
  <c r="X173" i="1"/>
  <c r="AG173" i="1"/>
  <c r="AD139" i="22" s="1"/>
  <c r="AE139" i="22" s="1"/>
  <c r="AF139" i="22" s="1"/>
  <c r="X172" i="1"/>
  <c r="AG172" i="1"/>
  <c r="AD138" i="22" s="1"/>
  <c r="AE138" i="22" s="1"/>
  <c r="AF138" i="22" s="1"/>
  <c r="X171" i="1"/>
  <c r="AG171" i="1"/>
  <c r="AD137" i="22" s="1"/>
  <c r="AE137" i="22" s="1"/>
  <c r="AF137" i="22" s="1"/>
  <c r="X170" i="1"/>
  <c r="AG170" i="1"/>
  <c r="AD136" i="22" s="1"/>
  <c r="AE136" i="22" s="1"/>
  <c r="AF136" i="22" s="1"/>
  <c r="X169" i="1"/>
  <c r="AG169" i="1"/>
  <c r="AD135" i="22" s="1"/>
  <c r="AE135" i="22" s="1"/>
  <c r="AF135" i="22" s="1"/>
  <c r="X168" i="1"/>
  <c r="AG168" i="1"/>
  <c r="AD134" i="22" s="1"/>
  <c r="AE134" i="22" s="1"/>
  <c r="AF134" i="22" s="1"/>
  <c r="X167" i="1"/>
  <c r="AG167" i="1"/>
  <c r="AD133" i="22" s="1"/>
  <c r="AE133" i="22" s="1"/>
  <c r="AF133" i="22" s="1"/>
  <c r="X166" i="1"/>
  <c r="AG166" i="1"/>
  <c r="AD132" i="22" s="1"/>
  <c r="AE132" i="22" s="1"/>
  <c r="AF132" i="22" s="1"/>
  <c r="X165" i="1"/>
  <c r="AG165" i="1"/>
  <c r="AD131" i="22" s="1"/>
  <c r="AE131" i="22" s="1"/>
  <c r="AF131" i="22" s="1"/>
  <c r="X164" i="1"/>
  <c r="AG164" i="1"/>
  <c r="AD130" i="22" s="1"/>
  <c r="AE130" i="22" s="1"/>
  <c r="AF130" i="22" s="1"/>
  <c r="X163" i="1"/>
  <c r="AG163" i="1"/>
  <c r="AD129" i="22" s="1"/>
  <c r="AE129" i="22" s="1"/>
  <c r="AF129" i="22" s="1"/>
  <c r="X162" i="1"/>
  <c r="AG162" i="1"/>
  <c r="AD128" i="22" s="1"/>
  <c r="AE128" i="22" s="1"/>
  <c r="AF128" i="22" s="1"/>
  <c r="X161" i="1"/>
  <c r="AG161" i="1"/>
  <c r="AD127" i="22" s="1"/>
  <c r="AE127" i="22" s="1"/>
  <c r="AF127" i="22" s="1"/>
  <c r="X160" i="1"/>
  <c r="AG160" i="1"/>
  <c r="AD126" i="22" s="1"/>
  <c r="AE126" i="22" s="1"/>
  <c r="AF126" i="22" s="1"/>
  <c r="X158" i="1"/>
  <c r="AG158" i="1"/>
  <c r="AD125" i="22" s="1"/>
  <c r="AE125" i="22" s="1"/>
  <c r="AF125" i="22" s="1"/>
  <c r="X157" i="1"/>
  <c r="AG157" i="1"/>
  <c r="AD124" i="22" s="1"/>
  <c r="AE124" i="22" s="1"/>
  <c r="AF124" i="22" s="1"/>
  <c r="X156" i="1"/>
  <c r="AG156" i="1"/>
  <c r="AD123" i="22" s="1"/>
  <c r="AE123" i="22" s="1"/>
  <c r="AF123" i="22" s="1"/>
  <c r="X155" i="1"/>
  <c r="AG155" i="1"/>
  <c r="AD122" i="22" s="1"/>
  <c r="AE122" i="22" s="1"/>
  <c r="AF122" i="22" s="1"/>
  <c r="X154" i="1"/>
  <c r="AG154" i="1"/>
  <c r="AD121" i="22" s="1"/>
  <c r="AE121" i="22" s="1"/>
  <c r="AF121" i="22" s="1"/>
  <c r="X153" i="1"/>
  <c r="AG153" i="1"/>
  <c r="AD120" i="22" s="1"/>
  <c r="AE120" i="22" s="1"/>
  <c r="AF120" i="22" s="1"/>
  <c r="X152" i="1"/>
  <c r="AG152" i="1"/>
  <c r="AD119" i="22" s="1"/>
  <c r="AE119" i="22" s="1"/>
  <c r="AF119" i="22" s="1"/>
  <c r="X150" i="1"/>
  <c r="AG150" i="1"/>
  <c r="AD117" i="22" s="1"/>
  <c r="AE117" i="22" s="1"/>
  <c r="AF117" i="22" s="1"/>
  <c r="X149" i="1"/>
  <c r="AG149" i="1"/>
  <c r="AD116" i="22" s="1"/>
  <c r="AE116" i="22" s="1"/>
  <c r="AF116" i="22" s="1"/>
  <c r="X148" i="1"/>
  <c r="AG148" i="1"/>
  <c r="AD115" i="22" s="1"/>
  <c r="AE115" i="22" s="1"/>
  <c r="AF115" i="22" s="1"/>
  <c r="X147" i="1"/>
  <c r="AG147" i="1"/>
  <c r="AD114" i="22" s="1"/>
  <c r="AE114" i="22" s="1"/>
  <c r="AF114" i="22" s="1"/>
  <c r="X145" i="1"/>
  <c r="AG145" i="1"/>
  <c r="AD113" i="22" s="1"/>
  <c r="AE113" i="22" s="1"/>
  <c r="AF113" i="22" s="1"/>
  <c r="X144" i="1"/>
  <c r="AG144" i="1"/>
  <c r="AD112" i="22" s="1"/>
  <c r="AE112" i="22" s="1"/>
  <c r="X143" i="1"/>
  <c r="AG143" i="1"/>
  <c r="AD111" i="22" s="1"/>
  <c r="AE111" i="22" s="1"/>
  <c r="AF111" i="22" s="1"/>
  <c r="X141" i="1"/>
  <c r="AG141" i="1"/>
  <c r="AD110" i="22" s="1"/>
  <c r="AE110" i="22" s="1"/>
  <c r="X140" i="1"/>
  <c r="AG140" i="1"/>
  <c r="AD109" i="22" s="1"/>
  <c r="AE109" i="22" s="1"/>
  <c r="X139" i="1"/>
  <c r="AG139" i="1"/>
  <c r="AD108" i="22" s="1"/>
  <c r="AE108" i="22" s="1"/>
  <c r="X138" i="1"/>
  <c r="AG138" i="1"/>
  <c r="AD107" i="22" s="1"/>
  <c r="AE107" i="22" s="1"/>
  <c r="X137" i="1"/>
  <c r="AG137" i="1"/>
  <c r="AD106" i="22" s="1"/>
  <c r="AE106" i="22" s="1"/>
  <c r="X136" i="1"/>
  <c r="AG136" i="1"/>
  <c r="AD105" i="22" s="1"/>
  <c r="AE105" i="22" s="1"/>
  <c r="X135" i="1"/>
  <c r="AG135" i="1"/>
  <c r="AD104" i="22" s="1"/>
  <c r="AE104" i="22" s="1"/>
  <c r="X133" i="1"/>
  <c r="AG133" i="1"/>
  <c r="AD103" i="22" s="1"/>
  <c r="AE103" i="22" s="1"/>
  <c r="AF103" i="22" s="1"/>
  <c r="X132" i="1"/>
  <c r="AG132" i="1"/>
  <c r="AD102" i="22" s="1"/>
  <c r="AE102" i="22" s="1"/>
  <c r="AF102" i="22" s="1"/>
  <c r="X130" i="1"/>
  <c r="AG130" i="1"/>
  <c r="AD101" i="22" s="1"/>
  <c r="AE101" i="22" s="1"/>
  <c r="AF101" i="22" s="1"/>
  <c r="X129" i="1"/>
  <c r="AG129" i="1"/>
  <c r="AD100" i="22" s="1"/>
  <c r="AE100" i="22" s="1"/>
  <c r="AF100" i="22" s="1"/>
  <c r="X128" i="1"/>
  <c r="AG128" i="1"/>
  <c r="AD99" i="22" s="1"/>
  <c r="AE99" i="22" s="1"/>
  <c r="AF99" i="22" s="1"/>
  <c r="X127" i="1"/>
  <c r="AG127" i="1"/>
  <c r="AD98" i="22" s="1"/>
  <c r="AE98" i="22" s="1"/>
  <c r="AF98" i="22" s="1"/>
  <c r="X126" i="1"/>
  <c r="AG126" i="1"/>
  <c r="AD97" i="22" s="1"/>
  <c r="AE97" i="22" s="1"/>
  <c r="AF97" i="22" s="1"/>
  <c r="X124" i="1"/>
  <c r="AG124" i="1"/>
  <c r="AD96" i="22" s="1"/>
  <c r="AE96" i="22" s="1"/>
  <c r="X123" i="1"/>
  <c r="AG123" i="1"/>
  <c r="AD95" i="22" s="1"/>
  <c r="AE95" i="22" s="1"/>
  <c r="AF95" i="22" s="1"/>
  <c r="X122" i="1"/>
  <c r="AG122" i="1"/>
  <c r="AD94" i="22" s="1"/>
  <c r="AE94" i="22" s="1"/>
  <c r="X121" i="1"/>
  <c r="AG121" i="1"/>
  <c r="AD93" i="22" s="1"/>
  <c r="AE93" i="22" s="1"/>
  <c r="AF93" i="22" s="1"/>
  <c r="X120" i="1"/>
  <c r="AG120" i="1"/>
  <c r="AD92" i="22" s="1"/>
  <c r="AE92" i="22" s="1"/>
  <c r="AF92" i="22" s="1"/>
  <c r="X118" i="1"/>
  <c r="AG118" i="1"/>
  <c r="AD91" i="22" s="1"/>
  <c r="AE91" i="22" s="1"/>
  <c r="X116" i="1"/>
  <c r="AG116" i="1"/>
  <c r="AD90" i="22" s="1"/>
  <c r="AE90" i="22" s="1"/>
  <c r="X114" i="1"/>
  <c r="AG114" i="1"/>
  <c r="AD89" i="22" s="1"/>
  <c r="AE89" i="22" s="1"/>
  <c r="X113" i="1"/>
  <c r="AG113" i="1"/>
  <c r="AD88" i="22" s="1"/>
  <c r="AE88" i="22" s="1"/>
  <c r="X111" i="1"/>
  <c r="AG111" i="1"/>
  <c r="AD87" i="22" s="1"/>
  <c r="AE87" i="22" s="1"/>
  <c r="AF87" i="22" s="1"/>
  <c r="X110" i="1"/>
  <c r="AG110" i="1"/>
  <c r="AD86" i="22" s="1"/>
  <c r="AE86" i="22" s="1"/>
  <c r="AF86" i="22" s="1"/>
  <c r="X109" i="1"/>
  <c r="AG109" i="1"/>
  <c r="AD85" i="22" s="1"/>
  <c r="AE85" i="22" s="1"/>
  <c r="AF85" i="22" s="1"/>
  <c r="X108" i="1"/>
  <c r="AG108" i="1"/>
  <c r="AD84" i="22" s="1"/>
  <c r="AE84" i="22" s="1"/>
  <c r="AF84" i="22" s="1"/>
  <c r="X106" i="1"/>
  <c r="AG106" i="1"/>
  <c r="AD83" i="22" s="1"/>
  <c r="AE83" i="22" s="1"/>
  <c r="X105" i="1"/>
  <c r="AG105" i="1"/>
  <c r="AD82" i="22" s="1"/>
  <c r="AE82" i="22" s="1"/>
  <c r="X103" i="1"/>
  <c r="AG103" i="1"/>
  <c r="AD81" i="22" s="1"/>
  <c r="AE81" i="22" s="1"/>
  <c r="X100" i="1"/>
  <c r="AG100" i="1"/>
  <c r="AD79" i="22" s="1"/>
  <c r="AE79" i="22" s="1"/>
  <c r="AF79" i="22" s="1"/>
  <c r="X99" i="1"/>
  <c r="AG99" i="1"/>
  <c r="AD78" i="22" s="1"/>
  <c r="AE78" i="22" s="1"/>
  <c r="AF78" i="22" s="1"/>
  <c r="X98" i="1"/>
  <c r="AG98" i="1"/>
  <c r="AD77" i="22" s="1"/>
  <c r="AE77" i="22" s="1"/>
  <c r="AF77" i="22" s="1"/>
  <c r="X101" i="1"/>
  <c r="AG101" i="1"/>
  <c r="AD80" i="22" s="1"/>
  <c r="AE80" i="22" s="1"/>
  <c r="X89" i="1"/>
  <c r="AG89" i="1"/>
  <c r="X88" i="1"/>
  <c r="AG88" i="1"/>
  <c r="X87" i="1"/>
  <c r="AG87" i="1"/>
  <c r="Y89" i="1"/>
  <c r="Z89" i="1"/>
  <c r="AA89" i="1"/>
  <c r="AB89" i="1"/>
  <c r="AC89" i="1"/>
  <c r="Y88" i="1"/>
  <c r="Z88" i="1"/>
  <c r="AA88" i="1"/>
  <c r="AB88" i="1"/>
  <c r="AC88" i="1"/>
  <c r="Y87" i="1"/>
  <c r="Z87" i="1"/>
  <c r="AA87" i="1"/>
  <c r="AB87" i="1"/>
  <c r="AC87" i="1"/>
  <c r="X76" i="1"/>
  <c r="AG76" i="1"/>
  <c r="X75" i="1"/>
  <c r="AG75" i="1"/>
  <c r="Y76" i="1"/>
  <c r="Z76" i="1"/>
  <c r="AA76" i="1"/>
  <c r="AB76" i="1"/>
  <c r="AC76" i="1"/>
  <c r="Y75" i="1"/>
  <c r="Z75" i="1"/>
  <c r="AA75" i="1"/>
  <c r="AB75" i="1"/>
  <c r="AC75" i="1"/>
  <c r="X73" i="1"/>
  <c r="AG73" i="1"/>
  <c r="Y77" i="1"/>
  <c r="Z77" i="1"/>
  <c r="AA77" i="1"/>
  <c r="AB77" i="1"/>
  <c r="AC77" i="1"/>
  <c r="Y74" i="1"/>
  <c r="Z74" i="1"/>
  <c r="AA74" i="1"/>
  <c r="AB74" i="1"/>
  <c r="AC74" i="1"/>
  <c r="Y73" i="1"/>
  <c r="Z73" i="1"/>
  <c r="AA73" i="1"/>
  <c r="AB73" i="1"/>
  <c r="AC73" i="1"/>
  <c r="X71" i="1"/>
  <c r="AG71" i="1"/>
  <c r="X70" i="1"/>
  <c r="AG70" i="1"/>
  <c r="X69" i="1"/>
  <c r="AG69" i="1"/>
  <c r="Y72" i="1"/>
  <c r="Z72" i="1"/>
  <c r="AA72" i="1"/>
  <c r="AB72" i="1"/>
  <c r="AC72" i="1"/>
  <c r="Y71" i="1"/>
  <c r="Z71" i="1"/>
  <c r="AA71" i="1"/>
  <c r="AB71" i="1"/>
  <c r="AC71" i="1"/>
  <c r="Y70" i="1"/>
  <c r="Z70" i="1"/>
  <c r="AA70" i="1"/>
  <c r="AB70" i="1"/>
  <c r="AC70" i="1"/>
  <c r="Y69" i="1"/>
  <c r="Z69" i="1"/>
  <c r="AA69" i="1"/>
  <c r="AB69" i="1"/>
  <c r="AC69" i="1"/>
  <c r="X96" i="1"/>
  <c r="AG96" i="1"/>
  <c r="AD76" i="22" s="1"/>
  <c r="AE76" i="22" s="1"/>
  <c r="AF76" i="22" s="1"/>
  <c r="X95" i="1"/>
  <c r="AG95" i="1"/>
  <c r="AD75" i="22" s="1"/>
  <c r="AE75" i="22" s="1"/>
  <c r="AF75" i="22" s="1"/>
  <c r="X93" i="1"/>
  <c r="AG93" i="1"/>
  <c r="AD74" i="22" s="1"/>
  <c r="AE74" i="22" s="1"/>
  <c r="X92" i="1"/>
  <c r="AG92" i="1"/>
  <c r="X91" i="1"/>
  <c r="AG91" i="1"/>
  <c r="AD69" i="22" s="1"/>
  <c r="X90" i="1"/>
  <c r="AG90" i="1"/>
  <c r="AD68" i="22" s="1"/>
  <c r="X86" i="1"/>
  <c r="AG86" i="1"/>
  <c r="X85" i="1"/>
  <c r="AG85" i="1"/>
  <c r="X84" i="1"/>
  <c r="AG84" i="1"/>
  <c r="X82" i="1"/>
  <c r="AG82" i="1"/>
  <c r="X81" i="1"/>
  <c r="AG81" i="1"/>
  <c r="X79" i="1"/>
  <c r="AG79" i="1"/>
  <c r="X78" i="1"/>
  <c r="AG78" i="1"/>
  <c r="AD60" i="22" s="1"/>
  <c r="X67" i="1"/>
  <c r="AG67" i="1"/>
  <c r="X66" i="1"/>
  <c r="AG66" i="1"/>
  <c r="X65" i="1"/>
  <c r="AG65" i="1"/>
  <c r="X63" i="1"/>
  <c r="AG63" i="1"/>
  <c r="X61" i="1"/>
  <c r="AG61" i="1"/>
  <c r="Y1011" i="1"/>
  <c r="Z1011" i="1"/>
  <c r="AA1011" i="1"/>
  <c r="AB1011" i="1"/>
  <c r="AC1011" i="1"/>
  <c r="Y1010" i="1"/>
  <c r="Z1010" i="1"/>
  <c r="AA1010" i="1"/>
  <c r="AB1010" i="1"/>
  <c r="AC1010" i="1"/>
  <c r="Y1009" i="1"/>
  <c r="Z1009" i="1"/>
  <c r="AA1009" i="1"/>
  <c r="AB1009" i="1"/>
  <c r="AC1009" i="1"/>
  <c r="Y1008" i="1"/>
  <c r="Z1008" i="1"/>
  <c r="AA1008" i="1"/>
  <c r="AB1008" i="1"/>
  <c r="AC1008" i="1"/>
  <c r="Y1007" i="1"/>
  <c r="Z1007" i="1"/>
  <c r="AA1007" i="1"/>
  <c r="AB1007" i="1"/>
  <c r="AC1007" i="1"/>
  <c r="Y1006" i="1"/>
  <c r="Z1006" i="1"/>
  <c r="AA1006" i="1"/>
  <c r="AB1006" i="1"/>
  <c r="AC1006" i="1"/>
  <c r="Y1005" i="1"/>
  <c r="Z1005" i="1"/>
  <c r="AA1005" i="1"/>
  <c r="AB1005" i="1"/>
  <c r="AC1005" i="1"/>
  <c r="Y1004" i="1"/>
  <c r="Z1004" i="1"/>
  <c r="AA1004" i="1"/>
  <c r="AB1004" i="1"/>
  <c r="AC1004" i="1"/>
  <c r="Y1003" i="1"/>
  <c r="Z1003" i="1"/>
  <c r="AA1003" i="1"/>
  <c r="AB1003" i="1"/>
  <c r="AC1003" i="1"/>
  <c r="Y1002" i="1"/>
  <c r="Z1002" i="1"/>
  <c r="AA1002" i="1"/>
  <c r="AB1002" i="1"/>
  <c r="AC1002" i="1"/>
  <c r="Y1001" i="1"/>
  <c r="Z1001" i="1"/>
  <c r="AA1001" i="1"/>
  <c r="AB1001" i="1"/>
  <c r="AC1001" i="1"/>
  <c r="Y1000" i="1"/>
  <c r="Z1000" i="1"/>
  <c r="AA1000" i="1"/>
  <c r="AB1000" i="1"/>
  <c r="AC1000" i="1"/>
  <c r="Y999" i="1"/>
  <c r="Z999" i="1"/>
  <c r="AA999" i="1"/>
  <c r="AB999" i="1"/>
  <c r="AC999" i="1"/>
  <c r="Y998" i="1"/>
  <c r="Z998" i="1"/>
  <c r="AA998" i="1"/>
  <c r="AB998" i="1"/>
  <c r="AC998" i="1"/>
  <c r="Y997" i="1"/>
  <c r="Z997" i="1"/>
  <c r="AA997" i="1"/>
  <c r="AB997" i="1"/>
  <c r="AC997" i="1"/>
  <c r="Y996" i="1"/>
  <c r="Z996" i="1"/>
  <c r="AA996" i="1"/>
  <c r="AB996" i="1"/>
  <c r="AC996" i="1"/>
  <c r="Y995" i="1"/>
  <c r="Z995" i="1"/>
  <c r="AA995" i="1"/>
  <c r="AB995" i="1"/>
  <c r="AC995" i="1"/>
  <c r="Y994" i="1"/>
  <c r="Z994" i="1"/>
  <c r="AA994" i="1"/>
  <c r="AB994" i="1"/>
  <c r="AC994" i="1"/>
  <c r="Y993" i="1"/>
  <c r="Z993" i="1"/>
  <c r="AA993" i="1"/>
  <c r="AB993" i="1"/>
  <c r="AC993" i="1"/>
  <c r="Y992" i="1"/>
  <c r="Z992" i="1"/>
  <c r="AA992" i="1"/>
  <c r="AB992" i="1"/>
  <c r="AC992" i="1"/>
  <c r="Y991" i="1"/>
  <c r="Z991" i="1"/>
  <c r="AA991" i="1"/>
  <c r="AB991" i="1"/>
  <c r="AC991" i="1"/>
  <c r="Y990" i="1"/>
  <c r="Z990" i="1"/>
  <c r="AA990" i="1"/>
  <c r="AB990" i="1"/>
  <c r="AC990" i="1"/>
  <c r="Y989" i="1"/>
  <c r="Z989" i="1"/>
  <c r="AA989" i="1"/>
  <c r="AB989" i="1"/>
  <c r="AC989" i="1"/>
  <c r="Y988" i="1"/>
  <c r="Z988" i="1"/>
  <c r="AA988" i="1"/>
  <c r="AB988" i="1"/>
  <c r="AC988" i="1"/>
  <c r="Y987" i="1"/>
  <c r="Z987" i="1"/>
  <c r="AA987" i="1"/>
  <c r="AB987" i="1"/>
  <c r="AC987" i="1"/>
  <c r="Y986" i="1"/>
  <c r="Z986" i="1"/>
  <c r="AA986" i="1"/>
  <c r="AB986" i="1"/>
  <c r="AC986" i="1"/>
  <c r="Y985" i="1"/>
  <c r="Z985" i="1"/>
  <c r="AA985" i="1"/>
  <c r="AB985" i="1"/>
  <c r="AC985" i="1"/>
  <c r="Y984" i="1"/>
  <c r="Z984" i="1"/>
  <c r="AA984" i="1"/>
  <c r="AB984" i="1"/>
  <c r="AC984" i="1"/>
  <c r="Y983" i="1"/>
  <c r="Z983" i="1"/>
  <c r="AA983" i="1"/>
  <c r="AB983" i="1"/>
  <c r="AC983" i="1"/>
  <c r="Y982" i="1"/>
  <c r="Z982" i="1"/>
  <c r="AA982" i="1"/>
  <c r="AB982" i="1"/>
  <c r="AC982" i="1"/>
  <c r="Y981" i="1"/>
  <c r="Z981" i="1"/>
  <c r="AA981" i="1"/>
  <c r="AB981" i="1"/>
  <c r="AC981" i="1"/>
  <c r="Y980" i="1"/>
  <c r="Z980" i="1"/>
  <c r="AA980" i="1"/>
  <c r="AB980" i="1"/>
  <c r="AC980" i="1"/>
  <c r="Y979" i="1"/>
  <c r="Z979" i="1"/>
  <c r="AA979" i="1"/>
  <c r="AB979" i="1"/>
  <c r="AC979" i="1"/>
  <c r="Y978" i="1"/>
  <c r="Z978" i="1"/>
  <c r="AA978" i="1"/>
  <c r="AB978" i="1"/>
  <c r="AC978" i="1"/>
  <c r="Y977" i="1"/>
  <c r="Z977" i="1"/>
  <c r="AA977" i="1"/>
  <c r="AB977" i="1"/>
  <c r="AC977" i="1"/>
  <c r="Y976" i="1"/>
  <c r="Z976" i="1"/>
  <c r="AA976" i="1"/>
  <c r="AB976" i="1"/>
  <c r="AC976" i="1"/>
  <c r="Y975" i="1"/>
  <c r="Z975" i="1"/>
  <c r="AA975" i="1"/>
  <c r="AB975" i="1"/>
  <c r="AC975" i="1"/>
  <c r="Y974" i="1"/>
  <c r="Z974" i="1"/>
  <c r="AA974" i="1"/>
  <c r="AB974" i="1"/>
  <c r="AC974" i="1"/>
  <c r="Y973" i="1"/>
  <c r="Z973" i="1"/>
  <c r="AA973" i="1"/>
  <c r="AB973" i="1"/>
  <c r="AC973" i="1"/>
  <c r="Y972" i="1"/>
  <c r="Z972" i="1"/>
  <c r="AA972" i="1"/>
  <c r="AB972" i="1"/>
  <c r="AC972" i="1"/>
  <c r="Y971" i="1"/>
  <c r="Z971" i="1"/>
  <c r="AA971" i="1"/>
  <c r="AB971" i="1"/>
  <c r="AC971" i="1"/>
  <c r="Y970" i="1"/>
  <c r="Z970" i="1"/>
  <c r="AA970" i="1"/>
  <c r="AB970" i="1"/>
  <c r="AC970" i="1"/>
  <c r="Y969" i="1"/>
  <c r="Z969" i="1"/>
  <c r="AA969" i="1"/>
  <c r="AB969" i="1"/>
  <c r="AC969" i="1"/>
  <c r="Y968" i="1"/>
  <c r="Z968" i="1"/>
  <c r="AA968" i="1"/>
  <c r="AB968" i="1"/>
  <c r="AC968" i="1"/>
  <c r="Y967" i="1"/>
  <c r="Z967" i="1"/>
  <c r="AA967" i="1"/>
  <c r="AB967" i="1"/>
  <c r="AC967" i="1"/>
  <c r="Y966" i="1"/>
  <c r="Z966" i="1"/>
  <c r="AA966" i="1"/>
  <c r="AB966" i="1"/>
  <c r="AC966" i="1"/>
  <c r="Y965" i="1"/>
  <c r="Z965" i="1"/>
  <c r="AA965" i="1"/>
  <c r="AB965" i="1"/>
  <c r="AC965" i="1"/>
  <c r="Y964" i="1"/>
  <c r="Z964" i="1"/>
  <c r="AA964" i="1"/>
  <c r="AB964" i="1"/>
  <c r="AC964" i="1"/>
  <c r="Y963" i="1"/>
  <c r="Z963" i="1"/>
  <c r="AA963" i="1"/>
  <c r="AB963" i="1"/>
  <c r="AC963" i="1"/>
  <c r="Y962" i="1"/>
  <c r="Z962" i="1"/>
  <c r="AA962" i="1"/>
  <c r="AB962" i="1"/>
  <c r="AC962" i="1"/>
  <c r="Y961" i="1"/>
  <c r="Z961" i="1"/>
  <c r="AA961" i="1"/>
  <c r="AB961" i="1"/>
  <c r="AC961" i="1"/>
  <c r="Y960" i="1"/>
  <c r="Z960" i="1"/>
  <c r="AA960" i="1"/>
  <c r="AB960" i="1"/>
  <c r="AC960" i="1"/>
  <c r="Y959" i="1"/>
  <c r="Z959" i="1"/>
  <c r="AA959" i="1"/>
  <c r="AB959" i="1"/>
  <c r="AC959" i="1"/>
  <c r="Y958" i="1"/>
  <c r="Z958" i="1"/>
  <c r="AA958" i="1"/>
  <c r="AB958" i="1"/>
  <c r="AC958" i="1"/>
  <c r="Y957" i="1"/>
  <c r="Z957" i="1"/>
  <c r="AA957" i="1"/>
  <c r="AB957" i="1"/>
  <c r="AC957" i="1"/>
  <c r="Y956" i="1"/>
  <c r="Z956" i="1"/>
  <c r="AA956" i="1"/>
  <c r="AB956" i="1"/>
  <c r="AC956" i="1"/>
  <c r="Y955" i="1"/>
  <c r="Z955" i="1"/>
  <c r="AA955" i="1"/>
  <c r="AB955" i="1"/>
  <c r="AC955" i="1"/>
  <c r="Y954" i="1"/>
  <c r="Z954" i="1"/>
  <c r="AA954" i="1"/>
  <c r="AB954" i="1"/>
  <c r="AC954" i="1"/>
  <c r="Y953" i="1"/>
  <c r="Z953" i="1"/>
  <c r="AA953" i="1"/>
  <c r="AB953" i="1"/>
  <c r="AC953" i="1"/>
  <c r="Y952" i="1"/>
  <c r="Z952" i="1"/>
  <c r="AA952" i="1"/>
  <c r="AB952" i="1"/>
  <c r="AC952" i="1"/>
  <c r="Y951" i="1"/>
  <c r="Z951" i="1"/>
  <c r="AA951" i="1"/>
  <c r="AB951" i="1"/>
  <c r="AC951" i="1"/>
  <c r="Y950" i="1"/>
  <c r="Z950" i="1"/>
  <c r="AA950" i="1"/>
  <c r="AB950" i="1"/>
  <c r="AC950" i="1"/>
  <c r="Y949" i="1"/>
  <c r="Z949" i="1"/>
  <c r="AA949" i="1"/>
  <c r="AB949" i="1"/>
  <c r="AC949" i="1"/>
  <c r="Y948" i="1"/>
  <c r="Z948" i="1"/>
  <c r="AA948" i="1"/>
  <c r="AB948" i="1"/>
  <c r="AC948" i="1"/>
  <c r="Y947" i="1"/>
  <c r="Z947" i="1"/>
  <c r="AA947" i="1"/>
  <c r="AB947" i="1"/>
  <c r="AC947" i="1"/>
  <c r="Y946" i="1"/>
  <c r="Z946" i="1"/>
  <c r="AA946" i="1"/>
  <c r="AB946" i="1"/>
  <c r="AC946" i="1"/>
  <c r="Y945" i="1"/>
  <c r="Z945" i="1"/>
  <c r="AA945" i="1"/>
  <c r="AB945" i="1"/>
  <c r="AC945" i="1"/>
  <c r="Y944" i="1"/>
  <c r="Z944" i="1"/>
  <c r="AA944" i="1"/>
  <c r="AB944" i="1"/>
  <c r="AC944" i="1"/>
  <c r="Y943" i="1"/>
  <c r="Z943" i="1"/>
  <c r="AA943" i="1"/>
  <c r="AB943" i="1"/>
  <c r="AC943" i="1"/>
  <c r="Y942" i="1"/>
  <c r="Z942" i="1"/>
  <c r="AA942" i="1"/>
  <c r="AB942" i="1"/>
  <c r="AC942" i="1"/>
  <c r="Y941" i="1"/>
  <c r="Z941" i="1"/>
  <c r="AA941" i="1"/>
  <c r="AB941" i="1"/>
  <c r="AC941" i="1"/>
  <c r="Y940" i="1"/>
  <c r="Z940" i="1"/>
  <c r="AA940" i="1"/>
  <c r="AB940" i="1"/>
  <c r="AC940" i="1"/>
  <c r="Y939" i="1"/>
  <c r="Z939" i="1"/>
  <c r="AA939" i="1"/>
  <c r="AB939" i="1"/>
  <c r="AC939" i="1"/>
  <c r="Y938" i="1"/>
  <c r="Z938" i="1"/>
  <c r="AA938" i="1"/>
  <c r="AB938" i="1"/>
  <c r="AC938" i="1"/>
  <c r="Y937" i="1"/>
  <c r="Z937" i="1"/>
  <c r="AA937" i="1"/>
  <c r="AB937" i="1"/>
  <c r="AC937" i="1"/>
  <c r="Y936" i="1"/>
  <c r="Z936" i="1"/>
  <c r="AA936" i="1"/>
  <c r="AB936" i="1"/>
  <c r="AC936" i="1"/>
  <c r="Y935" i="1"/>
  <c r="Z935" i="1"/>
  <c r="AA935" i="1"/>
  <c r="AB935" i="1"/>
  <c r="AC935" i="1"/>
  <c r="Y934" i="1"/>
  <c r="Z934" i="1"/>
  <c r="AA934" i="1"/>
  <c r="AB934" i="1"/>
  <c r="AC934" i="1"/>
  <c r="Y933" i="1"/>
  <c r="Z933" i="1"/>
  <c r="AA933" i="1"/>
  <c r="AB933" i="1"/>
  <c r="AC933" i="1"/>
  <c r="Y932" i="1"/>
  <c r="Z932" i="1"/>
  <c r="AA932" i="1"/>
  <c r="AB932" i="1"/>
  <c r="AC932" i="1"/>
  <c r="Y931" i="1"/>
  <c r="Z931" i="1"/>
  <c r="AA931" i="1"/>
  <c r="AB931" i="1"/>
  <c r="AC931" i="1"/>
  <c r="Y930" i="1"/>
  <c r="Z930" i="1"/>
  <c r="AA930" i="1"/>
  <c r="AB930" i="1"/>
  <c r="AC930" i="1"/>
  <c r="Y929" i="1"/>
  <c r="Z929" i="1"/>
  <c r="AA929" i="1"/>
  <c r="AB929" i="1"/>
  <c r="AC929" i="1"/>
  <c r="Y928" i="1"/>
  <c r="Z928" i="1"/>
  <c r="AA928" i="1"/>
  <c r="AB928" i="1"/>
  <c r="AC928" i="1"/>
  <c r="Y927" i="1"/>
  <c r="Z927" i="1"/>
  <c r="AA927" i="1"/>
  <c r="AB927" i="1"/>
  <c r="AC927" i="1"/>
  <c r="Y926" i="1"/>
  <c r="Z926" i="1"/>
  <c r="AA926" i="1"/>
  <c r="AB926" i="1"/>
  <c r="AC926" i="1"/>
  <c r="Y925" i="1"/>
  <c r="Z925" i="1"/>
  <c r="AA925" i="1"/>
  <c r="AB925" i="1"/>
  <c r="AC925" i="1"/>
  <c r="Y924" i="1"/>
  <c r="Z924" i="1"/>
  <c r="AA924" i="1"/>
  <c r="AB924" i="1"/>
  <c r="AC924" i="1"/>
  <c r="Y923" i="1"/>
  <c r="Z923" i="1"/>
  <c r="AA923" i="1"/>
  <c r="AB923" i="1"/>
  <c r="AC923" i="1"/>
  <c r="Y922" i="1"/>
  <c r="Z922" i="1"/>
  <c r="AA922" i="1"/>
  <c r="AB922" i="1"/>
  <c r="AC922" i="1"/>
  <c r="Y921" i="1"/>
  <c r="Z921" i="1"/>
  <c r="AA921" i="1"/>
  <c r="AB921" i="1"/>
  <c r="AC921" i="1"/>
  <c r="Y920" i="1"/>
  <c r="Z920" i="1"/>
  <c r="AA920" i="1"/>
  <c r="AB920" i="1"/>
  <c r="AC920" i="1"/>
  <c r="Y919" i="1"/>
  <c r="Z919" i="1"/>
  <c r="AA919" i="1"/>
  <c r="AB919" i="1"/>
  <c r="AC919" i="1"/>
  <c r="Y918" i="1"/>
  <c r="Z918" i="1"/>
  <c r="AA918" i="1"/>
  <c r="AB918" i="1"/>
  <c r="AC918" i="1"/>
  <c r="Y917" i="1"/>
  <c r="Z917" i="1"/>
  <c r="AA917" i="1"/>
  <c r="AB917" i="1"/>
  <c r="AC917" i="1"/>
  <c r="Y916" i="1"/>
  <c r="Z916" i="1"/>
  <c r="AA916" i="1"/>
  <c r="AB916" i="1"/>
  <c r="AC916" i="1"/>
  <c r="Y915" i="1"/>
  <c r="Z915" i="1"/>
  <c r="AA915" i="1"/>
  <c r="AB915" i="1"/>
  <c r="AC915" i="1"/>
  <c r="Y914" i="1"/>
  <c r="Z914" i="1"/>
  <c r="AA914" i="1"/>
  <c r="AB914" i="1"/>
  <c r="AC914" i="1"/>
  <c r="Y913" i="1"/>
  <c r="Z913" i="1"/>
  <c r="AA913" i="1"/>
  <c r="AB913" i="1"/>
  <c r="AC913" i="1"/>
  <c r="Y912" i="1"/>
  <c r="Z912" i="1"/>
  <c r="AA912" i="1"/>
  <c r="AB912" i="1"/>
  <c r="AC912" i="1"/>
  <c r="Y911" i="1"/>
  <c r="Z911" i="1"/>
  <c r="AA911" i="1"/>
  <c r="AB911" i="1"/>
  <c r="AC911" i="1"/>
  <c r="Y910" i="1"/>
  <c r="Z910" i="1"/>
  <c r="AA910" i="1"/>
  <c r="AB910" i="1"/>
  <c r="AC910" i="1"/>
  <c r="Y909" i="1"/>
  <c r="Z909" i="1"/>
  <c r="AA909" i="1"/>
  <c r="AB909" i="1"/>
  <c r="AC909" i="1"/>
  <c r="Y908" i="1"/>
  <c r="Z908" i="1"/>
  <c r="AA908" i="1"/>
  <c r="AB908" i="1"/>
  <c r="AC908" i="1"/>
  <c r="Y907" i="1"/>
  <c r="Z907" i="1"/>
  <c r="AA907" i="1"/>
  <c r="AB907" i="1"/>
  <c r="AC907" i="1"/>
  <c r="Y906" i="1"/>
  <c r="Z906" i="1"/>
  <c r="AA906" i="1"/>
  <c r="AB906" i="1"/>
  <c r="AC906" i="1"/>
  <c r="Y905" i="1"/>
  <c r="Z905" i="1"/>
  <c r="AA905" i="1"/>
  <c r="AB905" i="1"/>
  <c r="AC905" i="1"/>
  <c r="Y904" i="1"/>
  <c r="Z904" i="1"/>
  <c r="AA904" i="1"/>
  <c r="AB904" i="1"/>
  <c r="AC904" i="1"/>
  <c r="Y903" i="1"/>
  <c r="Z903" i="1"/>
  <c r="AA903" i="1"/>
  <c r="AB903" i="1"/>
  <c r="AC903" i="1"/>
  <c r="Y902" i="1"/>
  <c r="Z902" i="1"/>
  <c r="AA902" i="1"/>
  <c r="AB902" i="1"/>
  <c r="AC902" i="1"/>
  <c r="Y901" i="1"/>
  <c r="Z901" i="1"/>
  <c r="AA901" i="1"/>
  <c r="AB901" i="1"/>
  <c r="AC901" i="1"/>
  <c r="Y900" i="1"/>
  <c r="Z900" i="1"/>
  <c r="AA900" i="1"/>
  <c r="AB900" i="1"/>
  <c r="AC900" i="1"/>
  <c r="Y899" i="1"/>
  <c r="Z899" i="1"/>
  <c r="AA899" i="1"/>
  <c r="AB899" i="1"/>
  <c r="AC899" i="1"/>
  <c r="Y898" i="1"/>
  <c r="Z898" i="1"/>
  <c r="AA898" i="1"/>
  <c r="AB898" i="1"/>
  <c r="AC898" i="1"/>
  <c r="Y897" i="1"/>
  <c r="Z897" i="1"/>
  <c r="AA897" i="1"/>
  <c r="AB897" i="1"/>
  <c r="AC897" i="1"/>
  <c r="Y896" i="1"/>
  <c r="Z896" i="1"/>
  <c r="AA896" i="1"/>
  <c r="AB896" i="1"/>
  <c r="AC896" i="1"/>
  <c r="Y895" i="1"/>
  <c r="Z895" i="1"/>
  <c r="AA895" i="1"/>
  <c r="AB895" i="1"/>
  <c r="AC895" i="1"/>
  <c r="Y894" i="1"/>
  <c r="Z894" i="1"/>
  <c r="AA894" i="1"/>
  <c r="AB894" i="1"/>
  <c r="AC894" i="1"/>
  <c r="Y893" i="1"/>
  <c r="Z893" i="1"/>
  <c r="AA893" i="1"/>
  <c r="AB893" i="1"/>
  <c r="AC893" i="1"/>
  <c r="Y892" i="1"/>
  <c r="Z892" i="1"/>
  <c r="AA892" i="1"/>
  <c r="AB892" i="1"/>
  <c r="AC892" i="1"/>
  <c r="Y891" i="1"/>
  <c r="Z891" i="1"/>
  <c r="AA891" i="1"/>
  <c r="AB891" i="1"/>
  <c r="AC891" i="1"/>
  <c r="Y890" i="1"/>
  <c r="Z890" i="1"/>
  <c r="AA890" i="1"/>
  <c r="AB890" i="1"/>
  <c r="AC890" i="1"/>
  <c r="Y889" i="1"/>
  <c r="Z889" i="1"/>
  <c r="AA889" i="1"/>
  <c r="AB889" i="1"/>
  <c r="AC889" i="1"/>
  <c r="Y888" i="1"/>
  <c r="Z888" i="1"/>
  <c r="AA888" i="1"/>
  <c r="AB888" i="1"/>
  <c r="AC888" i="1"/>
  <c r="Y887" i="1"/>
  <c r="Z887" i="1"/>
  <c r="AA887" i="1"/>
  <c r="AB887" i="1"/>
  <c r="AC887" i="1"/>
  <c r="Y886" i="1"/>
  <c r="Z886" i="1"/>
  <c r="AA886" i="1"/>
  <c r="AB886" i="1"/>
  <c r="AC886" i="1"/>
  <c r="Y885" i="1"/>
  <c r="Z885" i="1"/>
  <c r="AA885" i="1"/>
  <c r="AB885" i="1"/>
  <c r="AC885" i="1"/>
  <c r="Y884" i="1"/>
  <c r="Z884" i="1"/>
  <c r="AA884" i="1"/>
  <c r="AB884" i="1"/>
  <c r="AC884" i="1"/>
  <c r="Y883" i="1"/>
  <c r="Z883" i="1"/>
  <c r="AA883" i="1"/>
  <c r="AB883" i="1"/>
  <c r="AC883" i="1"/>
  <c r="Y882" i="1"/>
  <c r="Z882" i="1"/>
  <c r="AA882" i="1"/>
  <c r="AB882" i="1"/>
  <c r="AC882" i="1"/>
  <c r="Y881" i="1"/>
  <c r="Z881" i="1"/>
  <c r="AA881" i="1"/>
  <c r="AB881" i="1"/>
  <c r="AC881" i="1"/>
  <c r="Y880" i="1"/>
  <c r="Z880" i="1"/>
  <c r="AA880" i="1"/>
  <c r="AB880" i="1"/>
  <c r="AC880" i="1"/>
  <c r="Y879" i="1"/>
  <c r="Z879" i="1"/>
  <c r="AA879" i="1"/>
  <c r="AB879" i="1"/>
  <c r="AC879" i="1"/>
  <c r="Y878" i="1"/>
  <c r="Z878" i="1"/>
  <c r="AA878" i="1"/>
  <c r="AB878" i="1"/>
  <c r="AC878" i="1"/>
  <c r="Y877" i="1"/>
  <c r="Z877" i="1"/>
  <c r="AA877" i="1"/>
  <c r="AB877" i="1"/>
  <c r="AC877" i="1"/>
  <c r="Y876" i="1"/>
  <c r="Z876" i="1"/>
  <c r="AA876" i="1"/>
  <c r="AB876" i="1"/>
  <c r="AC876" i="1"/>
  <c r="Y875" i="1"/>
  <c r="Z875" i="1"/>
  <c r="AA875" i="1"/>
  <c r="AB875" i="1"/>
  <c r="AC875" i="1"/>
  <c r="Y874" i="1"/>
  <c r="Z874" i="1"/>
  <c r="AA874" i="1"/>
  <c r="AB874" i="1"/>
  <c r="AC874" i="1"/>
  <c r="Y873" i="1"/>
  <c r="Z873" i="1"/>
  <c r="AA873" i="1"/>
  <c r="AB873" i="1"/>
  <c r="AC873" i="1"/>
  <c r="Y872" i="1"/>
  <c r="Z872" i="1"/>
  <c r="AA872" i="1"/>
  <c r="AB872" i="1"/>
  <c r="AC872" i="1"/>
  <c r="Y871" i="1"/>
  <c r="Z871" i="1"/>
  <c r="AA871" i="1"/>
  <c r="AB871" i="1"/>
  <c r="AC871" i="1"/>
  <c r="Y870" i="1"/>
  <c r="Z870" i="1"/>
  <c r="AA870" i="1"/>
  <c r="AB870" i="1"/>
  <c r="AC870" i="1"/>
  <c r="Y869" i="1"/>
  <c r="Z869" i="1"/>
  <c r="AA869" i="1"/>
  <c r="AB869" i="1"/>
  <c r="AC869" i="1"/>
  <c r="Y868" i="1"/>
  <c r="Z868" i="1"/>
  <c r="AA868" i="1"/>
  <c r="AB868" i="1"/>
  <c r="AC868" i="1"/>
  <c r="Y867" i="1"/>
  <c r="Z867" i="1"/>
  <c r="AA867" i="1"/>
  <c r="AB867" i="1"/>
  <c r="AC867" i="1"/>
  <c r="Y866" i="1"/>
  <c r="Z866" i="1"/>
  <c r="AA866" i="1"/>
  <c r="AB866" i="1"/>
  <c r="AC866" i="1"/>
  <c r="Y865" i="1"/>
  <c r="Z865" i="1"/>
  <c r="AA865" i="1"/>
  <c r="AB865" i="1"/>
  <c r="AC865" i="1"/>
  <c r="Y864" i="1"/>
  <c r="Z864" i="1"/>
  <c r="AA864" i="1"/>
  <c r="AB864" i="1"/>
  <c r="AC864" i="1"/>
  <c r="Y863" i="1"/>
  <c r="Z863" i="1"/>
  <c r="AA863" i="1"/>
  <c r="AB863" i="1"/>
  <c r="AC863" i="1"/>
  <c r="Y862" i="1"/>
  <c r="Z862" i="1"/>
  <c r="AA862" i="1"/>
  <c r="AB862" i="1"/>
  <c r="AC862" i="1"/>
  <c r="Y861" i="1"/>
  <c r="Z861" i="1"/>
  <c r="AA861" i="1"/>
  <c r="AB861" i="1"/>
  <c r="AC861" i="1"/>
  <c r="Y860" i="1"/>
  <c r="Z860" i="1"/>
  <c r="AA860" i="1"/>
  <c r="AB860" i="1"/>
  <c r="AC860" i="1"/>
  <c r="Y859" i="1"/>
  <c r="Z859" i="1"/>
  <c r="AA859" i="1"/>
  <c r="AB859" i="1"/>
  <c r="AC859" i="1"/>
  <c r="Y858" i="1"/>
  <c r="Z858" i="1"/>
  <c r="AA858" i="1"/>
  <c r="AB858" i="1"/>
  <c r="AC858" i="1"/>
  <c r="Y857" i="1"/>
  <c r="Z857" i="1"/>
  <c r="AA857" i="1"/>
  <c r="AB857" i="1"/>
  <c r="AC857" i="1"/>
  <c r="Y856" i="1"/>
  <c r="Z856" i="1"/>
  <c r="AA856" i="1"/>
  <c r="AB856" i="1"/>
  <c r="AC856" i="1"/>
  <c r="Y855" i="1"/>
  <c r="Z855" i="1"/>
  <c r="AA855" i="1"/>
  <c r="AB855" i="1"/>
  <c r="AC855" i="1"/>
  <c r="Y854" i="1"/>
  <c r="Z854" i="1"/>
  <c r="AA854" i="1"/>
  <c r="AB854" i="1"/>
  <c r="AC854" i="1"/>
  <c r="Y853" i="1"/>
  <c r="Z853" i="1"/>
  <c r="AA853" i="1"/>
  <c r="AB853" i="1"/>
  <c r="AC853" i="1"/>
  <c r="Y852" i="1"/>
  <c r="Z852" i="1"/>
  <c r="AA852" i="1"/>
  <c r="AB852" i="1"/>
  <c r="AC852" i="1"/>
  <c r="Y851" i="1"/>
  <c r="Z851" i="1"/>
  <c r="AA851" i="1"/>
  <c r="AB851" i="1"/>
  <c r="AC851" i="1"/>
  <c r="Y850" i="1"/>
  <c r="Z850" i="1"/>
  <c r="AA850" i="1"/>
  <c r="AB850" i="1"/>
  <c r="AC850" i="1"/>
  <c r="Y849" i="1"/>
  <c r="Z849" i="1"/>
  <c r="AA849" i="1"/>
  <c r="AB849" i="1"/>
  <c r="AC849" i="1"/>
  <c r="Y848" i="1"/>
  <c r="Z848" i="1"/>
  <c r="AA848" i="1"/>
  <c r="AB848" i="1"/>
  <c r="AC848" i="1"/>
  <c r="Y847" i="1"/>
  <c r="Z847" i="1"/>
  <c r="AA847" i="1"/>
  <c r="AB847" i="1"/>
  <c r="AC847" i="1"/>
  <c r="Y846" i="1"/>
  <c r="Z846" i="1"/>
  <c r="AA846" i="1"/>
  <c r="AB846" i="1"/>
  <c r="AC846" i="1"/>
  <c r="Y845" i="1"/>
  <c r="Z845" i="1"/>
  <c r="AA845" i="1"/>
  <c r="AB845" i="1"/>
  <c r="AC845" i="1"/>
  <c r="Y844" i="1"/>
  <c r="Z844" i="1"/>
  <c r="AA844" i="1"/>
  <c r="AB844" i="1"/>
  <c r="AC844" i="1"/>
  <c r="Y843" i="1"/>
  <c r="Z843" i="1"/>
  <c r="AA843" i="1"/>
  <c r="AB843" i="1"/>
  <c r="AC843" i="1"/>
  <c r="Y842" i="1"/>
  <c r="Z842" i="1"/>
  <c r="AA842" i="1"/>
  <c r="AB842" i="1"/>
  <c r="AC842" i="1"/>
  <c r="Y841" i="1"/>
  <c r="Z841" i="1"/>
  <c r="AA841" i="1"/>
  <c r="AB841" i="1"/>
  <c r="AC841" i="1"/>
  <c r="Y840" i="1"/>
  <c r="Z840" i="1"/>
  <c r="AA840" i="1"/>
  <c r="AB840" i="1"/>
  <c r="AC840" i="1"/>
  <c r="Y839" i="1"/>
  <c r="Z839" i="1"/>
  <c r="AA839" i="1"/>
  <c r="AB839" i="1"/>
  <c r="AC839" i="1"/>
  <c r="Y838" i="1"/>
  <c r="Z838" i="1"/>
  <c r="AA838" i="1"/>
  <c r="AB838" i="1"/>
  <c r="AC838" i="1"/>
  <c r="Y837" i="1"/>
  <c r="Z837" i="1"/>
  <c r="AA837" i="1"/>
  <c r="AB837" i="1"/>
  <c r="AC837" i="1"/>
  <c r="Y836" i="1"/>
  <c r="Z836" i="1"/>
  <c r="AA836" i="1"/>
  <c r="AB836" i="1"/>
  <c r="AC836" i="1"/>
  <c r="Y835" i="1"/>
  <c r="Z835" i="1"/>
  <c r="AA835" i="1"/>
  <c r="AB835" i="1"/>
  <c r="AC835" i="1"/>
  <c r="Y834" i="1"/>
  <c r="Z834" i="1"/>
  <c r="AA834" i="1"/>
  <c r="AB834" i="1"/>
  <c r="AC834" i="1"/>
  <c r="Y833" i="1"/>
  <c r="Z833" i="1"/>
  <c r="AA833" i="1"/>
  <c r="AB833" i="1"/>
  <c r="AC833" i="1"/>
  <c r="Y832" i="1"/>
  <c r="Z832" i="1"/>
  <c r="AA832" i="1"/>
  <c r="AB832" i="1"/>
  <c r="AC832" i="1"/>
  <c r="Y831" i="1"/>
  <c r="Z831" i="1"/>
  <c r="AA831" i="1"/>
  <c r="AB831" i="1"/>
  <c r="AC831" i="1"/>
  <c r="Y830" i="1"/>
  <c r="Z830" i="1"/>
  <c r="AA830" i="1"/>
  <c r="AB830" i="1"/>
  <c r="AC830" i="1"/>
  <c r="Y829" i="1"/>
  <c r="Z829" i="1"/>
  <c r="AA829" i="1"/>
  <c r="AB829" i="1"/>
  <c r="AC829" i="1"/>
  <c r="Y828" i="1"/>
  <c r="Z828" i="1"/>
  <c r="AA828" i="1"/>
  <c r="AB828" i="1"/>
  <c r="AC828" i="1"/>
  <c r="Y827" i="1"/>
  <c r="Z827" i="1"/>
  <c r="AA827" i="1"/>
  <c r="AB827" i="1"/>
  <c r="AC827" i="1"/>
  <c r="Y826" i="1"/>
  <c r="Z826" i="1"/>
  <c r="AA826" i="1"/>
  <c r="AB826" i="1"/>
  <c r="AC826" i="1"/>
  <c r="Y825" i="1"/>
  <c r="Z825" i="1"/>
  <c r="AA825" i="1"/>
  <c r="AB825" i="1"/>
  <c r="AC825" i="1"/>
  <c r="Y824" i="1"/>
  <c r="Z824" i="1"/>
  <c r="AA824" i="1"/>
  <c r="AB824" i="1"/>
  <c r="AC824" i="1"/>
  <c r="Y823" i="1"/>
  <c r="Z823" i="1"/>
  <c r="AA823" i="1"/>
  <c r="AB823" i="1"/>
  <c r="AC823" i="1"/>
  <c r="Y822" i="1"/>
  <c r="Z822" i="1"/>
  <c r="AA822" i="1"/>
  <c r="AB822" i="1"/>
  <c r="AC822" i="1"/>
  <c r="Y821" i="1"/>
  <c r="Z821" i="1"/>
  <c r="AA821" i="1"/>
  <c r="AB821" i="1"/>
  <c r="AC821" i="1"/>
  <c r="Y820" i="1"/>
  <c r="Z820" i="1"/>
  <c r="AA820" i="1"/>
  <c r="AB820" i="1"/>
  <c r="AC820" i="1"/>
  <c r="Y819" i="1"/>
  <c r="Z819" i="1"/>
  <c r="AA819" i="1"/>
  <c r="AB819" i="1"/>
  <c r="AC819" i="1"/>
  <c r="Y818" i="1"/>
  <c r="Z818" i="1"/>
  <c r="AA818" i="1"/>
  <c r="AB818" i="1"/>
  <c r="AC818" i="1"/>
  <c r="Y817" i="1"/>
  <c r="Z817" i="1"/>
  <c r="AA817" i="1"/>
  <c r="AB817" i="1"/>
  <c r="AC817" i="1"/>
  <c r="Y816" i="1"/>
  <c r="Z816" i="1"/>
  <c r="AA816" i="1"/>
  <c r="AB816" i="1"/>
  <c r="AC816" i="1"/>
  <c r="Y815" i="1"/>
  <c r="Z815" i="1"/>
  <c r="AA815" i="1"/>
  <c r="AB815" i="1"/>
  <c r="AC815" i="1"/>
  <c r="Y814" i="1"/>
  <c r="Z814" i="1"/>
  <c r="AA814" i="1"/>
  <c r="AB814" i="1"/>
  <c r="AC814" i="1"/>
  <c r="Y813" i="1"/>
  <c r="Z813" i="1"/>
  <c r="AA813" i="1"/>
  <c r="AB813" i="1"/>
  <c r="AC813" i="1"/>
  <c r="Y812" i="1"/>
  <c r="Z812" i="1"/>
  <c r="AA812" i="1"/>
  <c r="AB812" i="1"/>
  <c r="AC812" i="1"/>
  <c r="Y811" i="1"/>
  <c r="Z811" i="1"/>
  <c r="AA811" i="1"/>
  <c r="AB811" i="1"/>
  <c r="AC811" i="1"/>
  <c r="Y810" i="1"/>
  <c r="Z810" i="1"/>
  <c r="AA810" i="1"/>
  <c r="AB810" i="1"/>
  <c r="AC810" i="1"/>
  <c r="Y809" i="1"/>
  <c r="Z809" i="1"/>
  <c r="AA809" i="1"/>
  <c r="AB809" i="1"/>
  <c r="AC809" i="1"/>
  <c r="Y808" i="1"/>
  <c r="Z808" i="1"/>
  <c r="AA808" i="1"/>
  <c r="AB808" i="1"/>
  <c r="AC808" i="1"/>
  <c r="Y807" i="1"/>
  <c r="Z807" i="1"/>
  <c r="AA807" i="1"/>
  <c r="AB807" i="1"/>
  <c r="AC807" i="1"/>
  <c r="Y806" i="1"/>
  <c r="Z806" i="1"/>
  <c r="AA806" i="1"/>
  <c r="AB806" i="1"/>
  <c r="AC806" i="1"/>
  <c r="Y805" i="1"/>
  <c r="Z805" i="1"/>
  <c r="AA805" i="1"/>
  <c r="AB805" i="1"/>
  <c r="AC805" i="1"/>
  <c r="Y804" i="1"/>
  <c r="Z804" i="1"/>
  <c r="AA804" i="1"/>
  <c r="AB804" i="1"/>
  <c r="AC804" i="1"/>
  <c r="Y803" i="1"/>
  <c r="Z803" i="1"/>
  <c r="AA803" i="1"/>
  <c r="AB803" i="1"/>
  <c r="AC803" i="1"/>
  <c r="Y802" i="1"/>
  <c r="Z802" i="1"/>
  <c r="AA802" i="1"/>
  <c r="AB802" i="1"/>
  <c r="AC802" i="1"/>
  <c r="Y801" i="1"/>
  <c r="Z801" i="1"/>
  <c r="AA801" i="1"/>
  <c r="AB801" i="1"/>
  <c r="AC801" i="1"/>
  <c r="Y800" i="1"/>
  <c r="Z800" i="1"/>
  <c r="AA800" i="1"/>
  <c r="AB800" i="1"/>
  <c r="AC800" i="1"/>
  <c r="Y799" i="1"/>
  <c r="Z799" i="1"/>
  <c r="AA799" i="1"/>
  <c r="AB799" i="1"/>
  <c r="AC799" i="1"/>
  <c r="Y798" i="1"/>
  <c r="Z798" i="1"/>
  <c r="AA798" i="1"/>
  <c r="AB798" i="1"/>
  <c r="AC798" i="1"/>
  <c r="Y797" i="1"/>
  <c r="Z797" i="1"/>
  <c r="AA797" i="1"/>
  <c r="AB797" i="1"/>
  <c r="AC797" i="1"/>
  <c r="Y796" i="1"/>
  <c r="Z796" i="1"/>
  <c r="AA796" i="1"/>
  <c r="AB796" i="1"/>
  <c r="AC796" i="1"/>
  <c r="Y795" i="1"/>
  <c r="Z795" i="1"/>
  <c r="AA795" i="1"/>
  <c r="AB795" i="1"/>
  <c r="AC795" i="1"/>
  <c r="Y794" i="1"/>
  <c r="Z794" i="1"/>
  <c r="AA794" i="1"/>
  <c r="AB794" i="1"/>
  <c r="AC794" i="1"/>
  <c r="Y793" i="1"/>
  <c r="Z793" i="1"/>
  <c r="AA793" i="1"/>
  <c r="AB793" i="1"/>
  <c r="AC793" i="1"/>
  <c r="Y792" i="1"/>
  <c r="Z792" i="1"/>
  <c r="AA792" i="1"/>
  <c r="AB792" i="1"/>
  <c r="AC792" i="1"/>
  <c r="Y791" i="1"/>
  <c r="Z791" i="1"/>
  <c r="AA791" i="1"/>
  <c r="AB791" i="1"/>
  <c r="AC791" i="1"/>
  <c r="Y790" i="1"/>
  <c r="Z790" i="1"/>
  <c r="AA790" i="1"/>
  <c r="AB790" i="1"/>
  <c r="AC790" i="1"/>
  <c r="Y789" i="1"/>
  <c r="Z789" i="1"/>
  <c r="AA789" i="1"/>
  <c r="AB789" i="1"/>
  <c r="AC789" i="1"/>
  <c r="Y788" i="1"/>
  <c r="Z788" i="1"/>
  <c r="AA788" i="1"/>
  <c r="AB788" i="1"/>
  <c r="AC788" i="1"/>
  <c r="Y787" i="1"/>
  <c r="Z787" i="1"/>
  <c r="AA787" i="1"/>
  <c r="AB787" i="1"/>
  <c r="AC787" i="1"/>
  <c r="Y786" i="1"/>
  <c r="Z786" i="1"/>
  <c r="AA786" i="1"/>
  <c r="AB786" i="1"/>
  <c r="AC786" i="1"/>
  <c r="Y785" i="1"/>
  <c r="Z785" i="1"/>
  <c r="AA785" i="1"/>
  <c r="AB785" i="1"/>
  <c r="AC785" i="1"/>
  <c r="Y784" i="1"/>
  <c r="Z784" i="1"/>
  <c r="AA784" i="1"/>
  <c r="AB784" i="1"/>
  <c r="AC784" i="1"/>
  <c r="Y783" i="1"/>
  <c r="Z783" i="1"/>
  <c r="AA783" i="1"/>
  <c r="AB783" i="1"/>
  <c r="AC783" i="1"/>
  <c r="Y782" i="1"/>
  <c r="Z782" i="1"/>
  <c r="AA782" i="1"/>
  <c r="AB782" i="1"/>
  <c r="AC782" i="1"/>
  <c r="Y781" i="1"/>
  <c r="Z781" i="1"/>
  <c r="AA781" i="1"/>
  <c r="AB781" i="1"/>
  <c r="AC781" i="1"/>
  <c r="Y780" i="1"/>
  <c r="Z780" i="1"/>
  <c r="AA780" i="1"/>
  <c r="AB780" i="1"/>
  <c r="AC780" i="1"/>
  <c r="Y779" i="1"/>
  <c r="Z779" i="1"/>
  <c r="AA779" i="1"/>
  <c r="AB779" i="1"/>
  <c r="AC779" i="1"/>
  <c r="Y778" i="1"/>
  <c r="Z778" i="1"/>
  <c r="AA778" i="1"/>
  <c r="AB778" i="1"/>
  <c r="AC778" i="1"/>
  <c r="Y777" i="1"/>
  <c r="Z777" i="1"/>
  <c r="AA777" i="1"/>
  <c r="AB777" i="1"/>
  <c r="AC777" i="1"/>
  <c r="Y776" i="1"/>
  <c r="Z776" i="1"/>
  <c r="AA776" i="1"/>
  <c r="AB776" i="1"/>
  <c r="AC776" i="1"/>
  <c r="Y775" i="1"/>
  <c r="Z775" i="1"/>
  <c r="AA775" i="1"/>
  <c r="AB775" i="1"/>
  <c r="AC775" i="1"/>
  <c r="Y774" i="1"/>
  <c r="Z774" i="1"/>
  <c r="AA774" i="1"/>
  <c r="AB774" i="1"/>
  <c r="AC774" i="1"/>
  <c r="Y773" i="1"/>
  <c r="Z773" i="1"/>
  <c r="AA773" i="1"/>
  <c r="AB773" i="1"/>
  <c r="AC773" i="1"/>
  <c r="Y772" i="1"/>
  <c r="Z772" i="1"/>
  <c r="AA772" i="1"/>
  <c r="AB772" i="1"/>
  <c r="AC772" i="1"/>
  <c r="Y771" i="1"/>
  <c r="Z771" i="1"/>
  <c r="AA771" i="1"/>
  <c r="AB771" i="1"/>
  <c r="AC771" i="1"/>
  <c r="Y770" i="1"/>
  <c r="Z770" i="1"/>
  <c r="AA770" i="1"/>
  <c r="AB770" i="1"/>
  <c r="AC770" i="1"/>
  <c r="Y769" i="1"/>
  <c r="Z769" i="1"/>
  <c r="AA769" i="1"/>
  <c r="AB769" i="1"/>
  <c r="AC769" i="1"/>
  <c r="Y768" i="1"/>
  <c r="Z768" i="1"/>
  <c r="AA768" i="1"/>
  <c r="AB768" i="1"/>
  <c r="AC768" i="1"/>
  <c r="Y767" i="1"/>
  <c r="Z767" i="1"/>
  <c r="AA767" i="1"/>
  <c r="AB767" i="1"/>
  <c r="AC767" i="1"/>
  <c r="Y766" i="1"/>
  <c r="Z766" i="1"/>
  <c r="AA766" i="1"/>
  <c r="AB766" i="1"/>
  <c r="AC766" i="1"/>
  <c r="Y765" i="1"/>
  <c r="Z765" i="1"/>
  <c r="AA765" i="1"/>
  <c r="AB765" i="1"/>
  <c r="AC765" i="1"/>
  <c r="Y764" i="1"/>
  <c r="Z764" i="1"/>
  <c r="AA764" i="1"/>
  <c r="AB764" i="1"/>
  <c r="AC764" i="1"/>
  <c r="Y763" i="1"/>
  <c r="Z763" i="1"/>
  <c r="AA763" i="1"/>
  <c r="AB763" i="1"/>
  <c r="AC763" i="1"/>
  <c r="Y762" i="1"/>
  <c r="Z762" i="1"/>
  <c r="AA762" i="1"/>
  <c r="AB762" i="1"/>
  <c r="AC762" i="1"/>
  <c r="Y761" i="1"/>
  <c r="Z761" i="1"/>
  <c r="AA761" i="1"/>
  <c r="AB761" i="1"/>
  <c r="AC761" i="1"/>
  <c r="Y760" i="1"/>
  <c r="Z760" i="1"/>
  <c r="AA760" i="1"/>
  <c r="AB760" i="1"/>
  <c r="AC760" i="1"/>
  <c r="Y759" i="1"/>
  <c r="Z759" i="1"/>
  <c r="AA759" i="1"/>
  <c r="AB759" i="1"/>
  <c r="AC759" i="1"/>
  <c r="Y758" i="1"/>
  <c r="Z758" i="1"/>
  <c r="AA758" i="1"/>
  <c r="AB758" i="1"/>
  <c r="AC758" i="1"/>
  <c r="Y757" i="1"/>
  <c r="Z757" i="1"/>
  <c r="AA757" i="1"/>
  <c r="AB757" i="1"/>
  <c r="AC757" i="1"/>
  <c r="Y756" i="1"/>
  <c r="Z756" i="1"/>
  <c r="AA756" i="1"/>
  <c r="AB756" i="1"/>
  <c r="AC756" i="1"/>
  <c r="Y755" i="1"/>
  <c r="Z755" i="1"/>
  <c r="AA755" i="1"/>
  <c r="AB755" i="1"/>
  <c r="AC755" i="1"/>
  <c r="Y754" i="1"/>
  <c r="Z754" i="1"/>
  <c r="AA754" i="1"/>
  <c r="AB754" i="1"/>
  <c r="AC754" i="1"/>
  <c r="Y753" i="1"/>
  <c r="Z753" i="1"/>
  <c r="AA753" i="1"/>
  <c r="AB753" i="1"/>
  <c r="AC753" i="1"/>
  <c r="Y752" i="1"/>
  <c r="Z752" i="1"/>
  <c r="AA752" i="1"/>
  <c r="AB752" i="1"/>
  <c r="AC752" i="1"/>
  <c r="Y751" i="1"/>
  <c r="Z751" i="1"/>
  <c r="AA751" i="1"/>
  <c r="AB751" i="1"/>
  <c r="AC751" i="1"/>
  <c r="Y750" i="1"/>
  <c r="Z750" i="1"/>
  <c r="AA750" i="1"/>
  <c r="AB750" i="1"/>
  <c r="AC750" i="1"/>
  <c r="Y749" i="1"/>
  <c r="Z749" i="1"/>
  <c r="AA749" i="1"/>
  <c r="AB749" i="1"/>
  <c r="AC749" i="1"/>
  <c r="Y748" i="1"/>
  <c r="Z748" i="1"/>
  <c r="AA748" i="1"/>
  <c r="AB748" i="1"/>
  <c r="AC748" i="1"/>
  <c r="Y747" i="1"/>
  <c r="Z747" i="1"/>
  <c r="AA747" i="1"/>
  <c r="AB747" i="1"/>
  <c r="AC747" i="1"/>
  <c r="Y746" i="1"/>
  <c r="Z746" i="1"/>
  <c r="AA746" i="1"/>
  <c r="AB746" i="1"/>
  <c r="AC746" i="1"/>
  <c r="Y745" i="1"/>
  <c r="Z745" i="1"/>
  <c r="AA745" i="1"/>
  <c r="AB745" i="1"/>
  <c r="AC745" i="1"/>
  <c r="Y744" i="1"/>
  <c r="Z744" i="1"/>
  <c r="AA744" i="1"/>
  <c r="AB744" i="1"/>
  <c r="AC744" i="1"/>
  <c r="Y743" i="1"/>
  <c r="Z743" i="1"/>
  <c r="AA743" i="1"/>
  <c r="AB743" i="1"/>
  <c r="AC743" i="1"/>
  <c r="Y742" i="1"/>
  <c r="Z742" i="1"/>
  <c r="AA742" i="1"/>
  <c r="AB742" i="1"/>
  <c r="AC742" i="1"/>
  <c r="Y741" i="1"/>
  <c r="Z741" i="1"/>
  <c r="AA741" i="1"/>
  <c r="AB741" i="1"/>
  <c r="AC741" i="1"/>
  <c r="Y740" i="1"/>
  <c r="Z740" i="1"/>
  <c r="AA740" i="1"/>
  <c r="AB740" i="1"/>
  <c r="AC740" i="1"/>
  <c r="Y739" i="1"/>
  <c r="Z739" i="1"/>
  <c r="AA739" i="1"/>
  <c r="AB739" i="1"/>
  <c r="AC739" i="1"/>
  <c r="Y738" i="1"/>
  <c r="Z738" i="1"/>
  <c r="AA738" i="1"/>
  <c r="AB738" i="1"/>
  <c r="AC738" i="1"/>
  <c r="Y737" i="1"/>
  <c r="Z737" i="1"/>
  <c r="AA737" i="1"/>
  <c r="AB737" i="1"/>
  <c r="AC737" i="1"/>
  <c r="Y736" i="1"/>
  <c r="Z736" i="1"/>
  <c r="AA736" i="1"/>
  <c r="AB736" i="1"/>
  <c r="AC736" i="1"/>
  <c r="Y735" i="1"/>
  <c r="Z735" i="1"/>
  <c r="AA735" i="1"/>
  <c r="AB735" i="1"/>
  <c r="AC735" i="1"/>
  <c r="Y734" i="1"/>
  <c r="Z734" i="1"/>
  <c r="AA734" i="1"/>
  <c r="AB734" i="1"/>
  <c r="AC734" i="1"/>
  <c r="Y733" i="1"/>
  <c r="Z733" i="1"/>
  <c r="AA733" i="1"/>
  <c r="AB733" i="1"/>
  <c r="AC733" i="1"/>
  <c r="Y732" i="1"/>
  <c r="Z732" i="1"/>
  <c r="AA732" i="1"/>
  <c r="AB732" i="1"/>
  <c r="AC732" i="1"/>
  <c r="Y731" i="1"/>
  <c r="Z731" i="1"/>
  <c r="AA731" i="1"/>
  <c r="AB731" i="1"/>
  <c r="AC731" i="1"/>
  <c r="Y730" i="1"/>
  <c r="Z730" i="1"/>
  <c r="AA730" i="1"/>
  <c r="AB730" i="1"/>
  <c r="AC730" i="1"/>
  <c r="Y729" i="1"/>
  <c r="Z729" i="1"/>
  <c r="AA729" i="1"/>
  <c r="AB729" i="1"/>
  <c r="AC729" i="1"/>
  <c r="Y728" i="1"/>
  <c r="Z728" i="1"/>
  <c r="AA728" i="1"/>
  <c r="AB728" i="1"/>
  <c r="AC728" i="1"/>
  <c r="Y727" i="1"/>
  <c r="Z727" i="1"/>
  <c r="AA727" i="1"/>
  <c r="AB727" i="1"/>
  <c r="AC727" i="1"/>
  <c r="Y726" i="1"/>
  <c r="Z726" i="1"/>
  <c r="AA726" i="1"/>
  <c r="AB726" i="1"/>
  <c r="AC726" i="1"/>
  <c r="Y725" i="1"/>
  <c r="Z725" i="1"/>
  <c r="AA725" i="1"/>
  <c r="AB725" i="1"/>
  <c r="AC725" i="1"/>
  <c r="Y724" i="1"/>
  <c r="Z724" i="1"/>
  <c r="AA724" i="1"/>
  <c r="AB724" i="1"/>
  <c r="AC724" i="1"/>
  <c r="Y723" i="1"/>
  <c r="Z723" i="1"/>
  <c r="AA723" i="1"/>
  <c r="AB723" i="1"/>
  <c r="AC723" i="1"/>
  <c r="Y722" i="1"/>
  <c r="Z722" i="1"/>
  <c r="AA722" i="1"/>
  <c r="AB722" i="1"/>
  <c r="AC722" i="1"/>
  <c r="Y721" i="1"/>
  <c r="Z721" i="1"/>
  <c r="AA721" i="1"/>
  <c r="AB721" i="1"/>
  <c r="AC721" i="1"/>
  <c r="Y720" i="1"/>
  <c r="Z720" i="1"/>
  <c r="AA720" i="1"/>
  <c r="AB720" i="1"/>
  <c r="AC720" i="1"/>
  <c r="Y719" i="1"/>
  <c r="Z719" i="1"/>
  <c r="AA719" i="1"/>
  <c r="AB719" i="1"/>
  <c r="AC719" i="1"/>
  <c r="Y718" i="1"/>
  <c r="Z718" i="1"/>
  <c r="AA718" i="1"/>
  <c r="AB718" i="1"/>
  <c r="AC718" i="1"/>
  <c r="Y717" i="1"/>
  <c r="Z717" i="1"/>
  <c r="AA717" i="1"/>
  <c r="AB717" i="1"/>
  <c r="AC717" i="1"/>
  <c r="Y716" i="1"/>
  <c r="Z716" i="1"/>
  <c r="AA716" i="1"/>
  <c r="AB716" i="1"/>
  <c r="AC716" i="1"/>
  <c r="Y715" i="1"/>
  <c r="Z715" i="1"/>
  <c r="AA715" i="1"/>
  <c r="AB715" i="1"/>
  <c r="AC715" i="1"/>
  <c r="Y714" i="1"/>
  <c r="Z714" i="1"/>
  <c r="AA714" i="1"/>
  <c r="AB714" i="1"/>
  <c r="AC714" i="1"/>
  <c r="Y713" i="1"/>
  <c r="Z713" i="1"/>
  <c r="AA713" i="1"/>
  <c r="AB713" i="1"/>
  <c r="AC713" i="1"/>
  <c r="Y712" i="1"/>
  <c r="Z712" i="1"/>
  <c r="AA712" i="1"/>
  <c r="AB712" i="1"/>
  <c r="AC712" i="1"/>
  <c r="Y711" i="1"/>
  <c r="Z711" i="1"/>
  <c r="AA711" i="1"/>
  <c r="AB711" i="1"/>
  <c r="AC711" i="1"/>
  <c r="Y710" i="1"/>
  <c r="Z710" i="1"/>
  <c r="AA710" i="1"/>
  <c r="AB710" i="1"/>
  <c r="AC710" i="1"/>
  <c r="Y709" i="1"/>
  <c r="Z709" i="1"/>
  <c r="AA709" i="1"/>
  <c r="AB709" i="1"/>
  <c r="AC709" i="1"/>
  <c r="Y708" i="1"/>
  <c r="Z708" i="1"/>
  <c r="AA708" i="1"/>
  <c r="AB708" i="1"/>
  <c r="AC708" i="1"/>
  <c r="Y707" i="1"/>
  <c r="Z707" i="1"/>
  <c r="AA707" i="1"/>
  <c r="AB707" i="1"/>
  <c r="AC707" i="1"/>
  <c r="Y706" i="1"/>
  <c r="Z706" i="1"/>
  <c r="AA706" i="1"/>
  <c r="AB706" i="1"/>
  <c r="AC706" i="1"/>
  <c r="Y705" i="1"/>
  <c r="Z705" i="1"/>
  <c r="AA705" i="1"/>
  <c r="AB705" i="1"/>
  <c r="AC705" i="1"/>
  <c r="Y704" i="1"/>
  <c r="Z704" i="1"/>
  <c r="AA704" i="1"/>
  <c r="AB704" i="1"/>
  <c r="AC704" i="1"/>
  <c r="Y703" i="1"/>
  <c r="Z703" i="1"/>
  <c r="AA703" i="1"/>
  <c r="AB703" i="1"/>
  <c r="AC703" i="1"/>
  <c r="Y702" i="1"/>
  <c r="Z702" i="1"/>
  <c r="AA702" i="1"/>
  <c r="AB702" i="1"/>
  <c r="AC702" i="1"/>
  <c r="Y701" i="1"/>
  <c r="Z701" i="1"/>
  <c r="AA701" i="1"/>
  <c r="AB701" i="1"/>
  <c r="AC701" i="1"/>
  <c r="Y700" i="1"/>
  <c r="Z700" i="1"/>
  <c r="AA700" i="1"/>
  <c r="AB700" i="1"/>
  <c r="AC700" i="1"/>
  <c r="Y699" i="1"/>
  <c r="Z699" i="1"/>
  <c r="AA699" i="1"/>
  <c r="AB699" i="1"/>
  <c r="AC699" i="1"/>
  <c r="Y698" i="1"/>
  <c r="Z698" i="1"/>
  <c r="AA698" i="1"/>
  <c r="AB698" i="1"/>
  <c r="AC698" i="1"/>
  <c r="Y697" i="1"/>
  <c r="Z697" i="1"/>
  <c r="AA697" i="1"/>
  <c r="AB697" i="1"/>
  <c r="AC697" i="1"/>
  <c r="Y696" i="1"/>
  <c r="Z696" i="1"/>
  <c r="AA696" i="1"/>
  <c r="AB696" i="1"/>
  <c r="AC696" i="1"/>
  <c r="Y695" i="1"/>
  <c r="Z695" i="1"/>
  <c r="AA695" i="1"/>
  <c r="AB695" i="1"/>
  <c r="AC695" i="1"/>
  <c r="Y694" i="1"/>
  <c r="Z694" i="1"/>
  <c r="AA694" i="1"/>
  <c r="AB694" i="1"/>
  <c r="AC694" i="1"/>
  <c r="Y693" i="1"/>
  <c r="Z693" i="1"/>
  <c r="AA693" i="1"/>
  <c r="AB693" i="1"/>
  <c r="AC693" i="1"/>
  <c r="Y692" i="1"/>
  <c r="Z692" i="1"/>
  <c r="AA692" i="1"/>
  <c r="AB692" i="1"/>
  <c r="AC692" i="1"/>
  <c r="Y691" i="1"/>
  <c r="Z691" i="1"/>
  <c r="AA691" i="1"/>
  <c r="AB691" i="1"/>
  <c r="AC691" i="1"/>
  <c r="Y690" i="1"/>
  <c r="Z690" i="1"/>
  <c r="AA690" i="1"/>
  <c r="AB690" i="1"/>
  <c r="AC690" i="1"/>
  <c r="Y689" i="1"/>
  <c r="Z689" i="1"/>
  <c r="AA689" i="1"/>
  <c r="AB689" i="1"/>
  <c r="AC689" i="1"/>
  <c r="Y688" i="1"/>
  <c r="Z688" i="1"/>
  <c r="AA688" i="1"/>
  <c r="AB688" i="1"/>
  <c r="AC688" i="1"/>
  <c r="Y687" i="1"/>
  <c r="Z687" i="1"/>
  <c r="AA687" i="1"/>
  <c r="AB687" i="1"/>
  <c r="AC687" i="1"/>
  <c r="Y686" i="1"/>
  <c r="Z686" i="1"/>
  <c r="AA686" i="1"/>
  <c r="AB686" i="1"/>
  <c r="AC686" i="1"/>
  <c r="Y685" i="1"/>
  <c r="Z685" i="1"/>
  <c r="AA685" i="1"/>
  <c r="AB685" i="1"/>
  <c r="AC685" i="1"/>
  <c r="Y684" i="1"/>
  <c r="Z684" i="1"/>
  <c r="AA684" i="1"/>
  <c r="AB684" i="1"/>
  <c r="AC684" i="1"/>
  <c r="Y683" i="1"/>
  <c r="Z683" i="1"/>
  <c r="AA683" i="1"/>
  <c r="AB683" i="1"/>
  <c r="AC683" i="1"/>
  <c r="Y682" i="1"/>
  <c r="Z682" i="1"/>
  <c r="AA682" i="1"/>
  <c r="AB682" i="1"/>
  <c r="AC682" i="1"/>
  <c r="Y681" i="1"/>
  <c r="Z681" i="1"/>
  <c r="AA681" i="1"/>
  <c r="AB681" i="1"/>
  <c r="AC681" i="1"/>
  <c r="Y680" i="1"/>
  <c r="Z680" i="1"/>
  <c r="AA680" i="1"/>
  <c r="AB680" i="1"/>
  <c r="AC680" i="1"/>
  <c r="Y679" i="1"/>
  <c r="Z679" i="1"/>
  <c r="AA679" i="1"/>
  <c r="AB679" i="1"/>
  <c r="AC679" i="1"/>
  <c r="Y678" i="1"/>
  <c r="Z678" i="1"/>
  <c r="AA678" i="1"/>
  <c r="AB678" i="1"/>
  <c r="AC678" i="1"/>
  <c r="Y677" i="1"/>
  <c r="Z677" i="1"/>
  <c r="AA677" i="1"/>
  <c r="AB677" i="1"/>
  <c r="AC677" i="1"/>
  <c r="Y676" i="1"/>
  <c r="Z676" i="1"/>
  <c r="AA676" i="1"/>
  <c r="AB676" i="1"/>
  <c r="AC676" i="1"/>
  <c r="Y675" i="1"/>
  <c r="Z675" i="1"/>
  <c r="AA675" i="1"/>
  <c r="AB675" i="1"/>
  <c r="AC675" i="1"/>
  <c r="Y674" i="1"/>
  <c r="Z674" i="1"/>
  <c r="AA674" i="1"/>
  <c r="AB674" i="1"/>
  <c r="AC674" i="1"/>
  <c r="Y673" i="1"/>
  <c r="Z673" i="1"/>
  <c r="AA673" i="1"/>
  <c r="AB673" i="1"/>
  <c r="AC673" i="1"/>
  <c r="Y672" i="1"/>
  <c r="Z672" i="1"/>
  <c r="AA672" i="1"/>
  <c r="AB672" i="1"/>
  <c r="AC672" i="1"/>
  <c r="Y671" i="1"/>
  <c r="Z671" i="1"/>
  <c r="AA671" i="1"/>
  <c r="AB671" i="1"/>
  <c r="AC671" i="1"/>
  <c r="Y670" i="1"/>
  <c r="Z670" i="1"/>
  <c r="AA670" i="1"/>
  <c r="AB670" i="1"/>
  <c r="AC670" i="1"/>
  <c r="Y669" i="1"/>
  <c r="Z669" i="1"/>
  <c r="AA669" i="1"/>
  <c r="AB669" i="1"/>
  <c r="AC669" i="1"/>
  <c r="Y668" i="1"/>
  <c r="Z668" i="1"/>
  <c r="AA668" i="1"/>
  <c r="AB668" i="1"/>
  <c r="AC668" i="1"/>
  <c r="Y667" i="1"/>
  <c r="Z667" i="1"/>
  <c r="AA667" i="1"/>
  <c r="AB667" i="1"/>
  <c r="AC667" i="1"/>
  <c r="Y666" i="1"/>
  <c r="Z666" i="1"/>
  <c r="AA666" i="1"/>
  <c r="AB666" i="1"/>
  <c r="AC666" i="1"/>
  <c r="Y665" i="1"/>
  <c r="Z665" i="1"/>
  <c r="AA665" i="1"/>
  <c r="AB665" i="1"/>
  <c r="AC665" i="1"/>
  <c r="Y664" i="1"/>
  <c r="Z664" i="1"/>
  <c r="AA664" i="1"/>
  <c r="AB664" i="1"/>
  <c r="AC664" i="1"/>
  <c r="Y663" i="1"/>
  <c r="Z663" i="1"/>
  <c r="AA663" i="1"/>
  <c r="AB663" i="1"/>
  <c r="AC663" i="1"/>
  <c r="Y662" i="1"/>
  <c r="Z662" i="1"/>
  <c r="AA662" i="1"/>
  <c r="AB662" i="1"/>
  <c r="AC662" i="1"/>
  <c r="Y661" i="1"/>
  <c r="Z661" i="1"/>
  <c r="AA661" i="1"/>
  <c r="AB661" i="1"/>
  <c r="AC661" i="1"/>
  <c r="Y660" i="1"/>
  <c r="Z660" i="1"/>
  <c r="AA660" i="1"/>
  <c r="AB660" i="1"/>
  <c r="AC660" i="1"/>
  <c r="Y659" i="1"/>
  <c r="Z659" i="1"/>
  <c r="AA659" i="1"/>
  <c r="AB659" i="1"/>
  <c r="AC659" i="1"/>
  <c r="Y658" i="1"/>
  <c r="Z658" i="1"/>
  <c r="AA658" i="1"/>
  <c r="AB658" i="1"/>
  <c r="AC658" i="1"/>
  <c r="Y657" i="1"/>
  <c r="Z657" i="1"/>
  <c r="AA657" i="1"/>
  <c r="AB657" i="1"/>
  <c r="AC657" i="1"/>
  <c r="Y656" i="1"/>
  <c r="Z656" i="1"/>
  <c r="AA656" i="1"/>
  <c r="AB656" i="1"/>
  <c r="AC656" i="1"/>
  <c r="Y655" i="1"/>
  <c r="Z655" i="1"/>
  <c r="AA655" i="1"/>
  <c r="AB655" i="1"/>
  <c r="AC655" i="1"/>
  <c r="Y654" i="1"/>
  <c r="Z654" i="1"/>
  <c r="AA654" i="1"/>
  <c r="AB654" i="1"/>
  <c r="AC654" i="1"/>
  <c r="Y653" i="1"/>
  <c r="Z653" i="1"/>
  <c r="AA653" i="1"/>
  <c r="AB653" i="1"/>
  <c r="AC653" i="1"/>
  <c r="Y652" i="1"/>
  <c r="Z652" i="1"/>
  <c r="AA652" i="1"/>
  <c r="AB652" i="1"/>
  <c r="AC652" i="1"/>
  <c r="Y651" i="1"/>
  <c r="Z651" i="1"/>
  <c r="AA651" i="1"/>
  <c r="AB651" i="1"/>
  <c r="AC651" i="1"/>
  <c r="Y650" i="1"/>
  <c r="Z650" i="1"/>
  <c r="AA650" i="1"/>
  <c r="AB650" i="1"/>
  <c r="AC650" i="1"/>
  <c r="Y649" i="1"/>
  <c r="Z649" i="1"/>
  <c r="AA649" i="1"/>
  <c r="AB649" i="1"/>
  <c r="AC649" i="1"/>
  <c r="Y648" i="1"/>
  <c r="Z648" i="1"/>
  <c r="AA648" i="1"/>
  <c r="AB648" i="1"/>
  <c r="AC648" i="1"/>
  <c r="Y647" i="1"/>
  <c r="Z647" i="1"/>
  <c r="AA647" i="1"/>
  <c r="AB647" i="1"/>
  <c r="AC647" i="1"/>
  <c r="Y646" i="1"/>
  <c r="Z646" i="1"/>
  <c r="AA646" i="1"/>
  <c r="AB646" i="1"/>
  <c r="AC646" i="1"/>
  <c r="Y645" i="1"/>
  <c r="Z645" i="1"/>
  <c r="AA645" i="1"/>
  <c r="AB645" i="1"/>
  <c r="AC645" i="1"/>
  <c r="Y644" i="1"/>
  <c r="Z644" i="1"/>
  <c r="AA644" i="1"/>
  <c r="AB644" i="1"/>
  <c r="AC644" i="1"/>
  <c r="Y643" i="1"/>
  <c r="Z643" i="1"/>
  <c r="AA643" i="1"/>
  <c r="AB643" i="1"/>
  <c r="AC643" i="1"/>
  <c r="Y642" i="1"/>
  <c r="Z642" i="1"/>
  <c r="AA642" i="1"/>
  <c r="AB642" i="1"/>
  <c r="AC642" i="1"/>
  <c r="Y641" i="1"/>
  <c r="Z641" i="1"/>
  <c r="AA641" i="1"/>
  <c r="AB641" i="1"/>
  <c r="AC641" i="1"/>
  <c r="Y640" i="1"/>
  <c r="Z640" i="1"/>
  <c r="AA640" i="1"/>
  <c r="AB640" i="1"/>
  <c r="AC640" i="1"/>
  <c r="Y639" i="1"/>
  <c r="Z639" i="1"/>
  <c r="AA639" i="1"/>
  <c r="AB639" i="1"/>
  <c r="AC639" i="1"/>
  <c r="Y638" i="1"/>
  <c r="Z638" i="1"/>
  <c r="AA638" i="1"/>
  <c r="AB638" i="1"/>
  <c r="AC638" i="1"/>
  <c r="Y637" i="1"/>
  <c r="Z637" i="1"/>
  <c r="AA637" i="1"/>
  <c r="AB637" i="1"/>
  <c r="AC637" i="1"/>
  <c r="Y636" i="1"/>
  <c r="Z636" i="1"/>
  <c r="AA636" i="1"/>
  <c r="AB636" i="1"/>
  <c r="AC636" i="1"/>
  <c r="Y635" i="1"/>
  <c r="Z635" i="1"/>
  <c r="AA635" i="1"/>
  <c r="AB635" i="1"/>
  <c r="AC635" i="1"/>
  <c r="Y634" i="1"/>
  <c r="Z634" i="1"/>
  <c r="AA634" i="1"/>
  <c r="AB634" i="1"/>
  <c r="AC634" i="1"/>
  <c r="Y633" i="1"/>
  <c r="Z633" i="1"/>
  <c r="AA633" i="1"/>
  <c r="AB633" i="1"/>
  <c r="AC633" i="1"/>
  <c r="Y632" i="1"/>
  <c r="Z632" i="1"/>
  <c r="AA632" i="1"/>
  <c r="AB632" i="1"/>
  <c r="AC632" i="1"/>
  <c r="Y631" i="1"/>
  <c r="Z631" i="1"/>
  <c r="AA631" i="1"/>
  <c r="AB631" i="1"/>
  <c r="AC631" i="1"/>
  <c r="Y630" i="1"/>
  <c r="Z630" i="1"/>
  <c r="AA630" i="1"/>
  <c r="AB630" i="1"/>
  <c r="AC630" i="1"/>
  <c r="Y629" i="1"/>
  <c r="Z629" i="1"/>
  <c r="AA629" i="1"/>
  <c r="AB629" i="1"/>
  <c r="AC629" i="1"/>
  <c r="Y628" i="1"/>
  <c r="Z628" i="1"/>
  <c r="AA628" i="1"/>
  <c r="AB628" i="1"/>
  <c r="AC628" i="1"/>
  <c r="Y627" i="1"/>
  <c r="Z627" i="1"/>
  <c r="AA627" i="1"/>
  <c r="AB627" i="1"/>
  <c r="AC627" i="1"/>
  <c r="Y626" i="1"/>
  <c r="Z626" i="1"/>
  <c r="AA626" i="1"/>
  <c r="AB626" i="1"/>
  <c r="AC626" i="1"/>
  <c r="Y625" i="1"/>
  <c r="Z625" i="1"/>
  <c r="AA625" i="1"/>
  <c r="AB625" i="1"/>
  <c r="AC625" i="1"/>
  <c r="Y624" i="1"/>
  <c r="Z624" i="1"/>
  <c r="AA624" i="1"/>
  <c r="AB624" i="1"/>
  <c r="AC624" i="1"/>
  <c r="Y623" i="1"/>
  <c r="Z623" i="1"/>
  <c r="AA623" i="1"/>
  <c r="AB623" i="1"/>
  <c r="AC623" i="1"/>
  <c r="Y622" i="1"/>
  <c r="Z622" i="1"/>
  <c r="AA622" i="1"/>
  <c r="AB622" i="1"/>
  <c r="AC622" i="1"/>
  <c r="Y621" i="1"/>
  <c r="Z621" i="1"/>
  <c r="AA621" i="1"/>
  <c r="AB621" i="1"/>
  <c r="AC621" i="1"/>
  <c r="Y620" i="1"/>
  <c r="Z620" i="1"/>
  <c r="AA620" i="1"/>
  <c r="AB620" i="1"/>
  <c r="AC620" i="1"/>
  <c r="Y619" i="1"/>
  <c r="Z619" i="1"/>
  <c r="AA619" i="1"/>
  <c r="AB619" i="1"/>
  <c r="AC619" i="1"/>
  <c r="Y618" i="1"/>
  <c r="Z618" i="1"/>
  <c r="AA618" i="1"/>
  <c r="AB618" i="1"/>
  <c r="AC618" i="1"/>
  <c r="Y617" i="1"/>
  <c r="Z617" i="1"/>
  <c r="AA617" i="1"/>
  <c r="AB617" i="1"/>
  <c r="AC617" i="1"/>
  <c r="Y616" i="1"/>
  <c r="Z616" i="1"/>
  <c r="AA616" i="1"/>
  <c r="AB616" i="1"/>
  <c r="AC616" i="1"/>
  <c r="Y615" i="1"/>
  <c r="Z615" i="1"/>
  <c r="AA615" i="1"/>
  <c r="AB615" i="1"/>
  <c r="AC615" i="1"/>
  <c r="Y614" i="1"/>
  <c r="Z614" i="1"/>
  <c r="AA614" i="1"/>
  <c r="AB614" i="1"/>
  <c r="AC614" i="1"/>
  <c r="Y613" i="1"/>
  <c r="Z613" i="1"/>
  <c r="AA613" i="1"/>
  <c r="AB613" i="1"/>
  <c r="AC613" i="1"/>
  <c r="Y612" i="1"/>
  <c r="Z612" i="1"/>
  <c r="AA612" i="1"/>
  <c r="AB612" i="1"/>
  <c r="AC612" i="1"/>
  <c r="Y611" i="1"/>
  <c r="Z611" i="1"/>
  <c r="AA611" i="1"/>
  <c r="AB611" i="1"/>
  <c r="AC611" i="1"/>
  <c r="Y610" i="1"/>
  <c r="Z610" i="1"/>
  <c r="AA610" i="1"/>
  <c r="AB610" i="1"/>
  <c r="AC610" i="1"/>
  <c r="Y609" i="1"/>
  <c r="Z609" i="1"/>
  <c r="AA609" i="1"/>
  <c r="AB609" i="1"/>
  <c r="AC609" i="1"/>
  <c r="Y608" i="1"/>
  <c r="Z608" i="1"/>
  <c r="AA608" i="1"/>
  <c r="AB608" i="1"/>
  <c r="AC608" i="1"/>
  <c r="Y607" i="1"/>
  <c r="Z607" i="1"/>
  <c r="AA607" i="1"/>
  <c r="AB607" i="1"/>
  <c r="AC607" i="1"/>
  <c r="Y606" i="1"/>
  <c r="Z606" i="1"/>
  <c r="AA606" i="1"/>
  <c r="AB606" i="1"/>
  <c r="AC606" i="1"/>
  <c r="Y605" i="1"/>
  <c r="Z605" i="1"/>
  <c r="AA605" i="1"/>
  <c r="AB605" i="1"/>
  <c r="AC605" i="1"/>
  <c r="Y604" i="1"/>
  <c r="Z604" i="1"/>
  <c r="AA604" i="1"/>
  <c r="AB604" i="1"/>
  <c r="AC604" i="1"/>
  <c r="Y603" i="1"/>
  <c r="Z603" i="1"/>
  <c r="AA603" i="1"/>
  <c r="AB603" i="1"/>
  <c r="AC603" i="1"/>
  <c r="Y602" i="1"/>
  <c r="Z602" i="1"/>
  <c r="AA602" i="1"/>
  <c r="AB602" i="1"/>
  <c r="AC602" i="1"/>
  <c r="Y601" i="1"/>
  <c r="Z601" i="1"/>
  <c r="AA601" i="1"/>
  <c r="AB601" i="1"/>
  <c r="AC601" i="1"/>
  <c r="Y600" i="1"/>
  <c r="Z600" i="1"/>
  <c r="AA600" i="1"/>
  <c r="AB600" i="1"/>
  <c r="AC600" i="1"/>
  <c r="Y599" i="1"/>
  <c r="Z599" i="1"/>
  <c r="AA599" i="1"/>
  <c r="AB599" i="1"/>
  <c r="AC599" i="1"/>
  <c r="Y598" i="1"/>
  <c r="Z598" i="1"/>
  <c r="AA598" i="1"/>
  <c r="AB598" i="1"/>
  <c r="AC598" i="1"/>
  <c r="Y597" i="1"/>
  <c r="Z597" i="1"/>
  <c r="AA597" i="1"/>
  <c r="AB597" i="1"/>
  <c r="AC597" i="1"/>
  <c r="Y596" i="1"/>
  <c r="Z596" i="1"/>
  <c r="AA596" i="1"/>
  <c r="AB596" i="1"/>
  <c r="AC596" i="1"/>
  <c r="Y595" i="1"/>
  <c r="Z595" i="1"/>
  <c r="AA595" i="1"/>
  <c r="AB595" i="1"/>
  <c r="AC595" i="1"/>
  <c r="Y594" i="1"/>
  <c r="Z594" i="1"/>
  <c r="AA594" i="1"/>
  <c r="AB594" i="1"/>
  <c r="AC594" i="1"/>
  <c r="Y593" i="1"/>
  <c r="Z593" i="1"/>
  <c r="AA593" i="1"/>
  <c r="AB593" i="1"/>
  <c r="AC593" i="1"/>
  <c r="Y592" i="1"/>
  <c r="Z592" i="1"/>
  <c r="AA592" i="1"/>
  <c r="AB592" i="1"/>
  <c r="AC592" i="1"/>
  <c r="Y591" i="1"/>
  <c r="Z591" i="1"/>
  <c r="AA591" i="1"/>
  <c r="AB591" i="1"/>
  <c r="AC591" i="1"/>
  <c r="Y590" i="1"/>
  <c r="Z590" i="1"/>
  <c r="AA590" i="1"/>
  <c r="AB590" i="1"/>
  <c r="AC590" i="1"/>
  <c r="Y589" i="1"/>
  <c r="Z589" i="1"/>
  <c r="AA589" i="1"/>
  <c r="AB589" i="1"/>
  <c r="AC589" i="1"/>
  <c r="Y588" i="1"/>
  <c r="Z588" i="1"/>
  <c r="AA588" i="1"/>
  <c r="AB588" i="1"/>
  <c r="AC588" i="1"/>
  <c r="Y587" i="1"/>
  <c r="Z587" i="1"/>
  <c r="AA587" i="1"/>
  <c r="AB587" i="1"/>
  <c r="AC587" i="1"/>
  <c r="Y586" i="1"/>
  <c r="Z586" i="1"/>
  <c r="AA586" i="1"/>
  <c r="AB586" i="1"/>
  <c r="AC586" i="1"/>
  <c r="Y585" i="1"/>
  <c r="Z585" i="1"/>
  <c r="AA585" i="1"/>
  <c r="AB585" i="1"/>
  <c r="AC585" i="1"/>
  <c r="Y584" i="1"/>
  <c r="Z584" i="1"/>
  <c r="AA584" i="1"/>
  <c r="AB584" i="1"/>
  <c r="AC584" i="1"/>
  <c r="Y583" i="1"/>
  <c r="Z583" i="1"/>
  <c r="AA583" i="1"/>
  <c r="AB583" i="1"/>
  <c r="AC583" i="1"/>
  <c r="Y582" i="1"/>
  <c r="Z582" i="1"/>
  <c r="AA582" i="1"/>
  <c r="AB582" i="1"/>
  <c r="AC582" i="1"/>
  <c r="Y581" i="1"/>
  <c r="Z581" i="1"/>
  <c r="AA581" i="1"/>
  <c r="AB581" i="1"/>
  <c r="AC581" i="1"/>
  <c r="Y580" i="1"/>
  <c r="Z580" i="1"/>
  <c r="AA580" i="1"/>
  <c r="AB580" i="1"/>
  <c r="AC580" i="1"/>
  <c r="Y579" i="1"/>
  <c r="Z579" i="1"/>
  <c r="AA579" i="1"/>
  <c r="AB579" i="1"/>
  <c r="AC579" i="1"/>
  <c r="Y578" i="1"/>
  <c r="Z578" i="1"/>
  <c r="AA578" i="1"/>
  <c r="AB578" i="1"/>
  <c r="AC578" i="1"/>
  <c r="Y577" i="1"/>
  <c r="Z577" i="1"/>
  <c r="AA577" i="1"/>
  <c r="AB577" i="1"/>
  <c r="AC577" i="1"/>
  <c r="Y576" i="1"/>
  <c r="Z576" i="1"/>
  <c r="AA576" i="1"/>
  <c r="AB576" i="1"/>
  <c r="AC576" i="1"/>
  <c r="Y575" i="1"/>
  <c r="Z575" i="1"/>
  <c r="AA575" i="1"/>
  <c r="AB575" i="1"/>
  <c r="AC575" i="1"/>
  <c r="Y574" i="1"/>
  <c r="Z574" i="1"/>
  <c r="AA574" i="1"/>
  <c r="AB574" i="1"/>
  <c r="AC574" i="1"/>
  <c r="Y573" i="1"/>
  <c r="Z573" i="1"/>
  <c r="AA573" i="1"/>
  <c r="AB573" i="1"/>
  <c r="AC573" i="1"/>
  <c r="Y572" i="1"/>
  <c r="Z572" i="1"/>
  <c r="AA572" i="1"/>
  <c r="AB572" i="1"/>
  <c r="AC572" i="1"/>
  <c r="Y571" i="1"/>
  <c r="Z571" i="1"/>
  <c r="AA571" i="1"/>
  <c r="AB571" i="1"/>
  <c r="AC571" i="1"/>
  <c r="Y570" i="1"/>
  <c r="Z570" i="1"/>
  <c r="AA570" i="1"/>
  <c r="AB570" i="1"/>
  <c r="AC570" i="1"/>
  <c r="Y569" i="1"/>
  <c r="Z569" i="1"/>
  <c r="AA569" i="1"/>
  <c r="AB569" i="1"/>
  <c r="AC569" i="1"/>
  <c r="Y568" i="1"/>
  <c r="Z568" i="1"/>
  <c r="AA568" i="1"/>
  <c r="AB568" i="1"/>
  <c r="AC568" i="1"/>
  <c r="Y567" i="1"/>
  <c r="Z567" i="1"/>
  <c r="AA567" i="1"/>
  <c r="AB567" i="1"/>
  <c r="AC567" i="1"/>
  <c r="Y566" i="1"/>
  <c r="Z566" i="1"/>
  <c r="AA566" i="1"/>
  <c r="AB566" i="1"/>
  <c r="AC566" i="1"/>
  <c r="Y565" i="1"/>
  <c r="Z565" i="1"/>
  <c r="AA565" i="1"/>
  <c r="AB565" i="1"/>
  <c r="AC565" i="1"/>
  <c r="Y564" i="1"/>
  <c r="Z564" i="1"/>
  <c r="AA564" i="1"/>
  <c r="AB564" i="1"/>
  <c r="AC564" i="1"/>
  <c r="Y563" i="1"/>
  <c r="Z563" i="1"/>
  <c r="AA563" i="1"/>
  <c r="AB563" i="1"/>
  <c r="AC563" i="1"/>
  <c r="Y562" i="1"/>
  <c r="Z562" i="1"/>
  <c r="AA562" i="1"/>
  <c r="AB562" i="1"/>
  <c r="AC562" i="1"/>
  <c r="Y561" i="1"/>
  <c r="Z561" i="1"/>
  <c r="AA561" i="1"/>
  <c r="AB561" i="1"/>
  <c r="AC561" i="1"/>
  <c r="Y560" i="1"/>
  <c r="Z560" i="1"/>
  <c r="AA560" i="1"/>
  <c r="AB560" i="1"/>
  <c r="AC560" i="1"/>
  <c r="Y559" i="1"/>
  <c r="Z559" i="1"/>
  <c r="AA559" i="1"/>
  <c r="AB559" i="1"/>
  <c r="AC559" i="1"/>
  <c r="Y558" i="1"/>
  <c r="Z558" i="1"/>
  <c r="AA558" i="1"/>
  <c r="AB558" i="1"/>
  <c r="AC558" i="1"/>
  <c r="Y557" i="1"/>
  <c r="Z557" i="1"/>
  <c r="AA557" i="1"/>
  <c r="AB557" i="1"/>
  <c r="AC557" i="1"/>
  <c r="Y556" i="1"/>
  <c r="Z556" i="1"/>
  <c r="AA556" i="1"/>
  <c r="AB556" i="1"/>
  <c r="AC556" i="1"/>
  <c r="Y555" i="1"/>
  <c r="Z555" i="1"/>
  <c r="AA555" i="1"/>
  <c r="AB555" i="1"/>
  <c r="AC555" i="1"/>
  <c r="Y554" i="1"/>
  <c r="Z554" i="1"/>
  <c r="AA554" i="1"/>
  <c r="AB554" i="1"/>
  <c r="AC554" i="1"/>
  <c r="Y553" i="1"/>
  <c r="Z553" i="1"/>
  <c r="AA553" i="1"/>
  <c r="AB553" i="1"/>
  <c r="AC553" i="1"/>
  <c r="Y552" i="1"/>
  <c r="Z552" i="1"/>
  <c r="AA552" i="1"/>
  <c r="AB552" i="1"/>
  <c r="AC552" i="1"/>
  <c r="Y551" i="1"/>
  <c r="Z551" i="1"/>
  <c r="AA551" i="1"/>
  <c r="AB551" i="1"/>
  <c r="AC551" i="1"/>
  <c r="Y550" i="1"/>
  <c r="Z550" i="1"/>
  <c r="AA550" i="1"/>
  <c r="AB550" i="1"/>
  <c r="AC550" i="1"/>
  <c r="Y549" i="1"/>
  <c r="Z549" i="1"/>
  <c r="AA549" i="1"/>
  <c r="AB549" i="1"/>
  <c r="AC549" i="1"/>
  <c r="Y548" i="1"/>
  <c r="Z548" i="1"/>
  <c r="AA548" i="1"/>
  <c r="AB548" i="1"/>
  <c r="AC548" i="1"/>
  <c r="Y547" i="1"/>
  <c r="Z547" i="1"/>
  <c r="AA547" i="1"/>
  <c r="AB547" i="1"/>
  <c r="AC547" i="1"/>
  <c r="Y546" i="1"/>
  <c r="Z546" i="1"/>
  <c r="AA546" i="1"/>
  <c r="AB546" i="1"/>
  <c r="AC546" i="1"/>
  <c r="Y545" i="1"/>
  <c r="Z545" i="1"/>
  <c r="AA545" i="1"/>
  <c r="AB545" i="1"/>
  <c r="AC545" i="1"/>
  <c r="Y544" i="1"/>
  <c r="Z544" i="1"/>
  <c r="AA544" i="1"/>
  <c r="AB544" i="1"/>
  <c r="AC544" i="1"/>
  <c r="Y543" i="1"/>
  <c r="Z543" i="1"/>
  <c r="AA543" i="1"/>
  <c r="AB543" i="1"/>
  <c r="AC543" i="1"/>
  <c r="Y542" i="1"/>
  <c r="Z542" i="1"/>
  <c r="AA542" i="1"/>
  <c r="AB542" i="1"/>
  <c r="AC542" i="1"/>
  <c r="Y541" i="1"/>
  <c r="Z541" i="1"/>
  <c r="AA541" i="1"/>
  <c r="AB541" i="1"/>
  <c r="AC541" i="1"/>
  <c r="Y540" i="1"/>
  <c r="Z540" i="1"/>
  <c r="AA540" i="1"/>
  <c r="AB540" i="1"/>
  <c r="AC540" i="1"/>
  <c r="Y539" i="1"/>
  <c r="Z539" i="1"/>
  <c r="AA539" i="1"/>
  <c r="AB539" i="1"/>
  <c r="AC539" i="1"/>
  <c r="Y538" i="1"/>
  <c r="Z538" i="1"/>
  <c r="AA538" i="1"/>
  <c r="AB538" i="1"/>
  <c r="AC538" i="1"/>
  <c r="Y537" i="1"/>
  <c r="Z537" i="1"/>
  <c r="AA537" i="1"/>
  <c r="AB537" i="1"/>
  <c r="AC537" i="1"/>
  <c r="Y536" i="1"/>
  <c r="Z536" i="1"/>
  <c r="AA536" i="1"/>
  <c r="AB536" i="1"/>
  <c r="AC536" i="1"/>
  <c r="Y535" i="1"/>
  <c r="Z535" i="1"/>
  <c r="AA535" i="1"/>
  <c r="AB535" i="1"/>
  <c r="AC535" i="1"/>
  <c r="Y534" i="1"/>
  <c r="Z534" i="1"/>
  <c r="AA534" i="1"/>
  <c r="AB534" i="1"/>
  <c r="AC534" i="1"/>
  <c r="Y533" i="1"/>
  <c r="Z533" i="1"/>
  <c r="AA533" i="1"/>
  <c r="AB533" i="1"/>
  <c r="AC533" i="1"/>
  <c r="Y532" i="1"/>
  <c r="Z532" i="1"/>
  <c r="AA532" i="1"/>
  <c r="AB532" i="1"/>
  <c r="AC532" i="1"/>
  <c r="Y531" i="1"/>
  <c r="Z531" i="1"/>
  <c r="AA531" i="1"/>
  <c r="AB531" i="1"/>
  <c r="AC531" i="1"/>
  <c r="Y530" i="1"/>
  <c r="Z530" i="1"/>
  <c r="AA530" i="1"/>
  <c r="AB530" i="1"/>
  <c r="AC530" i="1"/>
  <c r="Y529" i="1"/>
  <c r="Z529" i="1"/>
  <c r="AA529" i="1"/>
  <c r="AB529" i="1"/>
  <c r="AC529" i="1"/>
  <c r="Y528" i="1"/>
  <c r="Z528" i="1"/>
  <c r="AA528" i="1"/>
  <c r="AB528" i="1"/>
  <c r="AC528" i="1"/>
  <c r="Y527" i="1"/>
  <c r="Z527" i="1"/>
  <c r="AA527" i="1"/>
  <c r="AB527" i="1"/>
  <c r="AC527" i="1"/>
  <c r="Y526" i="1"/>
  <c r="Z526" i="1"/>
  <c r="AA526" i="1"/>
  <c r="AB526" i="1"/>
  <c r="AC526" i="1"/>
  <c r="Y525" i="1"/>
  <c r="Z525" i="1"/>
  <c r="AA525" i="1"/>
  <c r="AB525" i="1"/>
  <c r="AC525" i="1"/>
  <c r="Y524" i="1"/>
  <c r="Z524" i="1"/>
  <c r="AA524" i="1"/>
  <c r="AB524" i="1"/>
  <c r="AC524" i="1"/>
  <c r="Y523" i="1"/>
  <c r="Z523" i="1"/>
  <c r="AA523" i="1"/>
  <c r="AB523" i="1"/>
  <c r="AC523" i="1"/>
  <c r="Y522" i="1"/>
  <c r="Z522" i="1"/>
  <c r="AA522" i="1"/>
  <c r="AB522" i="1"/>
  <c r="AC522" i="1"/>
  <c r="Y521" i="1"/>
  <c r="Z521" i="1"/>
  <c r="AA521" i="1"/>
  <c r="AB521" i="1"/>
  <c r="AC521" i="1"/>
  <c r="Y520" i="1"/>
  <c r="Z520" i="1"/>
  <c r="AA520" i="1"/>
  <c r="AB520" i="1"/>
  <c r="AC520" i="1"/>
  <c r="Y519" i="1"/>
  <c r="Z519" i="1"/>
  <c r="AA519" i="1"/>
  <c r="AB519" i="1"/>
  <c r="AC519" i="1"/>
  <c r="Y518" i="1"/>
  <c r="Z518" i="1"/>
  <c r="AA518" i="1"/>
  <c r="AB518" i="1"/>
  <c r="AC518" i="1"/>
  <c r="Y517" i="1"/>
  <c r="Z517" i="1"/>
  <c r="AA517" i="1"/>
  <c r="AB517" i="1"/>
  <c r="AC517" i="1"/>
  <c r="Y516" i="1"/>
  <c r="Z516" i="1"/>
  <c r="AA516" i="1"/>
  <c r="AB516" i="1"/>
  <c r="AC516" i="1"/>
  <c r="Y515" i="1"/>
  <c r="Z515" i="1"/>
  <c r="AA515" i="1"/>
  <c r="AB515" i="1"/>
  <c r="AC515" i="1"/>
  <c r="Y514" i="1"/>
  <c r="Z514" i="1"/>
  <c r="AA514" i="1"/>
  <c r="AB514" i="1"/>
  <c r="AC514" i="1"/>
  <c r="Y513" i="1"/>
  <c r="Z513" i="1"/>
  <c r="AA513" i="1"/>
  <c r="AB513" i="1"/>
  <c r="AC513" i="1"/>
  <c r="Y512" i="1"/>
  <c r="Z512" i="1"/>
  <c r="AA512" i="1"/>
  <c r="AB512" i="1"/>
  <c r="AC512" i="1"/>
  <c r="Y511" i="1"/>
  <c r="Z511" i="1"/>
  <c r="AA511" i="1"/>
  <c r="AB511" i="1"/>
  <c r="AC511" i="1"/>
  <c r="Y510" i="1"/>
  <c r="Z510" i="1"/>
  <c r="AA510" i="1"/>
  <c r="AB510" i="1"/>
  <c r="AC510" i="1"/>
  <c r="Y509" i="1"/>
  <c r="Z509" i="1"/>
  <c r="AA509" i="1"/>
  <c r="AB509" i="1"/>
  <c r="AC509" i="1"/>
  <c r="Y508" i="1"/>
  <c r="Z508" i="1"/>
  <c r="AA508" i="1"/>
  <c r="AB508" i="1"/>
  <c r="AC508" i="1"/>
  <c r="Y507" i="1"/>
  <c r="Z507" i="1"/>
  <c r="AA507" i="1"/>
  <c r="AB507" i="1"/>
  <c r="AC507" i="1"/>
  <c r="Y506" i="1"/>
  <c r="Z506" i="1"/>
  <c r="AA506" i="1"/>
  <c r="AB506" i="1"/>
  <c r="AC506" i="1"/>
  <c r="Y505" i="1"/>
  <c r="Z505" i="1"/>
  <c r="AA505" i="1"/>
  <c r="AB505" i="1"/>
  <c r="AC505" i="1"/>
  <c r="Y504" i="1"/>
  <c r="Z504" i="1"/>
  <c r="AA504" i="1"/>
  <c r="AB504" i="1"/>
  <c r="AC504" i="1"/>
  <c r="Y503" i="1"/>
  <c r="Z503" i="1"/>
  <c r="AA503" i="1"/>
  <c r="AB503" i="1"/>
  <c r="AC503" i="1"/>
  <c r="Y502" i="1"/>
  <c r="Z502" i="1"/>
  <c r="AA502" i="1"/>
  <c r="AB502" i="1"/>
  <c r="AC502" i="1"/>
  <c r="Y501" i="1"/>
  <c r="Z501" i="1"/>
  <c r="AA501" i="1"/>
  <c r="AB501" i="1"/>
  <c r="AC501" i="1"/>
  <c r="Y500" i="1"/>
  <c r="Z500" i="1"/>
  <c r="AA500" i="1"/>
  <c r="AB500" i="1"/>
  <c r="AC500" i="1"/>
  <c r="Y499" i="1"/>
  <c r="Z499" i="1"/>
  <c r="AA499" i="1"/>
  <c r="AB499" i="1"/>
  <c r="AC499" i="1"/>
  <c r="Y498" i="1"/>
  <c r="Z498" i="1"/>
  <c r="AA498" i="1"/>
  <c r="AB498" i="1"/>
  <c r="AC498" i="1"/>
  <c r="Y497" i="1"/>
  <c r="Z497" i="1"/>
  <c r="AA497" i="1"/>
  <c r="AB497" i="1"/>
  <c r="AC497" i="1"/>
  <c r="Y496" i="1"/>
  <c r="Z496" i="1"/>
  <c r="AA496" i="1"/>
  <c r="AB496" i="1"/>
  <c r="AC496" i="1"/>
  <c r="Y495" i="1"/>
  <c r="Z495" i="1"/>
  <c r="AA495" i="1"/>
  <c r="AB495" i="1"/>
  <c r="AC495" i="1"/>
  <c r="Y494" i="1"/>
  <c r="Z494" i="1"/>
  <c r="AA494" i="1"/>
  <c r="AB494" i="1"/>
  <c r="AC494" i="1"/>
  <c r="Y493" i="1"/>
  <c r="Z493" i="1"/>
  <c r="AA493" i="1"/>
  <c r="AB493" i="1"/>
  <c r="AC493" i="1"/>
  <c r="Y492" i="1"/>
  <c r="Z492" i="1"/>
  <c r="AA492" i="1"/>
  <c r="AB492" i="1"/>
  <c r="AC492" i="1"/>
  <c r="Y491" i="1"/>
  <c r="Z491" i="1"/>
  <c r="AA491" i="1"/>
  <c r="AB491" i="1"/>
  <c r="AC491" i="1"/>
  <c r="Y490" i="1"/>
  <c r="Z490" i="1"/>
  <c r="AA490" i="1"/>
  <c r="AB490" i="1"/>
  <c r="AC490" i="1"/>
  <c r="Y489" i="1"/>
  <c r="Z489" i="1"/>
  <c r="AA489" i="1"/>
  <c r="AB489" i="1"/>
  <c r="AC489" i="1"/>
  <c r="Y488" i="1"/>
  <c r="Z488" i="1"/>
  <c r="AA488" i="1"/>
  <c r="AB488" i="1"/>
  <c r="AC488" i="1"/>
  <c r="Y487" i="1"/>
  <c r="Z487" i="1"/>
  <c r="AA487" i="1"/>
  <c r="AB487" i="1"/>
  <c r="AC487" i="1"/>
  <c r="Y486" i="1"/>
  <c r="Z486" i="1"/>
  <c r="AA486" i="1"/>
  <c r="AB486" i="1"/>
  <c r="AC486" i="1"/>
  <c r="Y485" i="1"/>
  <c r="Z485" i="1"/>
  <c r="AA485" i="1"/>
  <c r="AB485" i="1"/>
  <c r="AC485" i="1"/>
  <c r="Y484" i="1"/>
  <c r="Z484" i="1"/>
  <c r="AA484" i="1"/>
  <c r="AB484" i="1"/>
  <c r="AC484" i="1"/>
  <c r="Y483" i="1"/>
  <c r="Z483" i="1"/>
  <c r="AA483" i="1"/>
  <c r="AB483" i="1"/>
  <c r="AC483" i="1"/>
  <c r="Y482" i="1"/>
  <c r="Z482" i="1"/>
  <c r="AA482" i="1"/>
  <c r="AB482" i="1"/>
  <c r="AC482" i="1"/>
  <c r="Y481" i="1"/>
  <c r="Z481" i="1"/>
  <c r="AA481" i="1"/>
  <c r="AB481" i="1"/>
  <c r="AC481" i="1"/>
  <c r="Y480" i="1"/>
  <c r="Z480" i="1"/>
  <c r="AA480" i="1"/>
  <c r="AB480" i="1"/>
  <c r="AC480" i="1"/>
  <c r="Y479" i="1"/>
  <c r="Z479" i="1"/>
  <c r="AA479" i="1"/>
  <c r="AB479" i="1"/>
  <c r="AC479" i="1"/>
  <c r="Y478" i="1"/>
  <c r="Z478" i="1"/>
  <c r="AA478" i="1"/>
  <c r="AB478" i="1"/>
  <c r="AC478" i="1"/>
  <c r="Y477" i="1"/>
  <c r="Z477" i="1"/>
  <c r="AA477" i="1"/>
  <c r="AB477" i="1"/>
  <c r="AC477" i="1"/>
  <c r="Y476" i="1"/>
  <c r="Z476" i="1"/>
  <c r="AA476" i="1"/>
  <c r="AB476" i="1"/>
  <c r="AC476" i="1"/>
  <c r="Y475" i="1"/>
  <c r="Z475" i="1"/>
  <c r="AA475" i="1"/>
  <c r="AB475" i="1"/>
  <c r="AC475" i="1"/>
  <c r="Y474" i="1"/>
  <c r="Z474" i="1"/>
  <c r="AA474" i="1"/>
  <c r="AB474" i="1"/>
  <c r="AC474" i="1"/>
  <c r="Y473" i="1"/>
  <c r="Z473" i="1"/>
  <c r="AA473" i="1"/>
  <c r="AB473" i="1"/>
  <c r="AC473" i="1"/>
  <c r="Y472" i="1"/>
  <c r="Z472" i="1"/>
  <c r="AA472" i="1"/>
  <c r="AB472" i="1"/>
  <c r="AC472" i="1"/>
  <c r="Y471" i="1"/>
  <c r="Z471" i="1"/>
  <c r="AA471" i="1"/>
  <c r="AB471" i="1"/>
  <c r="AC471" i="1"/>
  <c r="Y470" i="1"/>
  <c r="Z470" i="1"/>
  <c r="AA470" i="1"/>
  <c r="AB470" i="1"/>
  <c r="AC470" i="1"/>
  <c r="Y469" i="1"/>
  <c r="Z469" i="1"/>
  <c r="AA469" i="1"/>
  <c r="AB469" i="1"/>
  <c r="AC469" i="1"/>
  <c r="Y468" i="1"/>
  <c r="Z468" i="1"/>
  <c r="AA468" i="1"/>
  <c r="AB468" i="1"/>
  <c r="AC468" i="1"/>
  <c r="Y467" i="1"/>
  <c r="Z467" i="1"/>
  <c r="AA467" i="1"/>
  <c r="AB467" i="1"/>
  <c r="AC467" i="1"/>
  <c r="Y466" i="1"/>
  <c r="Z466" i="1"/>
  <c r="AA466" i="1"/>
  <c r="AB466" i="1"/>
  <c r="AC466" i="1"/>
  <c r="Y465" i="1"/>
  <c r="Z465" i="1"/>
  <c r="AA465" i="1"/>
  <c r="AB465" i="1"/>
  <c r="AC465" i="1"/>
  <c r="Y464" i="1"/>
  <c r="Z464" i="1"/>
  <c r="AA464" i="1"/>
  <c r="AB464" i="1"/>
  <c r="AC464" i="1"/>
  <c r="Y463" i="1"/>
  <c r="Z463" i="1"/>
  <c r="AA463" i="1"/>
  <c r="AB463" i="1"/>
  <c r="AC463" i="1"/>
  <c r="Y462" i="1"/>
  <c r="Z462" i="1"/>
  <c r="AA462" i="1"/>
  <c r="AB462" i="1"/>
  <c r="AC462" i="1"/>
  <c r="Y461" i="1"/>
  <c r="Z461" i="1"/>
  <c r="AA461" i="1"/>
  <c r="AB461" i="1"/>
  <c r="AC461" i="1"/>
  <c r="Y460" i="1"/>
  <c r="Z460" i="1"/>
  <c r="AA460" i="1"/>
  <c r="AB460" i="1"/>
  <c r="AC460" i="1"/>
  <c r="Y459" i="1"/>
  <c r="Z459" i="1"/>
  <c r="AA459" i="1"/>
  <c r="AB459" i="1"/>
  <c r="AC459" i="1"/>
  <c r="Y458" i="1"/>
  <c r="Z458" i="1"/>
  <c r="AA458" i="1"/>
  <c r="AB458" i="1"/>
  <c r="AC458" i="1"/>
  <c r="Y457" i="1"/>
  <c r="Z457" i="1"/>
  <c r="AA457" i="1"/>
  <c r="AB457" i="1"/>
  <c r="AC457" i="1"/>
  <c r="Y456" i="1"/>
  <c r="Z456" i="1"/>
  <c r="AA456" i="1"/>
  <c r="AB456" i="1"/>
  <c r="AC456" i="1"/>
  <c r="Y455" i="1"/>
  <c r="Z455" i="1"/>
  <c r="AA455" i="1"/>
  <c r="AB455" i="1"/>
  <c r="AC455" i="1"/>
  <c r="Y454" i="1"/>
  <c r="Z454" i="1"/>
  <c r="AA454" i="1"/>
  <c r="AB454" i="1"/>
  <c r="AC454" i="1"/>
  <c r="Y453" i="1"/>
  <c r="Z453" i="1"/>
  <c r="AA453" i="1"/>
  <c r="AB453" i="1"/>
  <c r="AC453" i="1"/>
  <c r="Y452" i="1"/>
  <c r="Z452" i="1"/>
  <c r="AA452" i="1"/>
  <c r="AB452" i="1"/>
  <c r="AC452" i="1"/>
  <c r="Y451" i="1"/>
  <c r="Z451" i="1"/>
  <c r="AA451" i="1"/>
  <c r="AB451" i="1"/>
  <c r="AC451" i="1"/>
  <c r="Y450" i="1"/>
  <c r="Z450" i="1"/>
  <c r="AA450" i="1"/>
  <c r="AB450" i="1"/>
  <c r="AC450" i="1"/>
  <c r="Y449" i="1"/>
  <c r="Z449" i="1"/>
  <c r="AA449" i="1"/>
  <c r="AB449" i="1"/>
  <c r="AC449" i="1"/>
  <c r="Y448" i="1"/>
  <c r="Z448" i="1"/>
  <c r="AA448" i="1"/>
  <c r="AB448" i="1"/>
  <c r="AC448" i="1"/>
  <c r="Y447" i="1"/>
  <c r="Z447" i="1"/>
  <c r="AA447" i="1"/>
  <c r="AB447" i="1"/>
  <c r="AC447" i="1"/>
  <c r="Y446" i="1"/>
  <c r="Z446" i="1"/>
  <c r="AA446" i="1"/>
  <c r="AB446" i="1"/>
  <c r="AC446" i="1"/>
  <c r="Y445" i="1"/>
  <c r="Z445" i="1"/>
  <c r="AA445" i="1"/>
  <c r="AB445" i="1"/>
  <c r="AC445" i="1"/>
  <c r="Y444" i="1"/>
  <c r="Z444" i="1"/>
  <c r="AA444" i="1"/>
  <c r="AB444" i="1"/>
  <c r="AC444" i="1"/>
  <c r="Y443" i="1"/>
  <c r="Z443" i="1"/>
  <c r="AA443" i="1"/>
  <c r="AB443" i="1"/>
  <c r="AC443" i="1"/>
  <c r="Y442" i="1"/>
  <c r="Z442" i="1"/>
  <c r="AA442" i="1"/>
  <c r="AB442" i="1"/>
  <c r="AC442" i="1"/>
  <c r="Y441" i="1"/>
  <c r="Z441" i="1"/>
  <c r="AA441" i="1"/>
  <c r="AB441" i="1"/>
  <c r="AC441" i="1"/>
  <c r="Y440" i="1"/>
  <c r="Z440" i="1"/>
  <c r="AA440" i="1"/>
  <c r="AB440" i="1"/>
  <c r="AC440" i="1"/>
  <c r="Y439" i="1"/>
  <c r="Z439" i="1"/>
  <c r="AA439" i="1"/>
  <c r="AB439" i="1"/>
  <c r="AC439" i="1"/>
  <c r="Y438" i="1"/>
  <c r="Z438" i="1"/>
  <c r="AA438" i="1"/>
  <c r="AB438" i="1"/>
  <c r="AC438" i="1"/>
  <c r="Y437" i="1"/>
  <c r="Z437" i="1"/>
  <c r="AA437" i="1"/>
  <c r="AB437" i="1"/>
  <c r="AC437" i="1"/>
  <c r="Y436" i="1"/>
  <c r="Z436" i="1"/>
  <c r="AA436" i="1"/>
  <c r="AB436" i="1"/>
  <c r="AC436" i="1"/>
  <c r="Y435" i="1"/>
  <c r="Z435" i="1"/>
  <c r="AA435" i="1"/>
  <c r="AB435" i="1"/>
  <c r="AC435" i="1"/>
  <c r="Y434" i="1"/>
  <c r="Z434" i="1"/>
  <c r="AA434" i="1"/>
  <c r="AB434" i="1"/>
  <c r="AC434" i="1"/>
  <c r="Y433" i="1"/>
  <c r="Z433" i="1"/>
  <c r="AA433" i="1"/>
  <c r="AB433" i="1"/>
  <c r="AC433" i="1"/>
  <c r="Y432" i="1"/>
  <c r="Z432" i="1"/>
  <c r="AA432" i="1"/>
  <c r="AB432" i="1"/>
  <c r="AC432" i="1"/>
  <c r="Y431" i="1"/>
  <c r="Z431" i="1"/>
  <c r="AA431" i="1"/>
  <c r="AB431" i="1"/>
  <c r="AC431" i="1"/>
  <c r="Y430" i="1"/>
  <c r="Z430" i="1"/>
  <c r="AA430" i="1"/>
  <c r="AB430" i="1"/>
  <c r="AC430" i="1"/>
  <c r="Y429" i="1"/>
  <c r="Z429" i="1"/>
  <c r="AA429" i="1"/>
  <c r="AB429" i="1"/>
  <c r="AC429" i="1"/>
  <c r="Y428" i="1"/>
  <c r="Z428" i="1"/>
  <c r="AA428" i="1"/>
  <c r="AB428" i="1"/>
  <c r="AC428" i="1"/>
  <c r="Y427" i="1"/>
  <c r="Z427" i="1"/>
  <c r="AA427" i="1"/>
  <c r="AB427" i="1"/>
  <c r="AC427" i="1"/>
  <c r="Y426" i="1"/>
  <c r="Z426" i="1"/>
  <c r="AA426" i="1"/>
  <c r="AB426" i="1"/>
  <c r="AC426" i="1"/>
  <c r="Y425" i="1"/>
  <c r="Z425" i="1"/>
  <c r="AA425" i="1"/>
  <c r="AB425" i="1"/>
  <c r="AC425" i="1"/>
  <c r="Y424" i="1"/>
  <c r="Z424" i="1"/>
  <c r="AA424" i="1"/>
  <c r="AB424" i="1"/>
  <c r="AC424" i="1"/>
  <c r="Y423" i="1"/>
  <c r="Z423" i="1"/>
  <c r="AA423" i="1"/>
  <c r="AB423" i="1"/>
  <c r="AC423" i="1"/>
  <c r="Y422" i="1"/>
  <c r="Z422" i="1"/>
  <c r="AA422" i="1"/>
  <c r="AB422" i="1"/>
  <c r="AC422" i="1"/>
  <c r="Y421" i="1"/>
  <c r="Z421" i="1"/>
  <c r="AA421" i="1"/>
  <c r="AB421" i="1"/>
  <c r="AC421" i="1"/>
  <c r="Y420" i="1"/>
  <c r="Z420" i="1"/>
  <c r="AA420" i="1"/>
  <c r="AB420" i="1"/>
  <c r="AC420" i="1"/>
  <c r="Y419" i="1"/>
  <c r="Z419" i="1"/>
  <c r="AA419" i="1"/>
  <c r="AB419" i="1"/>
  <c r="AC419" i="1"/>
  <c r="Y418" i="1"/>
  <c r="Z418" i="1"/>
  <c r="AA418" i="1"/>
  <c r="AB418" i="1"/>
  <c r="AC418" i="1"/>
  <c r="Y417" i="1"/>
  <c r="Z417" i="1"/>
  <c r="AA417" i="1"/>
  <c r="AB417" i="1"/>
  <c r="AC417" i="1"/>
  <c r="Y416" i="1"/>
  <c r="Z416" i="1"/>
  <c r="AA416" i="1"/>
  <c r="AB416" i="1"/>
  <c r="AC416" i="1"/>
  <c r="Y415" i="1"/>
  <c r="Z415" i="1"/>
  <c r="AA415" i="1"/>
  <c r="AB415" i="1"/>
  <c r="AC415" i="1"/>
  <c r="Y414" i="1"/>
  <c r="Z414" i="1"/>
  <c r="AA414" i="1"/>
  <c r="AB414" i="1"/>
  <c r="AC414" i="1"/>
  <c r="Y413" i="1"/>
  <c r="Z413" i="1"/>
  <c r="AA413" i="1"/>
  <c r="AB413" i="1"/>
  <c r="AC413" i="1"/>
  <c r="Y412" i="1"/>
  <c r="Z412" i="1"/>
  <c r="AA412" i="1"/>
  <c r="AB412" i="1"/>
  <c r="AC412" i="1"/>
  <c r="Y411" i="1"/>
  <c r="Z411" i="1"/>
  <c r="AA411" i="1"/>
  <c r="AB411" i="1"/>
  <c r="AC411" i="1"/>
  <c r="Y410" i="1"/>
  <c r="Z410" i="1"/>
  <c r="AA410" i="1"/>
  <c r="AB410" i="1"/>
  <c r="AC410" i="1"/>
  <c r="Y409" i="1"/>
  <c r="Z409" i="1"/>
  <c r="AA409" i="1"/>
  <c r="AB409" i="1"/>
  <c r="AC409" i="1"/>
  <c r="Y408" i="1"/>
  <c r="Z408" i="1"/>
  <c r="AA408" i="1"/>
  <c r="AB408" i="1"/>
  <c r="AC408" i="1"/>
  <c r="Y407" i="1"/>
  <c r="Z407" i="1"/>
  <c r="AA407" i="1"/>
  <c r="AB407" i="1"/>
  <c r="AC407" i="1"/>
  <c r="Y406" i="1"/>
  <c r="Z406" i="1"/>
  <c r="AA406" i="1"/>
  <c r="AB406" i="1"/>
  <c r="AC406" i="1"/>
  <c r="Y405" i="1"/>
  <c r="Z405" i="1"/>
  <c r="AA405" i="1"/>
  <c r="AB405" i="1"/>
  <c r="AC405" i="1"/>
  <c r="Y404" i="1"/>
  <c r="Z404" i="1"/>
  <c r="AA404" i="1"/>
  <c r="AB404" i="1"/>
  <c r="AC404" i="1"/>
  <c r="Y403" i="1"/>
  <c r="Z403" i="1"/>
  <c r="AA403" i="1"/>
  <c r="AB403" i="1"/>
  <c r="AC403" i="1"/>
  <c r="Y402" i="1"/>
  <c r="Z402" i="1"/>
  <c r="AA402" i="1"/>
  <c r="AB402" i="1"/>
  <c r="AC402" i="1"/>
  <c r="Y401" i="1"/>
  <c r="Z401" i="1"/>
  <c r="AA401" i="1"/>
  <c r="AB401" i="1"/>
  <c r="AC401" i="1"/>
  <c r="Y400" i="1"/>
  <c r="Z400" i="1"/>
  <c r="AA400" i="1"/>
  <c r="AB400" i="1"/>
  <c r="AC400" i="1"/>
  <c r="Y399" i="1"/>
  <c r="Z399" i="1"/>
  <c r="AA399" i="1"/>
  <c r="AB399" i="1"/>
  <c r="AC399" i="1"/>
  <c r="Y398" i="1"/>
  <c r="Z398" i="1"/>
  <c r="AA398" i="1"/>
  <c r="AB398" i="1"/>
  <c r="AC398" i="1"/>
  <c r="Y397" i="1"/>
  <c r="Z397" i="1"/>
  <c r="AA397" i="1"/>
  <c r="AB397" i="1"/>
  <c r="AC397" i="1"/>
  <c r="Y396" i="1"/>
  <c r="Z396" i="1"/>
  <c r="AA396" i="1"/>
  <c r="AB396" i="1"/>
  <c r="AC396" i="1"/>
  <c r="Y395" i="1"/>
  <c r="Z395" i="1"/>
  <c r="AA395" i="1"/>
  <c r="AB395" i="1"/>
  <c r="AC395" i="1"/>
  <c r="Y394" i="1"/>
  <c r="Z394" i="1"/>
  <c r="AA394" i="1"/>
  <c r="AB394" i="1"/>
  <c r="AC394" i="1"/>
  <c r="Y393" i="1"/>
  <c r="Z393" i="1"/>
  <c r="AA393" i="1"/>
  <c r="AB393" i="1"/>
  <c r="AC393" i="1"/>
  <c r="Y392" i="1"/>
  <c r="Z392" i="1"/>
  <c r="AA392" i="1"/>
  <c r="AB392" i="1"/>
  <c r="AC392" i="1"/>
  <c r="Y391" i="1"/>
  <c r="Z391" i="1"/>
  <c r="AA391" i="1"/>
  <c r="AB391" i="1"/>
  <c r="AC391" i="1"/>
  <c r="Y390" i="1"/>
  <c r="Z390" i="1"/>
  <c r="AA390" i="1"/>
  <c r="AB390" i="1"/>
  <c r="AC390" i="1"/>
  <c r="Y389" i="1"/>
  <c r="Z389" i="1"/>
  <c r="AA389" i="1"/>
  <c r="AB389" i="1"/>
  <c r="AC389" i="1"/>
  <c r="Y388" i="1"/>
  <c r="Z388" i="1"/>
  <c r="AA388" i="1"/>
  <c r="AB388" i="1"/>
  <c r="AC388" i="1"/>
  <c r="Y387" i="1"/>
  <c r="Z387" i="1"/>
  <c r="AA387" i="1"/>
  <c r="AB387" i="1"/>
  <c r="AC387" i="1"/>
  <c r="Y386" i="1"/>
  <c r="Z386" i="1"/>
  <c r="AA386" i="1"/>
  <c r="AB386" i="1"/>
  <c r="AC386" i="1"/>
  <c r="Y385" i="1"/>
  <c r="Z385" i="1"/>
  <c r="AA385" i="1"/>
  <c r="AB385" i="1"/>
  <c r="AC385" i="1"/>
  <c r="Y384" i="1"/>
  <c r="Z384" i="1"/>
  <c r="AA384" i="1"/>
  <c r="AB384" i="1"/>
  <c r="AC384" i="1"/>
  <c r="Y383" i="1"/>
  <c r="Z383" i="1"/>
  <c r="AA383" i="1"/>
  <c r="AB383" i="1"/>
  <c r="AC383" i="1"/>
  <c r="Y382" i="1"/>
  <c r="Z382" i="1"/>
  <c r="AA382" i="1"/>
  <c r="AB382" i="1"/>
  <c r="AC382" i="1"/>
  <c r="Y381" i="1"/>
  <c r="Z381" i="1"/>
  <c r="AA381" i="1"/>
  <c r="AB381" i="1"/>
  <c r="AC381" i="1"/>
  <c r="Y380" i="1"/>
  <c r="Z380" i="1"/>
  <c r="AA380" i="1"/>
  <c r="AB380" i="1"/>
  <c r="AC380" i="1"/>
  <c r="Y379" i="1"/>
  <c r="Z379" i="1"/>
  <c r="AA379" i="1"/>
  <c r="AB379" i="1"/>
  <c r="AC379" i="1"/>
  <c r="Y378" i="1"/>
  <c r="Z378" i="1"/>
  <c r="AA378" i="1"/>
  <c r="AB378" i="1"/>
  <c r="AC378" i="1"/>
  <c r="Y377" i="1"/>
  <c r="Z377" i="1"/>
  <c r="AA377" i="1"/>
  <c r="AB377" i="1"/>
  <c r="AC377" i="1"/>
  <c r="Y376" i="1"/>
  <c r="Z376" i="1"/>
  <c r="AA376" i="1"/>
  <c r="AB376" i="1"/>
  <c r="AC376" i="1"/>
  <c r="Y375" i="1"/>
  <c r="Z375" i="1"/>
  <c r="AA375" i="1"/>
  <c r="AB375" i="1"/>
  <c r="AC375" i="1"/>
  <c r="Y374" i="1"/>
  <c r="Z374" i="1"/>
  <c r="AA374" i="1"/>
  <c r="AB374" i="1"/>
  <c r="AC374" i="1"/>
  <c r="Y373" i="1"/>
  <c r="Z373" i="1"/>
  <c r="AA373" i="1"/>
  <c r="AB373" i="1"/>
  <c r="AC373" i="1"/>
  <c r="Y372" i="1"/>
  <c r="Z372" i="1"/>
  <c r="AA372" i="1"/>
  <c r="AB372" i="1"/>
  <c r="AC372" i="1"/>
  <c r="Y371" i="1"/>
  <c r="Z371" i="1"/>
  <c r="AA371" i="1"/>
  <c r="AB371" i="1"/>
  <c r="AC371" i="1"/>
  <c r="Y370" i="1"/>
  <c r="Z370" i="1"/>
  <c r="AA370" i="1"/>
  <c r="AB370" i="1"/>
  <c r="AC370" i="1"/>
  <c r="Y369" i="1"/>
  <c r="Z369" i="1"/>
  <c r="AA369" i="1"/>
  <c r="AB369" i="1"/>
  <c r="AC369" i="1"/>
  <c r="Y368" i="1"/>
  <c r="Z368" i="1"/>
  <c r="AA368" i="1"/>
  <c r="AB368" i="1"/>
  <c r="AC368" i="1"/>
  <c r="Y367" i="1"/>
  <c r="Z367" i="1"/>
  <c r="AA367" i="1"/>
  <c r="AB367" i="1"/>
  <c r="AC367" i="1"/>
  <c r="Y366" i="1"/>
  <c r="Z366" i="1"/>
  <c r="AA366" i="1"/>
  <c r="AB366" i="1"/>
  <c r="AC366" i="1"/>
  <c r="Y365" i="1"/>
  <c r="Z365" i="1"/>
  <c r="AA365" i="1"/>
  <c r="AB365" i="1"/>
  <c r="AC365" i="1"/>
  <c r="Y364" i="1"/>
  <c r="Z364" i="1"/>
  <c r="AA364" i="1"/>
  <c r="AB364" i="1"/>
  <c r="AC364" i="1"/>
  <c r="Y363" i="1"/>
  <c r="Z363" i="1"/>
  <c r="AA363" i="1"/>
  <c r="AB363" i="1"/>
  <c r="AC363" i="1"/>
  <c r="Y362" i="1"/>
  <c r="Z362" i="1"/>
  <c r="AA362" i="1"/>
  <c r="AB362" i="1"/>
  <c r="AC362" i="1"/>
  <c r="Y361" i="1"/>
  <c r="Z361" i="1"/>
  <c r="AA361" i="1"/>
  <c r="AB361" i="1"/>
  <c r="AC361" i="1"/>
  <c r="Y360" i="1"/>
  <c r="Z360" i="1"/>
  <c r="AA360" i="1"/>
  <c r="AB360" i="1"/>
  <c r="AC360" i="1"/>
  <c r="Y359" i="1"/>
  <c r="Z359" i="1"/>
  <c r="AA359" i="1"/>
  <c r="AB359" i="1"/>
  <c r="AC359" i="1"/>
  <c r="Y358" i="1"/>
  <c r="Z358" i="1"/>
  <c r="AA358" i="1"/>
  <c r="AB358" i="1"/>
  <c r="AC358" i="1"/>
  <c r="Y357" i="1"/>
  <c r="Z357" i="1"/>
  <c r="AA357" i="1"/>
  <c r="AB357" i="1"/>
  <c r="AC357" i="1"/>
  <c r="Y356" i="1"/>
  <c r="Z356" i="1"/>
  <c r="AA356" i="1"/>
  <c r="AB356" i="1"/>
  <c r="AC356" i="1"/>
  <c r="Y355" i="1"/>
  <c r="Z355" i="1"/>
  <c r="AA355" i="1"/>
  <c r="AB355" i="1"/>
  <c r="AC355" i="1"/>
  <c r="Y354" i="1"/>
  <c r="Z354" i="1"/>
  <c r="AA354" i="1"/>
  <c r="AB354" i="1"/>
  <c r="AC354" i="1"/>
  <c r="Y353" i="1"/>
  <c r="Z353" i="1"/>
  <c r="AA353" i="1"/>
  <c r="AB353" i="1"/>
  <c r="AC353" i="1"/>
  <c r="Y352" i="1"/>
  <c r="Z352" i="1"/>
  <c r="AA352" i="1"/>
  <c r="AB352" i="1"/>
  <c r="AC352" i="1"/>
  <c r="Y351" i="1"/>
  <c r="Z351" i="1"/>
  <c r="AA351" i="1"/>
  <c r="AB351" i="1"/>
  <c r="AC351" i="1"/>
  <c r="Y350" i="1"/>
  <c r="Z350" i="1"/>
  <c r="AA350" i="1"/>
  <c r="AB350" i="1"/>
  <c r="AC350" i="1"/>
  <c r="Y349" i="1"/>
  <c r="Z349" i="1"/>
  <c r="AA349" i="1"/>
  <c r="AB349" i="1"/>
  <c r="AC349" i="1"/>
  <c r="Y348" i="1"/>
  <c r="Z348" i="1"/>
  <c r="AA348" i="1"/>
  <c r="AB348" i="1"/>
  <c r="AC348" i="1"/>
  <c r="Y347" i="1"/>
  <c r="Z347" i="1"/>
  <c r="AA347" i="1"/>
  <c r="AB347" i="1"/>
  <c r="AC347" i="1"/>
  <c r="Y346" i="1"/>
  <c r="Z346" i="1"/>
  <c r="AA346" i="1"/>
  <c r="AB346" i="1"/>
  <c r="AC346" i="1"/>
  <c r="Y345" i="1"/>
  <c r="Z345" i="1"/>
  <c r="AA345" i="1"/>
  <c r="AB345" i="1"/>
  <c r="AC345" i="1"/>
  <c r="Y344" i="1"/>
  <c r="Z344" i="1"/>
  <c r="AA344" i="1"/>
  <c r="AB344" i="1"/>
  <c r="AC344" i="1"/>
  <c r="Y343" i="1"/>
  <c r="Z343" i="1"/>
  <c r="AA343" i="1"/>
  <c r="AB343" i="1"/>
  <c r="AC343" i="1"/>
  <c r="Y342" i="1"/>
  <c r="Z342" i="1"/>
  <c r="AA342" i="1"/>
  <c r="AB342" i="1"/>
  <c r="AC342" i="1"/>
  <c r="Y341" i="1"/>
  <c r="Z341" i="1"/>
  <c r="AA341" i="1"/>
  <c r="AB341" i="1"/>
  <c r="AC341" i="1"/>
  <c r="Y340" i="1"/>
  <c r="Z340" i="1"/>
  <c r="AA340" i="1"/>
  <c r="AB340" i="1"/>
  <c r="AC340" i="1"/>
  <c r="Y339" i="1"/>
  <c r="Z339" i="1"/>
  <c r="AA339" i="1"/>
  <c r="AB339" i="1"/>
  <c r="AC339" i="1"/>
  <c r="Y338" i="1"/>
  <c r="Z338" i="1"/>
  <c r="AA338" i="1"/>
  <c r="AB338" i="1"/>
  <c r="AC338" i="1"/>
  <c r="Y337" i="1"/>
  <c r="Z337" i="1"/>
  <c r="AA337" i="1"/>
  <c r="AB337" i="1"/>
  <c r="AC337" i="1"/>
  <c r="Y336" i="1"/>
  <c r="Z336" i="1"/>
  <c r="AA336" i="1"/>
  <c r="AB336" i="1"/>
  <c r="AC336" i="1"/>
  <c r="Y335" i="1"/>
  <c r="Z335" i="1"/>
  <c r="AA335" i="1"/>
  <c r="AB335" i="1"/>
  <c r="AC335" i="1"/>
  <c r="Y334" i="1"/>
  <c r="Z334" i="1"/>
  <c r="AA334" i="1"/>
  <c r="AB334" i="1"/>
  <c r="AC334" i="1"/>
  <c r="Y333" i="1"/>
  <c r="Z333" i="1"/>
  <c r="AA333" i="1"/>
  <c r="AB333" i="1"/>
  <c r="AC333" i="1"/>
  <c r="Y332" i="1"/>
  <c r="Z332" i="1"/>
  <c r="AA332" i="1"/>
  <c r="AB332" i="1"/>
  <c r="AC332" i="1"/>
  <c r="Y331" i="1"/>
  <c r="Z331" i="1"/>
  <c r="AA331" i="1"/>
  <c r="AB331" i="1"/>
  <c r="AC331" i="1"/>
  <c r="Y330" i="1"/>
  <c r="Z330" i="1"/>
  <c r="AA330" i="1"/>
  <c r="AB330" i="1"/>
  <c r="AC330" i="1"/>
  <c r="Y329" i="1"/>
  <c r="Z329" i="1"/>
  <c r="AA329" i="1"/>
  <c r="AB329" i="1"/>
  <c r="AC329" i="1"/>
  <c r="Y328" i="1"/>
  <c r="Z328" i="1"/>
  <c r="AA328" i="1"/>
  <c r="AB328" i="1"/>
  <c r="AC328" i="1"/>
  <c r="Y327" i="1"/>
  <c r="Z327" i="1"/>
  <c r="AA327" i="1"/>
  <c r="AB327" i="1"/>
  <c r="AC327" i="1"/>
  <c r="Y326" i="1"/>
  <c r="Z326" i="1"/>
  <c r="AA326" i="1"/>
  <c r="AB326" i="1"/>
  <c r="AC326" i="1"/>
  <c r="Y325" i="1"/>
  <c r="Z325" i="1"/>
  <c r="AA325" i="1"/>
  <c r="AB325" i="1"/>
  <c r="AC325" i="1"/>
  <c r="Y324" i="1"/>
  <c r="Z324" i="1"/>
  <c r="AA324" i="1"/>
  <c r="AB324" i="1"/>
  <c r="AC324" i="1"/>
  <c r="Y323" i="1"/>
  <c r="Z323" i="1"/>
  <c r="AA323" i="1"/>
  <c r="AB323" i="1"/>
  <c r="AC323" i="1"/>
  <c r="Y322" i="1"/>
  <c r="Z322" i="1"/>
  <c r="AA322" i="1"/>
  <c r="AB322" i="1"/>
  <c r="AC322" i="1"/>
  <c r="Y321" i="1"/>
  <c r="Z321" i="1"/>
  <c r="AA321" i="1"/>
  <c r="AB321" i="1"/>
  <c r="AC321" i="1"/>
  <c r="Y320" i="1"/>
  <c r="Z320" i="1"/>
  <c r="AA320" i="1"/>
  <c r="AB320" i="1"/>
  <c r="AC320" i="1"/>
  <c r="Y319" i="1"/>
  <c r="Z319" i="1"/>
  <c r="AA319" i="1"/>
  <c r="AB319" i="1"/>
  <c r="AC319" i="1"/>
  <c r="Y318" i="1"/>
  <c r="Z318" i="1"/>
  <c r="AA318" i="1"/>
  <c r="AB318" i="1"/>
  <c r="AC318" i="1"/>
  <c r="Y317" i="1"/>
  <c r="Z317" i="1"/>
  <c r="AA317" i="1"/>
  <c r="AB317" i="1"/>
  <c r="AC317" i="1"/>
  <c r="Y316" i="1"/>
  <c r="Z316" i="1"/>
  <c r="AA316" i="1"/>
  <c r="AB316" i="1"/>
  <c r="AC316" i="1"/>
  <c r="Y315" i="1"/>
  <c r="Z315" i="1"/>
  <c r="AA315" i="1"/>
  <c r="AB315" i="1"/>
  <c r="AC315" i="1"/>
  <c r="Y314" i="1"/>
  <c r="Z314" i="1"/>
  <c r="AA314" i="1"/>
  <c r="AB314" i="1"/>
  <c r="AC314" i="1"/>
  <c r="Y313" i="1"/>
  <c r="Z313" i="1"/>
  <c r="AA313" i="1"/>
  <c r="AB313" i="1"/>
  <c r="AC313" i="1"/>
  <c r="Y312" i="1"/>
  <c r="Z312" i="1"/>
  <c r="AA312" i="1"/>
  <c r="AB312" i="1"/>
  <c r="AC312" i="1"/>
  <c r="Y311" i="1"/>
  <c r="Z311" i="1"/>
  <c r="AA311" i="1"/>
  <c r="AB311" i="1"/>
  <c r="AC311" i="1"/>
  <c r="Y310" i="1"/>
  <c r="Z310" i="1"/>
  <c r="AA310" i="1"/>
  <c r="AB310" i="1"/>
  <c r="AC310" i="1"/>
  <c r="Y309" i="1"/>
  <c r="Z309" i="1"/>
  <c r="AA309" i="1"/>
  <c r="AB309" i="1"/>
  <c r="AC309" i="1"/>
  <c r="Y308" i="1"/>
  <c r="Z308" i="1"/>
  <c r="AA308" i="1"/>
  <c r="AB308" i="1"/>
  <c r="AC308" i="1"/>
  <c r="Y307" i="1"/>
  <c r="Z307" i="1"/>
  <c r="AA307" i="1"/>
  <c r="AB307" i="1"/>
  <c r="AC307" i="1"/>
  <c r="Y306" i="1"/>
  <c r="Z306" i="1"/>
  <c r="AA306" i="1"/>
  <c r="AB306" i="1"/>
  <c r="AC306" i="1"/>
  <c r="Y305" i="1"/>
  <c r="Z305" i="1"/>
  <c r="AA305" i="1"/>
  <c r="AB305" i="1"/>
  <c r="AC305" i="1"/>
  <c r="Y304" i="1"/>
  <c r="Z304" i="1"/>
  <c r="AA304" i="1"/>
  <c r="AB304" i="1"/>
  <c r="AC304" i="1"/>
  <c r="Y303" i="1"/>
  <c r="Z303" i="1"/>
  <c r="AA303" i="1"/>
  <c r="AB303" i="1"/>
  <c r="AC303" i="1"/>
  <c r="Y302" i="1"/>
  <c r="Z302" i="1"/>
  <c r="AA302" i="1"/>
  <c r="AB302" i="1"/>
  <c r="AC302" i="1"/>
  <c r="Y301" i="1"/>
  <c r="Z301" i="1"/>
  <c r="AA301" i="1"/>
  <c r="AB301" i="1"/>
  <c r="AC301" i="1"/>
  <c r="Y300" i="1"/>
  <c r="Z300" i="1"/>
  <c r="AA300" i="1"/>
  <c r="AB300" i="1"/>
  <c r="AC300" i="1"/>
  <c r="Y299" i="1"/>
  <c r="Z299" i="1"/>
  <c r="AA299" i="1"/>
  <c r="AB299" i="1"/>
  <c r="AC299" i="1"/>
  <c r="Y298" i="1"/>
  <c r="Z298" i="1"/>
  <c r="AA298" i="1"/>
  <c r="AB298" i="1"/>
  <c r="AC298" i="1"/>
  <c r="Y297" i="1"/>
  <c r="Z297" i="1"/>
  <c r="AA297" i="1"/>
  <c r="AB297" i="1"/>
  <c r="AC297" i="1"/>
  <c r="Y296" i="1"/>
  <c r="Z296" i="1"/>
  <c r="AA296" i="1"/>
  <c r="AB296" i="1"/>
  <c r="AC296" i="1"/>
  <c r="Y295" i="1"/>
  <c r="Z295" i="1"/>
  <c r="AA295" i="1"/>
  <c r="AB295" i="1"/>
  <c r="AC295" i="1"/>
  <c r="Y294" i="1"/>
  <c r="Z294" i="1"/>
  <c r="AA294" i="1"/>
  <c r="AB294" i="1"/>
  <c r="AC294" i="1"/>
  <c r="Y293" i="1"/>
  <c r="Z293" i="1"/>
  <c r="AA293" i="1"/>
  <c r="AB293" i="1"/>
  <c r="AC293" i="1"/>
  <c r="Y292" i="1"/>
  <c r="Z292" i="1"/>
  <c r="AA292" i="1"/>
  <c r="AB292" i="1"/>
  <c r="AC292" i="1"/>
  <c r="Y291" i="1"/>
  <c r="Z291" i="1"/>
  <c r="AA291" i="1"/>
  <c r="AB291" i="1"/>
  <c r="AC291" i="1"/>
  <c r="Y290" i="1"/>
  <c r="Z290" i="1"/>
  <c r="AA290" i="1"/>
  <c r="AB290" i="1"/>
  <c r="AC290" i="1"/>
  <c r="Y289" i="1"/>
  <c r="Z289" i="1"/>
  <c r="AA289" i="1"/>
  <c r="AB289" i="1"/>
  <c r="AC289" i="1"/>
  <c r="Y288" i="1"/>
  <c r="Z288" i="1"/>
  <c r="AA288" i="1"/>
  <c r="AB288" i="1"/>
  <c r="AC288" i="1"/>
  <c r="Y287" i="1"/>
  <c r="Z287" i="1"/>
  <c r="AA287" i="1"/>
  <c r="AB287" i="1"/>
  <c r="AC287" i="1"/>
  <c r="Y286" i="1"/>
  <c r="Z286" i="1"/>
  <c r="AA286" i="1"/>
  <c r="AB286" i="1"/>
  <c r="AC286" i="1"/>
  <c r="Y285" i="1"/>
  <c r="Z285" i="1"/>
  <c r="AA285" i="1"/>
  <c r="AB285" i="1"/>
  <c r="AC285" i="1"/>
  <c r="Y284" i="1"/>
  <c r="Z284" i="1"/>
  <c r="AA284" i="1"/>
  <c r="AB284" i="1"/>
  <c r="AC284" i="1"/>
  <c r="Y283" i="1"/>
  <c r="Z283" i="1"/>
  <c r="AA283" i="1"/>
  <c r="AB283" i="1"/>
  <c r="AC283" i="1"/>
  <c r="Y282" i="1"/>
  <c r="Z282" i="1"/>
  <c r="AA282" i="1"/>
  <c r="AB282" i="1"/>
  <c r="AC282" i="1"/>
  <c r="Y281" i="1"/>
  <c r="Z281" i="1"/>
  <c r="AA281" i="1"/>
  <c r="AB281" i="1"/>
  <c r="AC281" i="1"/>
  <c r="Y280" i="1"/>
  <c r="Z280" i="1"/>
  <c r="AA280" i="1"/>
  <c r="AB280" i="1"/>
  <c r="AC280" i="1"/>
  <c r="Y279" i="1"/>
  <c r="Z279" i="1"/>
  <c r="AA279" i="1"/>
  <c r="AB279" i="1"/>
  <c r="AC279" i="1"/>
  <c r="Y278" i="1"/>
  <c r="Z278" i="1"/>
  <c r="AA278" i="1"/>
  <c r="AB278" i="1"/>
  <c r="AC278" i="1"/>
  <c r="Y277" i="1"/>
  <c r="Z277" i="1"/>
  <c r="AA277" i="1"/>
  <c r="AB277" i="1"/>
  <c r="AC277" i="1"/>
  <c r="Y276" i="1"/>
  <c r="Z276" i="1"/>
  <c r="AA276" i="1"/>
  <c r="AB276" i="1"/>
  <c r="AC276" i="1"/>
  <c r="Y275" i="1"/>
  <c r="Z275" i="1"/>
  <c r="AA275" i="1"/>
  <c r="AB275" i="1"/>
  <c r="AC275" i="1"/>
  <c r="Y274" i="1"/>
  <c r="Z274" i="1"/>
  <c r="AA274" i="1"/>
  <c r="AB274" i="1"/>
  <c r="AC274" i="1"/>
  <c r="Y273" i="1"/>
  <c r="Z273" i="1"/>
  <c r="AA273" i="1"/>
  <c r="AB273" i="1"/>
  <c r="AC273" i="1"/>
  <c r="Y272" i="1"/>
  <c r="Z272" i="1"/>
  <c r="AA272" i="1"/>
  <c r="AB272" i="1"/>
  <c r="AC272" i="1"/>
  <c r="Y271" i="1"/>
  <c r="Z271" i="1"/>
  <c r="AA271" i="1"/>
  <c r="AB271" i="1"/>
  <c r="AC271" i="1"/>
  <c r="Y270" i="1"/>
  <c r="Z270" i="1"/>
  <c r="AA270" i="1"/>
  <c r="AB270" i="1"/>
  <c r="AC270" i="1"/>
  <c r="Y269" i="1"/>
  <c r="Z269" i="1"/>
  <c r="AA269" i="1"/>
  <c r="AB269" i="1"/>
  <c r="AC269" i="1"/>
  <c r="Y268" i="1"/>
  <c r="Z268" i="1"/>
  <c r="AA268" i="1"/>
  <c r="AB268" i="1"/>
  <c r="AC268" i="1"/>
  <c r="Y267" i="1"/>
  <c r="Z267" i="1"/>
  <c r="AA267" i="1"/>
  <c r="AB267" i="1"/>
  <c r="AC267" i="1"/>
  <c r="Y266" i="1"/>
  <c r="Z266" i="1"/>
  <c r="AA266" i="1"/>
  <c r="AB266" i="1"/>
  <c r="AC266" i="1"/>
  <c r="Y265" i="1"/>
  <c r="Z265" i="1"/>
  <c r="AA265" i="1"/>
  <c r="AB265" i="1"/>
  <c r="AC265" i="1"/>
  <c r="Y264" i="1"/>
  <c r="Z264" i="1"/>
  <c r="AA264" i="1"/>
  <c r="AB264" i="1"/>
  <c r="AC264" i="1"/>
  <c r="Y263" i="1"/>
  <c r="Z263" i="1"/>
  <c r="AA263" i="1"/>
  <c r="AB263" i="1"/>
  <c r="AC263" i="1"/>
  <c r="Y262" i="1"/>
  <c r="Z262" i="1"/>
  <c r="AA262" i="1"/>
  <c r="AB262" i="1"/>
  <c r="AC262" i="1"/>
  <c r="Y261" i="1"/>
  <c r="Z261" i="1"/>
  <c r="AA261" i="1"/>
  <c r="AB261" i="1"/>
  <c r="AC261" i="1"/>
  <c r="Y260" i="1"/>
  <c r="Z260" i="1"/>
  <c r="AA260" i="1"/>
  <c r="AB260" i="1"/>
  <c r="AC260" i="1"/>
  <c r="Y259" i="1"/>
  <c r="Z259" i="1"/>
  <c r="AA259" i="1"/>
  <c r="AB259" i="1"/>
  <c r="AC259" i="1"/>
  <c r="Y258" i="1"/>
  <c r="Z258" i="1"/>
  <c r="AA258" i="1"/>
  <c r="AB258" i="1"/>
  <c r="AC258" i="1"/>
  <c r="Y257" i="1"/>
  <c r="Z257" i="1"/>
  <c r="AA257" i="1"/>
  <c r="AB257" i="1"/>
  <c r="AC257" i="1"/>
  <c r="Y256" i="1"/>
  <c r="Z256" i="1"/>
  <c r="AA256" i="1"/>
  <c r="AB256" i="1"/>
  <c r="AC256" i="1"/>
  <c r="Y255" i="1"/>
  <c r="Z255" i="1"/>
  <c r="AA255" i="1"/>
  <c r="AB255" i="1"/>
  <c r="AC255" i="1"/>
  <c r="Y254" i="1"/>
  <c r="Z254" i="1"/>
  <c r="AA254" i="1"/>
  <c r="AB254" i="1"/>
  <c r="AC254" i="1"/>
  <c r="Y253" i="1"/>
  <c r="Z253" i="1"/>
  <c r="AA253" i="1"/>
  <c r="AB253" i="1"/>
  <c r="AC253" i="1"/>
  <c r="Y252" i="1"/>
  <c r="Z252" i="1"/>
  <c r="AA252" i="1"/>
  <c r="AB252" i="1"/>
  <c r="AC252" i="1"/>
  <c r="Y251" i="1"/>
  <c r="Z251" i="1"/>
  <c r="AA251" i="1"/>
  <c r="AB251" i="1"/>
  <c r="AC251" i="1"/>
  <c r="Y250" i="1"/>
  <c r="Z250" i="1"/>
  <c r="AA250" i="1"/>
  <c r="AB250" i="1"/>
  <c r="AC250" i="1"/>
  <c r="Y249" i="1"/>
  <c r="Z249" i="1"/>
  <c r="AA249" i="1"/>
  <c r="AB249" i="1"/>
  <c r="AC249" i="1"/>
  <c r="Y248" i="1"/>
  <c r="Z248" i="1"/>
  <c r="AA248" i="1"/>
  <c r="AB248" i="1"/>
  <c r="AC248" i="1"/>
  <c r="Y247" i="1"/>
  <c r="Z247" i="1"/>
  <c r="AA247" i="1"/>
  <c r="AB247" i="1"/>
  <c r="AC247" i="1"/>
  <c r="Y246" i="1"/>
  <c r="Z246" i="1"/>
  <c r="AA246" i="1"/>
  <c r="AB246" i="1"/>
  <c r="AC246" i="1"/>
  <c r="Y245" i="1"/>
  <c r="Z245" i="1"/>
  <c r="AA245" i="1"/>
  <c r="AB245" i="1"/>
  <c r="AC245" i="1"/>
  <c r="Y244" i="1"/>
  <c r="Z244" i="1"/>
  <c r="AA244" i="1"/>
  <c r="AB244" i="1"/>
  <c r="AC244" i="1"/>
  <c r="Y243" i="1"/>
  <c r="Z243" i="1"/>
  <c r="AA243" i="1"/>
  <c r="AB243" i="1"/>
  <c r="AC243" i="1"/>
  <c r="Y242" i="1"/>
  <c r="Z242" i="1"/>
  <c r="AA242" i="1"/>
  <c r="AB242" i="1"/>
  <c r="AC242" i="1"/>
  <c r="Y241" i="1"/>
  <c r="Z241" i="1"/>
  <c r="AA241" i="1"/>
  <c r="AB241" i="1"/>
  <c r="AC241" i="1"/>
  <c r="Y240" i="1"/>
  <c r="Z240" i="1"/>
  <c r="AA240" i="1"/>
  <c r="AB240" i="1"/>
  <c r="AC240" i="1"/>
  <c r="Y239" i="1"/>
  <c r="Z239" i="1"/>
  <c r="AA239" i="1"/>
  <c r="AB239" i="1"/>
  <c r="AC239" i="1"/>
  <c r="Y238" i="1"/>
  <c r="Z238" i="1"/>
  <c r="AA238" i="1"/>
  <c r="AB238" i="1"/>
  <c r="AC238" i="1"/>
  <c r="Y237" i="1"/>
  <c r="Z237" i="1"/>
  <c r="AA237" i="1"/>
  <c r="AB237" i="1"/>
  <c r="AC237" i="1"/>
  <c r="Y236" i="1"/>
  <c r="Z236" i="1"/>
  <c r="AA236" i="1"/>
  <c r="AB236" i="1"/>
  <c r="AC236" i="1"/>
  <c r="Y235" i="1"/>
  <c r="Z235" i="1"/>
  <c r="AA235" i="1"/>
  <c r="AB235" i="1"/>
  <c r="AC235" i="1"/>
  <c r="Y234" i="1"/>
  <c r="Z234" i="1"/>
  <c r="AA234" i="1"/>
  <c r="AB234" i="1"/>
  <c r="AC234" i="1"/>
  <c r="Y233" i="1"/>
  <c r="Z233" i="1"/>
  <c r="AA233" i="1"/>
  <c r="AB233" i="1"/>
  <c r="AC233" i="1"/>
  <c r="Y232" i="1"/>
  <c r="Z232" i="1"/>
  <c r="AA232" i="1"/>
  <c r="AB232" i="1"/>
  <c r="AC232" i="1"/>
  <c r="Y231" i="1"/>
  <c r="Z231" i="1"/>
  <c r="AA231" i="1"/>
  <c r="AB231" i="1"/>
  <c r="AC231" i="1"/>
  <c r="Y230" i="1"/>
  <c r="Z230" i="1"/>
  <c r="AA230" i="1"/>
  <c r="AB230" i="1"/>
  <c r="AC230" i="1"/>
  <c r="Y229" i="1"/>
  <c r="Z229" i="1"/>
  <c r="AA229" i="1"/>
  <c r="AB229" i="1"/>
  <c r="AC229" i="1"/>
  <c r="Y228" i="1"/>
  <c r="Z228" i="1"/>
  <c r="AA228" i="1"/>
  <c r="AB228" i="1"/>
  <c r="AC228" i="1"/>
  <c r="Y227" i="1"/>
  <c r="Z227" i="1"/>
  <c r="AA227" i="1"/>
  <c r="AB227" i="1"/>
  <c r="AC227" i="1"/>
  <c r="Y226" i="1"/>
  <c r="Z226" i="1"/>
  <c r="AA226" i="1"/>
  <c r="AB226" i="1"/>
  <c r="AC226" i="1"/>
  <c r="Y225" i="1"/>
  <c r="Z225" i="1"/>
  <c r="AA225" i="1"/>
  <c r="AB225" i="1"/>
  <c r="AC225" i="1"/>
  <c r="Y224" i="1"/>
  <c r="Z224" i="1"/>
  <c r="AA224" i="1"/>
  <c r="AB224" i="1"/>
  <c r="AC224" i="1"/>
  <c r="Y223" i="1"/>
  <c r="Z223" i="1"/>
  <c r="AA223" i="1"/>
  <c r="AB223" i="1"/>
  <c r="AC223" i="1"/>
  <c r="Y222" i="1"/>
  <c r="Z222" i="1"/>
  <c r="AA222" i="1"/>
  <c r="AB222" i="1"/>
  <c r="AC222" i="1"/>
  <c r="Y221" i="1"/>
  <c r="Z221" i="1"/>
  <c r="AA221" i="1"/>
  <c r="AB221" i="1"/>
  <c r="AC221" i="1"/>
  <c r="Y220" i="1"/>
  <c r="Z220" i="1"/>
  <c r="AA220" i="1"/>
  <c r="AB220" i="1"/>
  <c r="AC220" i="1"/>
  <c r="Y219" i="1"/>
  <c r="Z219" i="1"/>
  <c r="AA219" i="1"/>
  <c r="AB219" i="1"/>
  <c r="AC219" i="1"/>
  <c r="Y218" i="1"/>
  <c r="Z218" i="1"/>
  <c r="AA218" i="1"/>
  <c r="AB218" i="1"/>
  <c r="AC218" i="1"/>
  <c r="Y217" i="1"/>
  <c r="Z217" i="1"/>
  <c r="AA217" i="1"/>
  <c r="AB217" i="1"/>
  <c r="AC217" i="1"/>
  <c r="Y216" i="1"/>
  <c r="Z216" i="1"/>
  <c r="AA216" i="1"/>
  <c r="AB216" i="1"/>
  <c r="AC216" i="1"/>
  <c r="Y215" i="1"/>
  <c r="Z215" i="1"/>
  <c r="AA215" i="1"/>
  <c r="AB215" i="1"/>
  <c r="AC215" i="1"/>
  <c r="Y214" i="1"/>
  <c r="Z214" i="1"/>
  <c r="AA214" i="1"/>
  <c r="AB214" i="1"/>
  <c r="AC214" i="1"/>
  <c r="Y213" i="1"/>
  <c r="Z213" i="1"/>
  <c r="AA213" i="1"/>
  <c r="AB213" i="1"/>
  <c r="AC213" i="1"/>
  <c r="Y212" i="1"/>
  <c r="Z212" i="1"/>
  <c r="AA212" i="1"/>
  <c r="AB212" i="1"/>
  <c r="AC212" i="1"/>
  <c r="Y211" i="1"/>
  <c r="Z211" i="1"/>
  <c r="AA211" i="1"/>
  <c r="AB211" i="1"/>
  <c r="AC211" i="1"/>
  <c r="Y210" i="1"/>
  <c r="Z210" i="1"/>
  <c r="AA210" i="1"/>
  <c r="AB210" i="1"/>
  <c r="AC210" i="1"/>
  <c r="Y209" i="1"/>
  <c r="Z209" i="1"/>
  <c r="AA209" i="1"/>
  <c r="AB209" i="1"/>
  <c r="AC209" i="1"/>
  <c r="Y208" i="1"/>
  <c r="Z208" i="1"/>
  <c r="AA208" i="1"/>
  <c r="AB208" i="1"/>
  <c r="AC208" i="1"/>
  <c r="Y207" i="1"/>
  <c r="Z207" i="1"/>
  <c r="AA207" i="1"/>
  <c r="AB207" i="1"/>
  <c r="AC207" i="1"/>
  <c r="Y206" i="1"/>
  <c r="Z206" i="1"/>
  <c r="AA206" i="1"/>
  <c r="AB206" i="1"/>
  <c r="AC206" i="1"/>
  <c r="Y205" i="1"/>
  <c r="Z205" i="1"/>
  <c r="AA205" i="1"/>
  <c r="AB205" i="1"/>
  <c r="AC205" i="1"/>
  <c r="Y204" i="1"/>
  <c r="Z204" i="1"/>
  <c r="AA204" i="1"/>
  <c r="AB204" i="1"/>
  <c r="AC204" i="1"/>
  <c r="Y203" i="1"/>
  <c r="Z203" i="1"/>
  <c r="AA203" i="1"/>
  <c r="AB203" i="1"/>
  <c r="AC203" i="1"/>
  <c r="Y202" i="1"/>
  <c r="Z202" i="1"/>
  <c r="AA202" i="1"/>
  <c r="AB202" i="1"/>
  <c r="AC202" i="1"/>
  <c r="Y201" i="1"/>
  <c r="Z201" i="1"/>
  <c r="AA201" i="1"/>
  <c r="AB201" i="1"/>
  <c r="AC201" i="1"/>
  <c r="Y200" i="1"/>
  <c r="Z200" i="1"/>
  <c r="AA200" i="1"/>
  <c r="AB200" i="1"/>
  <c r="AC200" i="1"/>
  <c r="Y199" i="1"/>
  <c r="Z199" i="1"/>
  <c r="AA199" i="1"/>
  <c r="AB199" i="1"/>
  <c r="AC199" i="1"/>
  <c r="Y198" i="1"/>
  <c r="Z198" i="1"/>
  <c r="AA198" i="1"/>
  <c r="AB198" i="1"/>
  <c r="AC198" i="1"/>
  <c r="Y197" i="1"/>
  <c r="Z197" i="1"/>
  <c r="AA197" i="1"/>
  <c r="AB197" i="1"/>
  <c r="AC197" i="1"/>
  <c r="Y196" i="1"/>
  <c r="Z196" i="1"/>
  <c r="AA196" i="1"/>
  <c r="AB196" i="1"/>
  <c r="AC196" i="1"/>
  <c r="Y195" i="1"/>
  <c r="Z195" i="1"/>
  <c r="AA195" i="1"/>
  <c r="AB195" i="1"/>
  <c r="AC195" i="1"/>
  <c r="Y194" i="1"/>
  <c r="Z194" i="1"/>
  <c r="AA194" i="1"/>
  <c r="AB194" i="1"/>
  <c r="AC194" i="1"/>
  <c r="Y193" i="1"/>
  <c r="Z193" i="1"/>
  <c r="AA193" i="1"/>
  <c r="AB193" i="1"/>
  <c r="AC193" i="1"/>
  <c r="Y192" i="1"/>
  <c r="Z192" i="1"/>
  <c r="AA192" i="1"/>
  <c r="AB192" i="1"/>
  <c r="AC192" i="1"/>
  <c r="Y191" i="1"/>
  <c r="Z191" i="1"/>
  <c r="AA191" i="1"/>
  <c r="AB191" i="1"/>
  <c r="AC191" i="1"/>
  <c r="Y190" i="1"/>
  <c r="Z190" i="1"/>
  <c r="AA190" i="1"/>
  <c r="AB190" i="1"/>
  <c r="AC190" i="1"/>
  <c r="Y189" i="1"/>
  <c r="Z189" i="1"/>
  <c r="AA189" i="1"/>
  <c r="AB189" i="1"/>
  <c r="AC189" i="1"/>
  <c r="Y188" i="1"/>
  <c r="Z188" i="1"/>
  <c r="AA188" i="1"/>
  <c r="AB188" i="1"/>
  <c r="AC188" i="1"/>
  <c r="Y187" i="1"/>
  <c r="Z187" i="1"/>
  <c r="AA187" i="1"/>
  <c r="AB187" i="1"/>
  <c r="AC187" i="1"/>
  <c r="Y186" i="1"/>
  <c r="Z186" i="1"/>
  <c r="AA186" i="1"/>
  <c r="AB186" i="1"/>
  <c r="AC186" i="1"/>
  <c r="Y185" i="1"/>
  <c r="Z185" i="1"/>
  <c r="AA185" i="1"/>
  <c r="AB185" i="1"/>
  <c r="AC185" i="1"/>
  <c r="Y184" i="1"/>
  <c r="Z184" i="1"/>
  <c r="AA184" i="1"/>
  <c r="AB184" i="1"/>
  <c r="AC184" i="1"/>
  <c r="Y183" i="1"/>
  <c r="Z183" i="1"/>
  <c r="AA183" i="1"/>
  <c r="AB183" i="1"/>
  <c r="AC183" i="1"/>
  <c r="Y182" i="1"/>
  <c r="Z182" i="1"/>
  <c r="AA182" i="1"/>
  <c r="AB182" i="1"/>
  <c r="AC182" i="1"/>
  <c r="Y181" i="1"/>
  <c r="Z181" i="1"/>
  <c r="AA181" i="1"/>
  <c r="AB181" i="1"/>
  <c r="AC181" i="1"/>
  <c r="Y180" i="1"/>
  <c r="Z180" i="1"/>
  <c r="AA180" i="1"/>
  <c r="AB180" i="1"/>
  <c r="AC180" i="1"/>
  <c r="Y179" i="1"/>
  <c r="Z179" i="1"/>
  <c r="AA179" i="1"/>
  <c r="AB179" i="1"/>
  <c r="AC179" i="1"/>
  <c r="Y178" i="1"/>
  <c r="Z178" i="1"/>
  <c r="AA178" i="1"/>
  <c r="AB178" i="1"/>
  <c r="AC178" i="1"/>
  <c r="Y177" i="1"/>
  <c r="Z177" i="1"/>
  <c r="AA177" i="1"/>
  <c r="AB177" i="1"/>
  <c r="AC177" i="1"/>
  <c r="Y176" i="1"/>
  <c r="Z176" i="1"/>
  <c r="AA176" i="1"/>
  <c r="AB176" i="1"/>
  <c r="AC176" i="1"/>
  <c r="Y175" i="1"/>
  <c r="Z175" i="1"/>
  <c r="AA175" i="1"/>
  <c r="AB175" i="1"/>
  <c r="AC175" i="1"/>
  <c r="Y174" i="1"/>
  <c r="Z174" i="1"/>
  <c r="AA174" i="1"/>
  <c r="AB174" i="1"/>
  <c r="AC174" i="1"/>
  <c r="Y173" i="1"/>
  <c r="Z173" i="1"/>
  <c r="AA173" i="1"/>
  <c r="AB173" i="1"/>
  <c r="AC173" i="1"/>
  <c r="Y172" i="1"/>
  <c r="Z172" i="1"/>
  <c r="AA172" i="1"/>
  <c r="AB172" i="1"/>
  <c r="AC172" i="1"/>
  <c r="Y171" i="1"/>
  <c r="Z171" i="1"/>
  <c r="AA171" i="1"/>
  <c r="AB171" i="1"/>
  <c r="AC171" i="1"/>
  <c r="Y170" i="1"/>
  <c r="Z170" i="1"/>
  <c r="AA170" i="1"/>
  <c r="AB170" i="1"/>
  <c r="AC170" i="1"/>
  <c r="Y169" i="1"/>
  <c r="Z169" i="1"/>
  <c r="AA169" i="1"/>
  <c r="AB169" i="1"/>
  <c r="AC169" i="1"/>
  <c r="Y168" i="1"/>
  <c r="Z168" i="1"/>
  <c r="AA168" i="1"/>
  <c r="AB168" i="1"/>
  <c r="AC168" i="1"/>
  <c r="Y167" i="1"/>
  <c r="Z167" i="1"/>
  <c r="AA167" i="1"/>
  <c r="AB167" i="1"/>
  <c r="AC167" i="1"/>
  <c r="Y166" i="1"/>
  <c r="Z166" i="1"/>
  <c r="AA166" i="1"/>
  <c r="AB166" i="1"/>
  <c r="AC166" i="1"/>
  <c r="Y165" i="1"/>
  <c r="Z165" i="1"/>
  <c r="AA165" i="1"/>
  <c r="AB165" i="1"/>
  <c r="AC165" i="1"/>
  <c r="Y164" i="1"/>
  <c r="Z164" i="1"/>
  <c r="AA164" i="1"/>
  <c r="AB164" i="1"/>
  <c r="AC164" i="1"/>
  <c r="Y163" i="1"/>
  <c r="Z163" i="1"/>
  <c r="AA163" i="1"/>
  <c r="AB163" i="1"/>
  <c r="AC163" i="1"/>
  <c r="Y162" i="1"/>
  <c r="Z162" i="1"/>
  <c r="AA162" i="1"/>
  <c r="AB162" i="1"/>
  <c r="AC162" i="1"/>
  <c r="Y161" i="1"/>
  <c r="Z161" i="1"/>
  <c r="AA161" i="1"/>
  <c r="AB161" i="1"/>
  <c r="AC161" i="1"/>
  <c r="Y160" i="1"/>
  <c r="Z160" i="1"/>
  <c r="AA160" i="1"/>
  <c r="AB160" i="1"/>
  <c r="AC160" i="1"/>
  <c r="Y159" i="1"/>
  <c r="Z159" i="1"/>
  <c r="AA159" i="1"/>
  <c r="AB159" i="1"/>
  <c r="AC159" i="1"/>
  <c r="Y158" i="1"/>
  <c r="Z158" i="1"/>
  <c r="AA158" i="1"/>
  <c r="AB158" i="1"/>
  <c r="AC158" i="1"/>
  <c r="Y157" i="1"/>
  <c r="Z157" i="1"/>
  <c r="AA157" i="1"/>
  <c r="AB157" i="1"/>
  <c r="AC157" i="1"/>
  <c r="Y156" i="1"/>
  <c r="Z156" i="1"/>
  <c r="AA156" i="1"/>
  <c r="AB156" i="1"/>
  <c r="AC156" i="1"/>
  <c r="Y155" i="1"/>
  <c r="Z155" i="1"/>
  <c r="AA155" i="1"/>
  <c r="AB155" i="1"/>
  <c r="AC155" i="1"/>
  <c r="Y154" i="1"/>
  <c r="Z154" i="1"/>
  <c r="AA154" i="1"/>
  <c r="AB154" i="1"/>
  <c r="AC154" i="1"/>
  <c r="Y153" i="1"/>
  <c r="Z153" i="1"/>
  <c r="AA153" i="1"/>
  <c r="AB153" i="1"/>
  <c r="AC153" i="1"/>
  <c r="Y152" i="1"/>
  <c r="Z152" i="1"/>
  <c r="AA152" i="1"/>
  <c r="AB152" i="1"/>
  <c r="AC152" i="1"/>
  <c r="Y150" i="1"/>
  <c r="Z150" i="1"/>
  <c r="AA150" i="1"/>
  <c r="AB150" i="1"/>
  <c r="AC150" i="1"/>
  <c r="Y149" i="1"/>
  <c r="Z149" i="1"/>
  <c r="AA149" i="1"/>
  <c r="AB149" i="1"/>
  <c r="AC149" i="1"/>
  <c r="Y148" i="1"/>
  <c r="Z148" i="1"/>
  <c r="AA148" i="1"/>
  <c r="AB148" i="1"/>
  <c r="AC148" i="1"/>
  <c r="Y147" i="1"/>
  <c r="Z147" i="1"/>
  <c r="AA147" i="1"/>
  <c r="AB147" i="1"/>
  <c r="AC147" i="1"/>
  <c r="Y146" i="1"/>
  <c r="Z146" i="1"/>
  <c r="AA146" i="1"/>
  <c r="AB146" i="1"/>
  <c r="AC146" i="1"/>
  <c r="Y145" i="1"/>
  <c r="Z145" i="1"/>
  <c r="AA145" i="1"/>
  <c r="AB145" i="1"/>
  <c r="AC145" i="1"/>
  <c r="Y144" i="1"/>
  <c r="Z144" i="1"/>
  <c r="AA144" i="1"/>
  <c r="AB144" i="1"/>
  <c r="AC144" i="1"/>
  <c r="Y143" i="1"/>
  <c r="Z143" i="1"/>
  <c r="AA143" i="1"/>
  <c r="AB143" i="1"/>
  <c r="AC143" i="1"/>
  <c r="Y142" i="1"/>
  <c r="Z142" i="1"/>
  <c r="AA142" i="1"/>
  <c r="AB142" i="1"/>
  <c r="AC142" i="1"/>
  <c r="Y141" i="1"/>
  <c r="Z141" i="1"/>
  <c r="AA141" i="1"/>
  <c r="AB141" i="1"/>
  <c r="AC141" i="1"/>
  <c r="Y140" i="1"/>
  <c r="Z140" i="1"/>
  <c r="AA140" i="1"/>
  <c r="AB140" i="1"/>
  <c r="AC140" i="1"/>
  <c r="Y139" i="1"/>
  <c r="Z139" i="1"/>
  <c r="AA139" i="1"/>
  <c r="AB139" i="1"/>
  <c r="AC139" i="1"/>
  <c r="Y138" i="1"/>
  <c r="Z138" i="1"/>
  <c r="AA138" i="1"/>
  <c r="AB138" i="1"/>
  <c r="AC138" i="1"/>
  <c r="Y137" i="1"/>
  <c r="Z137" i="1"/>
  <c r="AA137" i="1"/>
  <c r="AB137" i="1"/>
  <c r="AC137" i="1"/>
  <c r="Y136" i="1"/>
  <c r="Z136" i="1"/>
  <c r="AA136" i="1"/>
  <c r="AB136" i="1"/>
  <c r="AC136" i="1"/>
  <c r="Y135" i="1"/>
  <c r="Z135" i="1"/>
  <c r="AA135" i="1"/>
  <c r="AB135" i="1"/>
  <c r="AC135" i="1"/>
  <c r="Y134" i="1"/>
  <c r="Z134" i="1"/>
  <c r="AA134" i="1"/>
  <c r="AB134" i="1"/>
  <c r="AC134" i="1"/>
  <c r="Y133" i="1"/>
  <c r="Z133" i="1"/>
  <c r="AA133" i="1"/>
  <c r="AB133" i="1"/>
  <c r="AC133" i="1"/>
  <c r="Y132" i="1"/>
  <c r="Z132" i="1"/>
  <c r="AA132" i="1"/>
  <c r="AB132" i="1"/>
  <c r="AC132" i="1"/>
  <c r="Y131" i="1"/>
  <c r="Z131" i="1"/>
  <c r="AA131" i="1"/>
  <c r="AB131" i="1"/>
  <c r="AC131" i="1"/>
  <c r="Y130" i="1"/>
  <c r="Z130" i="1"/>
  <c r="AA130" i="1"/>
  <c r="AB130" i="1"/>
  <c r="AC130" i="1"/>
  <c r="Y129" i="1"/>
  <c r="Z129" i="1"/>
  <c r="AA129" i="1"/>
  <c r="AB129" i="1"/>
  <c r="AC129" i="1"/>
  <c r="Y128" i="1"/>
  <c r="Z128" i="1"/>
  <c r="AA128" i="1"/>
  <c r="AB128" i="1"/>
  <c r="AC128" i="1"/>
  <c r="Y127" i="1"/>
  <c r="Z127" i="1"/>
  <c r="AA127" i="1"/>
  <c r="AB127" i="1"/>
  <c r="AC127" i="1"/>
  <c r="Y126" i="1"/>
  <c r="Z126" i="1"/>
  <c r="AA126" i="1"/>
  <c r="AB126" i="1"/>
  <c r="AC126" i="1"/>
  <c r="Y125" i="1"/>
  <c r="Z125" i="1"/>
  <c r="AA125" i="1"/>
  <c r="AB125" i="1"/>
  <c r="AC125" i="1"/>
  <c r="Y124" i="1"/>
  <c r="Z124" i="1"/>
  <c r="AA124" i="1"/>
  <c r="AB124" i="1"/>
  <c r="AC124" i="1"/>
  <c r="Y123" i="1"/>
  <c r="Z123" i="1"/>
  <c r="AA123" i="1"/>
  <c r="AB123" i="1"/>
  <c r="AC123" i="1"/>
  <c r="Y122" i="1"/>
  <c r="Z122" i="1"/>
  <c r="AA122" i="1"/>
  <c r="AB122" i="1"/>
  <c r="AC122" i="1"/>
  <c r="Y121" i="1"/>
  <c r="Z121" i="1"/>
  <c r="AA121" i="1"/>
  <c r="AB121" i="1"/>
  <c r="AC121" i="1"/>
  <c r="Y120" i="1"/>
  <c r="Z120" i="1"/>
  <c r="AA120" i="1"/>
  <c r="AB120" i="1"/>
  <c r="AC120" i="1"/>
  <c r="Y119" i="1"/>
  <c r="Z119" i="1"/>
  <c r="AA119" i="1"/>
  <c r="AB119" i="1"/>
  <c r="AC119" i="1"/>
  <c r="Y118" i="1"/>
  <c r="Z118" i="1"/>
  <c r="AA118" i="1"/>
  <c r="AB118" i="1"/>
  <c r="AC118" i="1"/>
  <c r="Y117" i="1"/>
  <c r="Z117" i="1"/>
  <c r="AA117" i="1"/>
  <c r="AB117" i="1"/>
  <c r="AC117" i="1"/>
  <c r="Y116" i="1"/>
  <c r="Z116" i="1"/>
  <c r="AA116" i="1"/>
  <c r="AB116" i="1"/>
  <c r="AC116" i="1"/>
  <c r="Y115" i="1"/>
  <c r="Z115" i="1"/>
  <c r="AA115" i="1"/>
  <c r="AB115" i="1"/>
  <c r="AC115" i="1"/>
  <c r="Y114" i="1"/>
  <c r="Z114" i="1"/>
  <c r="AA114" i="1"/>
  <c r="AB114" i="1"/>
  <c r="AC114" i="1"/>
  <c r="Y113" i="1"/>
  <c r="Z113" i="1"/>
  <c r="AA113" i="1"/>
  <c r="AB113" i="1"/>
  <c r="AC113" i="1"/>
  <c r="Y112" i="1"/>
  <c r="Z112" i="1"/>
  <c r="AA112" i="1"/>
  <c r="AB112" i="1"/>
  <c r="AC112" i="1"/>
  <c r="Y111" i="1"/>
  <c r="Z111" i="1"/>
  <c r="AA111" i="1"/>
  <c r="AB111" i="1"/>
  <c r="AC111" i="1"/>
  <c r="Y110" i="1"/>
  <c r="Z110" i="1"/>
  <c r="AA110" i="1"/>
  <c r="AB110" i="1"/>
  <c r="AC110" i="1"/>
  <c r="Y109" i="1"/>
  <c r="Z109" i="1"/>
  <c r="AA109" i="1"/>
  <c r="AB109" i="1"/>
  <c r="AC109" i="1"/>
  <c r="Y108" i="1"/>
  <c r="Z108" i="1"/>
  <c r="AA108" i="1"/>
  <c r="AB108" i="1"/>
  <c r="AC108" i="1"/>
  <c r="Y107" i="1"/>
  <c r="Z107" i="1"/>
  <c r="AA107" i="1"/>
  <c r="AB107" i="1"/>
  <c r="AC107" i="1"/>
  <c r="Y106" i="1"/>
  <c r="Z106" i="1"/>
  <c r="AA106" i="1"/>
  <c r="AB106" i="1"/>
  <c r="AC106" i="1"/>
  <c r="Y105" i="1"/>
  <c r="Z105" i="1"/>
  <c r="AA105" i="1"/>
  <c r="AB105" i="1"/>
  <c r="AC105" i="1"/>
  <c r="Y104" i="1"/>
  <c r="Z104" i="1"/>
  <c r="AA104" i="1"/>
  <c r="AB104" i="1"/>
  <c r="AC104" i="1"/>
  <c r="Y103" i="1"/>
  <c r="Z103" i="1"/>
  <c r="AA103" i="1"/>
  <c r="AB103" i="1"/>
  <c r="AC103" i="1"/>
  <c r="Y102" i="1"/>
  <c r="Z102" i="1"/>
  <c r="AA102" i="1"/>
  <c r="AB102" i="1"/>
  <c r="AC102" i="1"/>
  <c r="Y101" i="1"/>
  <c r="Z101" i="1"/>
  <c r="AA101" i="1"/>
  <c r="AB101" i="1"/>
  <c r="AC101" i="1"/>
  <c r="Y100" i="1"/>
  <c r="Z100" i="1"/>
  <c r="AA100" i="1"/>
  <c r="AB100" i="1"/>
  <c r="AC100" i="1"/>
  <c r="Y99" i="1"/>
  <c r="Z99" i="1"/>
  <c r="AA99" i="1"/>
  <c r="AB99" i="1"/>
  <c r="AC99" i="1"/>
  <c r="Y98" i="1"/>
  <c r="Z98" i="1"/>
  <c r="AA98" i="1"/>
  <c r="AB98" i="1"/>
  <c r="AC98" i="1"/>
  <c r="Y97" i="1"/>
  <c r="Z97" i="1"/>
  <c r="AA97" i="1"/>
  <c r="AB97" i="1"/>
  <c r="AC97" i="1"/>
  <c r="Y96" i="1"/>
  <c r="Z96" i="1"/>
  <c r="AA96" i="1"/>
  <c r="AB96" i="1"/>
  <c r="AC96" i="1"/>
  <c r="Y95" i="1"/>
  <c r="Z95" i="1"/>
  <c r="AA95" i="1"/>
  <c r="AB95" i="1"/>
  <c r="AC95" i="1"/>
  <c r="Y94" i="1"/>
  <c r="Z94" i="1"/>
  <c r="AA94" i="1"/>
  <c r="AB94" i="1"/>
  <c r="AC94" i="1"/>
  <c r="Y93" i="1"/>
  <c r="Z93" i="1"/>
  <c r="AA93" i="1"/>
  <c r="AB93" i="1"/>
  <c r="AC93" i="1"/>
  <c r="Y92" i="1"/>
  <c r="Z92" i="1"/>
  <c r="AA92" i="1"/>
  <c r="AB92" i="1"/>
  <c r="AC92" i="1"/>
  <c r="Y91" i="1"/>
  <c r="Z91" i="1"/>
  <c r="AA91" i="1"/>
  <c r="AB91" i="1"/>
  <c r="AC91" i="1"/>
  <c r="Y90" i="1"/>
  <c r="Z90" i="1"/>
  <c r="AA90" i="1"/>
  <c r="AB90" i="1"/>
  <c r="AC90" i="1"/>
  <c r="Y86" i="1"/>
  <c r="Z86" i="1"/>
  <c r="AA86" i="1"/>
  <c r="AB86" i="1"/>
  <c r="AC86" i="1"/>
  <c r="Y85" i="1"/>
  <c r="Z85" i="1"/>
  <c r="AA85" i="1"/>
  <c r="AB85" i="1"/>
  <c r="AC85" i="1"/>
  <c r="Y84" i="1"/>
  <c r="Z84" i="1"/>
  <c r="AA84" i="1"/>
  <c r="AB84" i="1"/>
  <c r="AC84" i="1"/>
  <c r="Y83" i="1"/>
  <c r="Z83" i="1"/>
  <c r="AA83" i="1"/>
  <c r="AB83" i="1"/>
  <c r="AC83" i="1"/>
  <c r="Y82" i="1"/>
  <c r="Z82" i="1"/>
  <c r="AA82" i="1"/>
  <c r="AB82" i="1"/>
  <c r="AC82" i="1"/>
  <c r="Y81" i="1"/>
  <c r="Z81" i="1"/>
  <c r="AA81" i="1"/>
  <c r="AB81" i="1"/>
  <c r="AC81" i="1"/>
  <c r="Y80" i="1"/>
  <c r="Z80" i="1"/>
  <c r="AA80" i="1"/>
  <c r="AB80" i="1"/>
  <c r="AC80" i="1"/>
  <c r="Y79" i="1"/>
  <c r="Z79" i="1"/>
  <c r="AA79" i="1"/>
  <c r="AB79" i="1"/>
  <c r="AC79" i="1"/>
  <c r="Y78" i="1"/>
  <c r="Z78" i="1"/>
  <c r="AA78" i="1"/>
  <c r="AB78" i="1"/>
  <c r="AC78" i="1"/>
  <c r="Y68" i="1"/>
  <c r="Z68" i="1"/>
  <c r="AA68" i="1"/>
  <c r="AB68" i="1"/>
  <c r="AC68" i="1"/>
  <c r="Y67" i="1"/>
  <c r="Z67" i="1"/>
  <c r="AA67" i="1"/>
  <c r="AB67" i="1"/>
  <c r="AC67" i="1"/>
  <c r="Y66" i="1"/>
  <c r="Z66" i="1"/>
  <c r="AA66" i="1"/>
  <c r="AB66" i="1"/>
  <c r="AC66" i="1"/>
  <c r="Y65" i="1"/>
  <c r="Z65" i="1"/>
  <c r="AA65" i="1"/>
  <c r="AB65" i="1"/>
  <c r="AC65" i="1"/>
  <c r="Y64" i="1"/>
  <c r="Z64" i="1"/>
  <c r="AA64" i="1"/>
  <c r="AB64" i="1"/>
  <c r="AC64" i="1"/>
  <c r="Y63" i="1"/>
  <c r="Z63" i="1"/>
  <c r="AA63" i="1"/>
  <c r="AB63" i="1"/>
  <c r="AC63" i="1"/>
  <c r="Y62" i="1"/>
  <c r="Z62" i="1"/>
  <c r="AA62" i="1"/>
  <c r="AB62" i="1"/>
  <c r="AC62" i="1"/>
  <c r="Y61" i="1"/>
  <c r="Z61" i="1"/>
  <c r="AA61" i="1"/>
  <c r="AB61" i="1"/>
  <c r="AC61" i="1"/>
  <c r="Y60" i="1"/>
  <c r="Z60" i="1"/>
  <c r="AA60" i="1"/>
  <c r="AB60" i="1"/>
  <c r="AC60" i="1"/>
  <c r="X59" i="1"/>
  <c r="AG59" i="1"/>
  <c r="AD49" i="22" s="1"/>
  <c r="Y59" i="1"/>
  <c r="Z59" i="1"/>
  <c r="AA59" i="1"/>
  <c r="AB59" i="1"/>
  <c r="AC59" i="1"/>
  <c r="Y58" i="1"/>
  <c r="Z58" i="1"/>
  <c r="AA58" i="1"/>
  <c r="AB58" i="1"/>
  <c r="AC58" i="1"/>
  <c r="X57" i="1"/>
  <c r="AG57" i="1"/>
  <c r="AD48" i="22" s="1"/>
  <c r="Y57" i="1"/>
  <c r="Z57" i="1"/>
  <c r="AA57" i="1"/>
  <c r="AB57" i="1"/>
  <c r="AC57" i="1"/>
  <c r="Y56" i="1"/>
  <c r="Z56" i="1"/>
  <c r="AA56" i="1"/>
  <c r="AB56" i="1"/>
  <c r="AC56" i="1"/>
  <c r="X55" i="1"/>
  <c r="AG55" i="1"/>
  <c r="AD47" i="22" s="1"/>
  <c r="X54" i="1"/>
  <c r="AG54" i="1"/>
  <c r="AD46" i="22" s="1"/>
  <c r="X53" i="1"/>
  <c r="AG53" i="1"/>
  <c r="AD45" i="22" s="1"/>
  <c r="Y53" i="1"/>
  <c r="Z53" i="1"/>
  <c r="AA53" i="1"/>
  <c r="AB53" i="1"/>
  <c r="AC53" i="1"/>
  <c r="Y52" i="1"/>
  <c r="Z52" i="1"/>
  <c r="AA52" i="1"/>
  <c r="AB52" i="1"/>
  <c r="AC52" i="1"/>
  <c r="X51" i="1"/>
  <c r="AG51" i="1"/>
  <c r="AD44" i="22" s="1"/>
  <c r="X50" i="1"/>
  <c r="AG50" i="1"/>
  <c r="AD43" i="22" s="1"/>
  <c r="Y50" i="1"/>
  <c r="Z50" i="1"/>
  <c r="AA50" i="1"/>
  <c r="AB50" i="1"/>
  <c r="AC50" i="1"/>
  <c r="Y49" i="1"/>
  <c r="Z49" i="1"/>
  <c r="AA49" i="1"/>
  <c r="AB49" i="1"/>
  <c r="AC49" i="1"/>
  <c r="AK5" i="22"/>
  <c r="AK6" i="22"/>
  <c r="AK7" i="22"/>
  <c r="AK8" i="22"/>
  <c r="AK9" i="22"/>
  <c r="AK10" i="22"/>
  <c r="AK11" i="22"/>
  <c r="AK12" i="22"/>
  <c r="AK13" i="22"/>
  <c r="AK14" i="22"/>
  <c r="AK15" i="22"/>
  <c r="AK16" i="22"/>
  <c r="AK17" i="22"/>
  <c r="AK18" i="22"/>
  <c r="AK19" i="22"/>
  <c r="AK20" i="22"/>
  <c r="AK21" i="22"/>
  <c r="AK22" i="22"/>
  <c r="AK23" i="22"/>
  <c r="AK24" i="22"/>
  <c r="AK25" i="22"/>
  <c r="AK26" i="22"/>
  <c r="AK27" i="22"/>
  <c r="AK28" i="22"/>
  <c r="AK29" i="22"/>
  <c r="AK30" i="22"/>
  <c r="AK31" i="22"/>
  <c r="AK32" i="22"/>
  <c r="AK33" i="22"/>
  <c r="AK34" i="22"/>
  <c r="AK35" i="22"/>
  <c r="AK36" i="22"/>
  <c r="AK37" i="22"/>
  <c r="AK38" i="22"/>
  <c r="AK39" i="22"/>
  <c r="AK40" i="22"/>
  <c r="AK41" i="22"/>
  <c r="AK42" i="22"/>
  <c r="AQ293" i="1" l="1"/>
  <c r="AR293" i="1"/>
  <c r="AQ321" i="1"/>
  <c r="AR321" i="1"/>
  <c r="AQ319" i="1"/>
  <c r="AR319" i="1"/>
  <c r="AQ318" i="1"/>
  <c r="AR318" i="1"/>
  <c r="AQ316" i="1"/>
  <c r="AR316" i="1"/>
  <c r="AQ315" i="1"/>
  <c r="AR315" i="1"/>
  <c r="AQ314" i="1"/>
  <c r="AR314" i="1"/>
  <c r="AQ313" i="1"/>
  <c r="AR313" i="1"/>
  <c r="AQ312" i="1"/>
  <c r="AR312" i="1"/>
  <c r="AQ311" i="1"/>
  <c r="AR311" i="1"/>
  <c r="AQ309" i="1"/>
  <c r="AR309" i="1"/>
  <c r="AQ308" i="1"/>
  <c r="AR308" i="1"/>
  <c r="AQ306" i="1"/>
  <c r="AR306" i="1"/>
  <c r="AQ305" i="1"/>
  <c r="AR305" i="1"/>
  <c r="AQ302" i="1"/>
  <c r="AR302" i="1"/>
  <c r="AQ303" i="1"/>
  <c r="AR303" i="1"/>
  <c r="AQ301" i="1"/>
  <c r="AR301" i="1"/>
  <c r="AQ299" i="1"/>
  <c r="AR299" i="1"/>
  <c r="AQ295" i="1"/>
  <c r="AR295" i="1"/>
  <c r="AQ296" i="1"/>
  <c r="AR296" i="1"/>
  <c r="AQ297" i="1"/>
  <c r="AR297" i="1"/>
  <c r="AQ294" i="1"/>
  <c r="AR294" i="1"/>
  <c r="AQ292" i="1"/>
  <c r="AR292" i="1"/>
  <c r="AQ291" i="1"/>
  <c r="AR291" i="1"/>
  <c r="AQ290" i="1"/>
  <c r="AR290" i="1"/>
  <c r="AQ289" i="1"/>
  <c r="AR289" i="1"/>
  <c r="AQ287" i="1"/>
  <c r="AR287" i="1"/>
  <c r="AQ285" i="1"/>
  <c r="AR285" i="1"/>
  <c r="AQ283" i="1"/>
  <c r="AR283" i="1"/>
  <c r="AQ282" i="1"/>
  <c r="AR282" i="1"/>
  <c r="AQ281" i="1"/>
  <c r="AR281" i="1"/>
  <c r="AQ270" i="1"/>
  <c r="AR270" i="1"/>
  <c r="AQ271" i="1"/>
  <c r="AR271" i="1"/>
  <c r="AQ272" i="1"/>
  <c r="AR272" i="1"/>
  <c r="AQ273" i="1"/>
  <c r="AR273" i="1"/>
  <c r="AQ274" i="1"/>
  <c r="AR274" i="1"/>
  <c r="AQ275" i="1"/>
  <c r="AR275" i="1"/>
  <c r="AQ276" i="1"/>
  <c r="AR276" i="1"/>
  <c r="AQ277" i="1"/>
  <c r="AR277" i="1"/>
  <c r="AQ278" i="1"/>
  <c r="AR278" i="1"/>
  <c r="AQ279" i="1"/>
  <c r="AR279" i="1"/>
  <c r="AQ280" i="1"/>
  <c r="AR280" i="1"/>
  <c r="AQ269" i="1"/>
  <c r="AR269" i="1"/>
  <c r="AQ268" i="1"/>
  <c r="AR268" i="1"/>
  <c r="AQ267" i="1"/>
  <c r="AR267" i="1"/>
  <c r="AQ265" i="1"/>
  <c r="AR265" i="1"/>
  <c r="AD50" i="22"/>
  <c r="AD51" i="22"/>
  <c r="AD52" i="22"/>
  <c r="AD53" i="22"/>
  <c r="AD61" i="22"/>
  <c r="AD62" i="22"/>
  <c r="AD63" i="22"/>
  <c r="AD64" i="22"/>
  <c r="AD65" i="22"/>
  <c r="AD66" i="22"/>
  <c r="AD67" i="22"/>
  <c r="AD54" i="22"/>
  <c r="AD55" i="22"/>
  <c r="AD56" i="22"/>
  <c r="AD57" i="22"/>
  <c r="AD58" i="22"/>
  <c r="AD59" i="22"/>
  <c r="AQ151" i="1"/>
  <c r="AR151" i="1"/>
  <c r="Y151" i="1"/>
  <c r="Z151" i="1"/>
  <c r="AA151" i="1"/>
  <c r="AB151" i="1"/>
  <c r="AC151" i="1"/>
  <c r="AQ263" i="1"/>
  <c r="AR263" i="1"/>
  <c r="AQ262" i="1"/>
  <c r="AR262" i="1"/>
  <c r="AQ261" i="1"/>
  <c r="AR261" i="1"/>
  <c r="AQ259" i="1"/>
  <c r="AR259" i="1"/>
  <c r="AQ257" i="1"/>
  <c r="AR257" i="1"/>
  <c r="AQ255" i="1"/>
  <c r="AR255" i="1"/>
  <c r="AQ254" i="1"/>
  <c r="AR254" i="1"/>
  <c r="AQ253" i="1"/>
  <c r="AR253" i="1"/>
  <c r="AQ252" i="1"/>
  <c r="AR252" i="1"/>
  <c r="AQ249" i="1"/>
  <c r="AR249" i="1"/>
  <c r="AQ250" i="1"/>
  <c r="AR250" i="1"/>
  <c r="AQ247" i="1"/>
  <c r="AR247" i="1"/>
  <c r="AQ244" i="1"/>
  <c r="AR244" i="1"/>
  <c r="AQ245" i="1"/>
  <c r="AR245" i="1"/>
  <c r="AQ246" i="1"/>
  <c r="AR246" i="1"/>
  <c r="AQ235" i="1"/>
  <c r="AR235" i="1"/>
  <c r="AQ236" i="1"/>
  <c r="AR236" i="1"/>
  <c r="AQ237" i="1"/>
  <c r="AR237" i="1"/>
  <c r="AQ238" i="1"/>
  <c r="AR238" i="1"/>
  <c r="AQ239" i="1"/>
  <c r="AR239" i="1"/>
  <c r="AQ240" i="1"/>
  <c r="AR240" i="1"/>
  <c r="AQ241" i="1"/>
  <c r="AR241" i="1"/>
  <c r="AQ242" i="1"/>
  <c r="AR242" i="1"/>
  <c r="AQ234" i="1"/>
  <c r="AR234" i="1"/>
  <c r="AQ232" i="1"/>
  <c r="AR232" i="1"/>
  <c r="AQ230" i="1"/>
  <c r="AR230" i="1"/>
  <c r="AQ229" i="1"/>
  <c r="AR229" i="1"/>
  <c r="AQ228" i="1"/>
  <c r="AR228" i="1"/>
  <c r="AQ227" i="1"/>
  <c r="AR227" i="1"/>
  <c r="AQ217" i="1"/>
  <c r="AR217" i="1"/>
  <c r="AQ218" i="1"/>
  <c r="AR218" i="1"/>
  <c r="AQ219" i="1"/>
  <c r="AR219" i="1"/>
  <c r="AQ220" i="1"/>
  <c r="AR220" i="1"/>
  <c r="AQ221" i="1"/>
  <c r="AR221" i="1"/>
  <c r="AQ222" i="1"/>
  <c r="AR222" i="1"/>
  <c r="AQ223" i="1"/>
  <c r="AR223" i="1"/>
  <c r="AQ224" i="1"/>
  <c r="AR224" i="1"/>
  <c r="AQ225" i="1"/>
  <c r="AR225" i="1"/>
  <c r="AQ216" i="1"/>
  <c r="AR216" i="1"/>
  <c r="AQ214" i="1"/>
  <c r="AR214" i="1"/>
  <c r="AQ213" i="1"/>
  <c r="AR213" i="1"/>
  <c r="AQ211" i="1"/>
  <c r="AR211" i="1"/>
  <c r="AQ210" i="1"/>
  <c r="AR210" i="1"/>
  <c r="AQ209" i="1"/>
  <c r="AR209" i="1"/>
  <c r="AQ207" i="1"/>
  <c r="AR207" i="1"/>
  <c r="AQ206" i="1"/>
  <c r="AR206" i="1"/>
  <c r="AQ205" i="1"/>
  <c r="AR205" i="1"/>
  <c r="AQ204" i="1"/>
  <c r="AR204" i="1"/>
  <c r="AQ203" i="1"/>
  <c r="AR203" i="1"/>
  <c r="AQ202" i="1"/>
  <c r="AR202" i="1"/>
  <c r="AQ201" i="1"/>
  <c r="AR201" i="1"/>
  <c r="AQ200" i="1"/>
  <c r="AR200" i="1"/>
  <c r="AQ199" i="1"/>
  <c r="AR199" i="1"/>
  <c r="AQ198" i="1"/>
  <c r="AR198" i="1"/>
  <c r="AQ197" i="1"/>
  <c r="AR197" i="1"/>
  <c r="AQ196" i="1"/>
  <c r="AR196" i="1"/>
  <c r="AQ195" i="1"/>
  <c r="AR195" i="1"/>
  <c r="AQ194" i="1"/>
  <c r="AR194" i="1"/>
  <c r="AQ193" i="1"/>
  <c r="AR193" i="1"/>
  <c r="AQ192" i="1"/>
  <c r="AR192" i="1"/>
  <c r="AQ190" i="1"/>
  <c r="AR190" i="1"/>
  <c r="AQ183" i="1"/>
  <c r="AR183" i="1"/>
  <c r="AQ184" i="1"/>
  <c r="AR184" i="1"/>
  <c r="AQ185" i="1"/>
  <c r="AR185" i="1"/>
  <c r="AQ186" i="1"/>
  <c r="AR186" i="1"/>
  <c r="AQ187" i="1"/>
  <c r="AR187" i="1"/>
  <c r="AQ188" i="1"/>
  <c r="AR188" i="1"/>
  <c r="AQ189" i="1"/>
  <c r="AR189" i="1"/>
  <c r="AQ182" i="1"/>
  <c r="AR182" i="1"/>
  <c r="AQ177" i="1"/>
  <c r="AR177" i="1"/>
  <c r="AQ178" i="1"/>
  <c r="AR178" i="1"/>
  <c r="AQ179" i="1"/>
  <c r="AR179" i="1"/>
  <c r="AQ180" i="1"/>
  <c r="AR180" i="1"/>
  <c r="AQ181" i="1"/>
  <c r="AR181" i="1"/>
  <c r="AQ176" i="1"/>
  <c r="AR176" i="1"/>
  <c r="AQ168" i="1"/>
  <c r="AR168" i="1"/>
  <c r="AQ169" i="1"/>
  <c r="AR169" i="1"/>
  <c r="AQ170" i="1"/>
  <c r="AR170" i="1"/>
  <c r="AQ171" i="1"/>
  <c r="AR171" i="1"/>
  <c r="AQ172" i="1"/>
  <c r="AR172" i="1"/>
  <c r="AQ173" i="1"/>
  <c r="AR173" i="1"/>
  <c r="AQ174" i="1"/>
  <c r="AR174" i="1"/>
  <c r="AQ175" i="1"/>
  <c r="AR175" i="1"/>
  <c r="AQ167" i="1"/>
  <c r="AR167" i="1"/>
  <c r="AQ166" i="1"/>
  <c r="AR166" i="1"/>
  <c r="AQ165" i="1"/>
  <c r="AR165" i="1"/>
  <c r="AQ164" i="1"/>
  <c r="AR164" i="1"/>
  <c r="AQ163" i="1"/>
  <c r="AR163" i="1"/>
  <c r="AQ162" i="1"/>
  <c r="AR162" i="1"/>
  <c r="AQ161" i="1"/>
  <c r="AR161" i="1"/>
  <c r="AQ160" i="1"/>
  <c r="AR160" i="1"/>
  <c r="AQ158" i="1"/>
  <c r="AR158" i="1"/>
  <c r="AQ157" i="1"/>
  <c r="AR157" i="1"/>
  <c r="AQ156" i="1"/>
  <c r="AR156" i="1"/>
  <c r="AQ155" i="1"/>
  <c r="AR155" i="1"/>
  <c r="AQ154" i="1"/>
  <c r="AR154" i="1"/>
  <c r="AQ153" i="1"/>
  <c r="AR153" i="1"/>
  <c r="AQ152" i="1"/>
  <c r="AR152" i="1"/>
  <c r="AQ150" i="1"/>
  <c r="AR150" i="1"/>
  <c r="AQ149" i="1"/>
  <c r="AR149" i="1"/>
  <c r="AQ148" i="1"/>
  <c r="AR148" i="1"/>
  <c r="AQ147" i="1"/>
  <c r="AR147" i="1"/>
  <c r="AQ145" i="1"/>
  <c r="AR145" i="1"/>
  <c r="AQ144" i="1"/>
  <c r="AR144" i="1"/>
  <c r="AQ143" i="1"/>
  <c r="AR143" i="1"/>
  <c r="AQ140" i="1"/>
  <c r="AR140" i="1"/>
  <c r="AQ141" i="1"/>
  <c r="AR141" i="1"/>
  <c r="AQ138" i="1"/>
  <c r="AR138" i="1"/>
  <c r="AQ139" i="1"/>
  <c r="AR139" i="1"/>
  <c r="AQ136" i="1"/>
  <c r="AR136" i="1"/>
  <c r="AQ137" i="1"/>
  <c r="AR137" i="1"/>
  <c r="AQ135" i="1"/>
  <c r="AR135" i="1"/>
  <c r="AQ133" i="1"/>
  <c r="AR133" i="1"/>
  <c r="AQ132" i="1"/>
  <c r="AR132" i="1"/>
  <c r="AQ130" i="1"/>
  <c r="AR130" i="1"/>
  <c r="AQ129" i="1"/>
  <c r="AR129" i="1"/>
  <c r="AQ128" i="1"/>
  <c r="AR128" i="1"/>
  <c r="AQ127" i="1"/>
  <c r="AR127" i="1"/>
  <c r="AQ126" i="1"/>
  <c r="AR126" i="1"/>
  <c r="AQ124" i="1"/>
  <c r="AR124" i="1"/>
  <c r="AQ123" i="1"/>
  <c r="AR123" i="1"/>
  <c r="AQ122" i="1"/>
  <c r="AR122" i="1"/>
  <c r="AQ121" i="1"/>
  <c r="AR121" i="1"/>
  <c r="AQ120" i="1"/>
  <c r="AR120" i="1"/>
  <c r="AQ118" i="1"/>
  <c r="AR118" i="1"/>
  <c r="AQ116" i="1"/>
  <c r="AR116" i="1"/>
  <c r="AQ114" i="1"/>
  <c r="AR114" i="1"/>
  <c r="AQ113" i="1"/>
  <c r="AR113" i="1"/>
  <c r="AQ110" i="1"/>
  <c r="AR110" i="1"/>
  <c r="AQ111" i="1"/>
  <c r="AR111" i="1"/>
  <c r="AQ109" i="1"/>
  <c r="AR109" i="1"/>
  <c r="AQ108" i="1"/>
  <c r="AR108" i="1"/>
  <c r="AQ106" i="1"/>
  <c r="AR106" i="1"/>
  <c r="AQ105" i="1"/>
  <c r="AR105" i="1"/>
  <c r="AQ103" i="1"/>
  <c r="AR103" i="1"/>
  <c r="AQ100" i="1"/>
  <c r="AR100" i="1"/>
  <c r="AQ99" i="1"/>
  <c r="AR99" i="1"/>
  <c r="AQ98" i="1"/>
  <c r="AR98" i="1"/>
  <c r="AQ101" i="1"/>
  <c r="AR101" i="1"/>
  <c r="AQ89" i="1"/>
  <c r="AR89" i="1"/>
  <c r="AQ88" i="1"/>
  <c r="AR88" i="1"/>
  <c r="AQ87" i="1"/>
  <c r="AR87" i="1"/>
  <c r="AD70" i="22"/>
  <c r="AD71" i="22"/>
  <c r="AD72" i="22"/>
  <c r="AD73" i="22"/>
  <c r="AE43" i="22"/>
  <c r="AF43" i="22" s="1"/>
  <c r="AE44" i="22"/>
  <c r="AF44" i="22" s="1"/>
  <c r="AE45" i="22"/>
  <c r="AF45" i="22" s="1"/>
  <c r="AE46" i="22"/>
  <c r="AF46" i="22" s="1"/>
  <c r="AE47" i="22"/>
  <c r="AF47" i="22" s="1"/>
  <c r="AE48" i="22"/>
  <c r="AF48" i="22" s="1"/>
  <c r="AE49" i="22"/>
  <c r="AF49" i="22" s="1"/>
  <c r="AE50" i="22"/>
  <c r="AF50" i="22" s="1"/>
  <c r="AE51" i="22"/>
  <c r="AF51" i="22" s="1"/>
  <c r="AE52" i="22"/>
  <c r="AF52" i="22" s="1"/>
  <c r="AE53" i="22"/>
  <c r="AF53" i="22" s="1"/>
  <c r="AE60" i="22"/>
  <c r="AF60" i="22" s="1"/>
  <c r="AE61" i="22"/>
  <c r="AF61" i="22" s="1"/>
  <c r="AE62" i="22"/>
  <c r="AF62" i="22" s="1"/>
  <c r="AE63" i="22"/>
  <c r="AF63" i="22" s="1"/>
  <c r="AE64" i="22"/>
  <c r="AF64" i="22" s="1"/>
  <c r="AE65" i="22"/>
  <c r="AF65" i="22" s="1"/>
  <c r="AE66" i="22"/>
  <c r="AF66" i="22" s="1"/>
  <c r="AE67" i="22"/>
  <c r="AE68" i="22"/>
  <c r="AE69" i="22"/>
  <c r="AE70" i="22"/>
  <c r="AE71" i="22"/>
  <c r="AE72" i="22"/>
  <c r="AE73" i="22"/>
  <c r="AE54" i="22"/>
  <c r="AF54" i="22" s="1"/>
  <c r="AE55" i="22"/>
  <c r="AF55" i="22" s="1"/>
  <c r="AE56" i="22"/>
  <c r="AF56" i="22" s="1"/>
  <c r="AE57" i="22"/>
  <c r="AF57" i="22" s="1"/>
  <c r="AE58" i="22"/>
  <c r="AF58" i="22" s="1"/>
  <c r="AE59" i="22"/>
  <c r="AF59" i="22" s="1"/>
  <c r="AQ76" i="1"/>
  <c r="AR76" i="1"/>
  <c r="AQ75" i="1"/>
  <c r="AR75" i="1"/>
  <c r="AQ73" i="1"/>
  <c r="AR73" i="1"/>
  <c r="AQ71" i="1"/>
  <c r="AR71" i="1"/>
  <c r="AQ70" i="1"/>
  <c r="AR70" i="1"/>
  <c r="AQ69" i="1"/>
  <c r="AR69" i="1"/>
  <c r="AQ96" i="1"/>
  <c r="AR96" i="1"/>
  <c r="AQ95" i="1"/>
  <c r="AR95" i="1"/>
  <c r="AQ93" i="1"/>
  <c r="AR93" i="1"/>
  <c r="AQ92" i="1"/>
  <c r="AR92" i="1"/>
  <c r="AQ91" i="1"/>
  <c r="AR91" i="1"/>
  <c r="AQ90" i="1"/>
  <c r="AR90" i="1"/>
  <c r="AQ86" i="1"/>
  <c r="AR86" i="1"/>
  <c r="AQ85" i="1"/>
  <c r="AR85" i="1"/>
  <c r="AQ84" i="1"/>
  <c r="AR84" i="1"/>
  <c r="AQ82" i="1"/>
  <c r="AR82" i="1"/>
  <c r="AQ81" i="1"/>
  <c r="AR81" i="1"/>
  <c r="AQ79" i="1"/>
  <c r="AR79" i="1"/>
  <c r="AQ78" i="1"/>
  <c r="AR78" i="1"/>
  <c r="AQ67" i="1"/>
  <c r="AR67" i="1"/>
  <c r="AQ66" i="1"/>
  <c r="AR66" i="1"/>
  <c r="AQ65" i="1"/>
  <c r="AR65" i="1"/>
  <c r="AQ63" i="1"/>
  <c r="AR63" i="1"/>
  <c r="AQ61" i="1"/>
  <c r="AR61" i="1"/>
  <c r="AQ59" i="1"/>
  <c r="AR59" i="1"/>
  <c r="AQ57" i="1"/>
  <c r="AR57" i="1"/>
  <c r="AQ55" i="1"/>
  <c r="AR55" i="1"/>
  <c r="Y55" i="1"/>
  <c r="Z55" i="1"/>
  <c r="AA55" i="1"/>
  <c r="AB55" i="1"/>
  <c r="AC55" i="1"/>
  <c r="AQ54" i="1"/>
  <c r="AR54" i="1"/>
  <c r="Y54" i="1"/>
  <c r="Z54" i="1"/>
  <c r="AA54" i="1"/>
  <c r="AB54" i="1"/>
  <c r="AC54" i="1"/>
  <c r="AQ53" i="1"/>
  <c r="AR53" i="1"/>
  <c r="AQ51" i="1"/>
  <c r="AR51" i="1"/>
  <c r="Y51" i="1"/>
  <c r="Z51" i="1"/>
  <c r="AA51" i="1"/>
  <c r="AB51" i="1"/>
  <c r="AC51" i="1"/>
  <c r="AQ50" i="1"/>
  <c r="AR50" i="1"/>
  <c r="AB5" i="22"/>
  <c r="AB6" i="22"/>
  <c r="AB7" i="22"/>
  <c r="AB8" i="22"/>
  <c r="AB9" i="22"/>
  <c r="AB10" i="22"/>
  <c r="AB11" i="22"/>
  <c r="AB12" i="22"/>
  <c r="AB13" i="22"/>
  <c r="AB14" i="22"/>
  <c r="AB15" i="22"/>
  <c r="AB16" i="22"/>
  <c r="AB17" i="22"/>
  <c r="AB18" i="22"/>
  <c r="AB19" i="22"/>
  <c r="AB20" i="22"/>
  <c r="AB21" i="22"/>
  <c r="AB22" i="22"/>
  <c r="AB23" i="22"/>
  <c r="AB24" i="22"/>
  <c r="AB25" i="22"/>
  <c r="AB26" i="22"/>
  <c r="AB27" i="22"/>
  <c r="AB28" i="22"/>
  <c r="AB29" i="22"/>
  <c r="AB30" i="22"/>
  <c r="AB31" i="22"/>
  <c r="AB32" i="22"/>
  <c r="AB33" i="22"/>
  <c r="AB34" i="22"/>
  <c r="AB35" i="22"/>
  <c r="AB36" i="22"/>
  <c r="AB37" i="22"/>
  <c r="AB38" i="22"/>
  <c r="AB39" i="22"/>
  <c r="AB40" i="22"/>
  <c r="AB41" i="22"/>
  <c r="AB42" i="22"/>
  <c r="J20" i="22" l="1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AA20" i="22"/>
  <c r="AA21" i="22"/>
  <c r="AA22" i="22"/>
  <c r="AA23" i="22"/>
  <c r="AA24" i="22"/>
  <c r="AA25" i="22"/>
  <c r="AA26" i="22"/>
  <c r="AA27" i="22"/>
  <c r="AA28" i="22"/>
  <c r="AA29" i="22"/>
  <c r="AA30" i="22"/>
  <c r="AA31" i="22"/>
  <c r="AA32" i="22"/>
  <c r="AA33" i="22"/>
  <c r="AA34" i="22"/>
  <c r="AA35" i="22"/>
  <c r="AA36" i="22"/>
  <c r="AA37" i="22"/>
  <c r="AA38" i="22"/>
  <c r="AA39" i="22"/>
  <c r="AA40" i="22"/>
  <c r="AA41" i="22"/>
  <c r="AA42" i="22"/>
  <c r="AC20" i="22"/>
  <c r="AC21" i="22"/>
  <c r="AC22" i="22"/>
  <c r="AC23" i="22"/>
  <c r="AC24" i="22"/>
  <c r="AC25" i="22"/>
  <c r="AC26" i="22"/>
  <c r="AC27" i="22"/>
  <c r="AC28" i="22"/>
  <c r="AC29" i="22"/>
  <c r="AC30" i="22"/>
  <c r="AC31" i="22"/>
  <c r="AC32" i="22"/>
  <c r="AC33" i="22"/>
  <c r="AC34" i="22"/>
  <c r="AC35" i="22"/>
  <c r="AC36" i="22"/>
  <c r="AC37" i="22"/>
  <c r="AC38" i="22"/>
  <c r="AC39" i="22"/>
  <c r="AC40" i="22"/>
  <c r="AC41" i="22"/>
  <c r="AC42" i="22"/>
  <c r="AM20" i="22"/>
  <c r="AM21" i="22"/>
  <c r="AM22" i="22"/>
  <c r="AM23" i="22"/>
  <c r="AM24" i="22"/>
  <c r="AM25" i="22"/>
  <c r="AM26" i="22"/>
  <c r="AM27" i="22"/>
  <c r="AM28" i="22"/>
  <c r="AM29" i="22"/>
  <c r="AM30" i="22"/>
  <c r="AM31" i="22"/>
  <c r="AM32" i="22"/>
  <c r="AM33" i="22"/>
  <c r="AM34" i="22"/>
  <c r="AM35" i="22"/>
  <c r="AM36" i="22"/>
  <c r="AM37" i="22"/>
  <c r="AM38" i="22"/>
  <c r="AM39" i="22"/>
  <c r="AM40" i="22"/>
  <c r="AM41" i="22"/>
  <c r="AM42" i="22"/>
  <c r="J17" i="22"/>
  <c r="J18" i="22"/>
  <c r="J19" i="22"/>
  <c r="AA17" i="22"/>
  <c r="AA18" i="22"/>
  <c r="AA19" i="22"/>
  <c r="AM17" i="22"/>
  <c r="AM18" i="22"/>
  <c r="AM19" i="22"/>
  <c r="AC19" i="22" l="1"/>
  <c r="AC17" i="22"/>
  <c r="AC18" i="22"/>
  <c r="AA5" i="22" l="1"/>
  <c r="AA6" i="22"/>
  <c r="AA7" i="22"/>
  <c r="AA8" i="22"/>
  <c r="AA9" i="22"/>
  <c r="AA10" i="22"/>
  <c r="AA11" i="22"/>
  <c r="AA12" i="22"/>
  <c r="AA13" i="22"/>
  <c r="AA14" i="22"/>
  <c r="AA15" i="22"/>
  <c r="AA16" i="22"/>
  <c r="AM5" i="22" l="1"/>
  <c r="AM6" i="22"/>
  <c r="AM7" i="22"/>
  <c r="AM8" i="22"/>
  <c r="AM9" i="22"/>
  <c r="AM10" i="22"/>
  <c r="AM11" i="22"/>
  <c r="AM12" i="22"/>
  <c r="AM13" i="22"/>
  <c r="AM14" i="22"/>
  <c r="AM15" i="22"/>
  <c r="AM16" i="22"/>
  <c r="AC13" i="22"/>
  <c r="AC5" i="22"/>
  <c r="AC6" i="22"/>
  <c r="AC7" i="22"/>
  <c r="AC8" i="22"/>
  <c r="AC9" i="22"/>
  <c r="AC10" i="22"/>
  <c r="AC11" i="22"/>
  <c r="AC12" i="22"/>
  <c r="AC14" i="22"/>
  <c r="AC15" i="22"/>
  <c r="AC16" i="22"/>
  <c r="J6" i="22"/>
  <c r="J7" i="22"/>
  <c r="J8" i="22"/>
  <c r="J9" i="22"/>
  <c r="J10" i="22"/>
  <c r="J11" i="22"/>
  <c r="J12" i="22"/>
  <c r="J13" i="22"/>
  <c r="J14" i="22"/>
  <c r="J15" i="22"/>
  <c r="J16" i="22"/>
  <c r="G15" i="3" l="1"/>
  <c r="G14" i="3"/>
  <c r="G13" i="3"/>
  <c r="G12" i="3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9"/>
  <c r="D1" i="19" s="1"/>
  <c r="G1" i="17"/>
  <c r="D1" i="17" s="1"/>
  <c r="G1" i="14"/>
  <c r="D1" i="14" s="1"/>
  <c r="G1" i="13"/>
  <c r="F1" i="13" s="1"/>
  <c r="G1" i="12"/>
  <c r="G1" i="11"/>
  <c r="D1" i="11" s="1"/>
  <c r="E1" i="11" s="1"/>
  <c r="B4" i="11" s="1"/>
  <c r="J4" i="11" s="1"/>
  <c r="G1" i="9"/>
  <c r="D1" i="9" s="1"/>
  <c r="G1" i="8"/>
  <c r="D1" i="8" s="1"/>
  <c r="F1" i="10"/>
  <c r="C1" i="10" s="1"/>
  <c r="G1" i="6"/>
  <c r="D1" i="6" s="1"/>
  <c r="G1" i="5"/>
  <c r="F1" i="5" s="1"/>
  <c r="G1" i="7"/>
  <c r="G1" i="4"/>
  <c r="D1" i="4" s="1"/>
  <c r="AV48" i="1"/>
  <c r="AS48" i="1"/>
  <c r="AP48" i="1"/>
  <c r="AH48" i="1"/>
  <c r="AG48" i="1" s="1"/>
  <c r="AV47" i="1"/>
  <c r="AP47" i="1"/>
  <c r="AS47" i="1" s="1"/>
  <c r="AH47" i="1"/>
  <c r="AG47" i="1" s="1"/>
  <c r="AV46" i="1"/>
  <c r="AP46" i="1"/>
  <c r="AH46" i="1"/>
  <c r="AG46" i="1" s="1"/>
  <c r="AV45" i="1"/>
  <c r="AS45" i="1"/>
  <c r="AP45" i="1"/>
  <c r="AH45" i="1"/>
  <c r="AG45" i="1" s="1"/>
  <c r="AV44" i="1"/>
  <c r="AS44" i="1"/>
  <c r="AP44" i="1"/>
  <c r="AH44" i="1"/>
  <c r="X44" i="1" s="1"/>
  <c r="AV43" i="1"/>
  <c r="AS43" i="1"/>
  <c r="AP43" i="1"/>
  <c r="AH43" i="1"/>
  <c r="AG43" i="1" s="1"/>
  <c r="AV42" i="1"/>
  <c r="AS42" i="1"/>
  <c r="AP42" i="1"/>
  <c r="AH42" i="1"/>
  <c r="AG42" i="1" s="1"/>
  <c r="AV41" i="1"/>
  <c r="AP41" i="1"/>
  <c r="AH41" i="1"/>
  <c r="AG41" i="1" s="1"/>
  <c r="AV40" i="1"/>
  <c r="AS40" i="1"/>
  <c r="AP40" i="1"/>
  <c r="AH40" i="1"/>
  <c r="AG40" i="1"/>
  <c r="X40" i="1"/>
  <c r="AC40" i="1" s="1"/>
  <c r="AV39" i="1"/>
  <c r="AP39" i="1"/>
  <c r="AH39" i="1"/>
  <c r="AV38" i="1"/>
  <c r="AP38" i="1"/>
  <c r="AS38" i="1" s="1"/>
  <c r="AH38" i="1"/>
  <c r="AG38" i="1" s="1"/>
  <c r="AV37" i="1"/>
  <c r="AP37" i="1"/>
  <c r="AH37" i="1"/>
  <c r="AG37" i="1" s="1"/>
  <c r="AV36" i="1"/>
  <c r="AS36" i="1"/>
  <c r="AP36" i="1"/>
  <c r="AH36" i="1"/>
  <c r="AG36" i="1" s="1"/>
  <c r="AV35" i="1"/>
  <c r="AS35" i="1"/>
  <c r="AP35" i="1"/>
  <c r="AH35" i="1"/>
  <c r="AG35" i="1" s="1"/>
  <c r="AV34" i="1"/>
  <c r="AS34" i="1"/>
  <c r="AP34" i="1"/>
  <c r="AH34" i="1"/>
  <c r="AG34" i="1" s="1"/>
  <c r="AV33" i="1"/>
  <c r="AS33" i="1"/>
  <c r="AP33" i="1"/>
  <c r="AH33" i="1"/>
  <c r="AG33" i="1" s="1"/>
  <c r="AV32" i="1"/>
  <c r="AS32" i="1"/>
  <c r="AP32" i="1"/>
  <c r="AH32" i="1"/>
  <c r="AG32" i="1" s="1"/>
  <c r="AV31" i="1"/>
  <c r="AP31" i="1"/>
  <c r="AH31" i="1"/>
  <c r="AG31" i="1" s="1"/>
  <c r="AV30" i="1"/>
  <c r="AP30" i="1"/>
  <c r="AS30" i="1" s="1"/>
  <c r="AH30" i="1"/>
  <c r="AG30" i="1"/>
  <c r="X30" i="1"/>
  <c r="AV29" i="1"/>
  <c r="AS29" i="1"/>
  <c r="AP29" i="1"/>
  <c r="AH29" i="1"/>
  <c r="AG29" i="1" s="1"/>
  <c r="AV28" i="1"/>
  <c r="AP28" i="1"/>
  <c r="AS28" i="1" s="1"/>
  <c r="AH28" i="1"/>
  <c r="AG28" i="1" s="1"/>
  <c r="AV27" i="1"/>
  <c r="AS27" i="1"/>
  <c r="AP27" i="1"/>
  <c r="AH27" i="1"/>
  <c r="AG27" i="1" s="1"/>
  <c r="AV26" i="1"/>
  <c r="AS26" i="1"/>
  <c r="AP26" i="1"/>
  <c r="AH26" i="1"/>
  <c r="AG26" i="1" s="1"/>
  <c r="AV25" i="1"/>
  <c r="AP25" i="1"/>
  <c r="AS25" i="1" s="1"/>
  <c r="AH25" i="1"/>
  <c r="AG25" i="1" s="1"/>
  <c r="AV24" i="1"/>
  <c r="AP24" i="1"/>
  <c r="AS24" i="1" s="1"/>
  <c r="AH24" i="1"/>
  <c r="AG24" i="1" s="1"/>
  <c r="AV23" i="1"/>
  <c r="AS23" i="1"/>
  <c r="AP23" i="1"/>
  <c r="AH23" i="1"/>
  <c r="AG23" i="1" s="1"/>
  <c r="AV22" i="1"/>
  <c r="AS22" i="1"/>
  <c r="AP22" i="1"/>
  <c r="AH22" i="1"/>
  <c r="AG22" i="1" s="1"/>
  <c r="AV21" i="1"/>
  <c r="AS21" i="1"/>
  <c r="AP21" i="1"/>
  <c r="AH21" i="1"/>
  <c r="AG21" i="1" s="1"/>
  <c r="AV20" i="1"/>
  <c r="AS20" i="1"/>
  <c r="AP20" i="1"/>
  <c r="AH20" i="1"/>
  <c r="AG20" i="1" s="1"/>
  <c r="AV19" i="1"/>
  <c r="AP19" i="1"/>
  <c r="AH19" i="1"/>
  <c r="AG19" i="1" s="1"/>
  <c r="AV18" i="1"/>
  <c r="AS18" i="1"/>
  <c r="AP18" i="1"/>
  <c r="AH18" i="1"/>
  <c r="X18" i="1" s="1"/>
  <c r="AV17" i="1"/>
  <c r="AS17" i="1"/>
  <c r="AP17" i="1"/>
  <c r="AH17" i="1"/>
  <c r="AG17" i="1" s="1"/>
  <c r="AV16" i="1"/>
  <c r="AS16" i="1"/>
  <c r="AP16" i="1"/>
  <c r="AH16" i="1"/>
  <c r="AG16" i="1" s="1"/>
  <c r="AV15" i="1"/>
  <c r="AS15" i="1"/>
  <c r="AP15" i="1"/>
  <c r="AH15" i="1"/>
  <c r="AG15" i="1" s="1"/>
  <c r="AV14" i="1"/>
  <c r="AS14" i="1"/>
  <c r="AP14" i="1"/>
  <c r="AH14" i="1"/>
  <c r="AG14" i="1" s="1"/>
  <c r="AV13" i="1"/>
  <c r="AS13" i="1"/>
  <c r="AP13" i="1"/>
  <c r="AH13" i="1"/>
  <c r="AG13" i="1" s="1"/>
  <c r="AV12" i="1"/>
  <c r="AP12" i="1"/>
  <c r="AH12" i="1"/>
  <c r="AG12" i="1" s="1"/>
  <c r="AV11" i="1"/>
  <c r="AS11" i="1"/>
  <c r="AP11" i="1"/>
  <c r="AH11" i="1"/>
  <c r="X11" i="1" s="1"/>
  <c r="AG11" i="1"/>
  <c r="AV10" i="1"/>
  <c r="AP10" i="1"/>
  <c r="AS10" i="1" s="1"/>
  <c r="AH10" i="1"/>
  <c r="AG10" i="1" s="1"/>
  <c r="AV9" i="1"/>
  <c r="AS9" i="1"/>
  <c r="AP9" i="1"/>
  <c r="AH9" i="1"/>
  <c r="AG9" i="1" s="1"/>
  <c r="AV8" i="1"/>
  <c r="AP8" i="1"/>
  <c r="AS8" i="1" s="1"/>
  <c r="AH8" i="1"/>
  <c r="AG8" i="1" s="1"/>
  <c r="AV7" i="1"/>
  <c r="AS7" i="1"/>
  <c r="AP7" i="1"/>
  <c r="AH7" i="1"/>
  <c r="AG7" i="1" s="1"/>
  <c r="AV6" i="1"/>
  <c r="AP6" i="1"/>
  <c r="AS6" i="1" s="1"/>
  <c r="AH6" i="1"/>
  <c r="AG6" i="1" s="1"/>
  <c r="AV5" i="1"/>
  <c r="AS5" i="1"/>
  <c r="AP5" i="1"/>
  <c r="AH5" i="1"/>
  <c r="AG5" i="1" s="1"/>
  <c r="AV4" i="1"/>
  <c r="AP4" i="1"/>
  <c r="AS4" i="1" s="1"/>
  <c r="AH4" i="1"/>
  <c r="AG4" i="1" s="1"/>
  <c r="AV3" i="1"/>
  <c r="AS3" i="1"/>
  <c r="AP3" i="1"/>
  <c r="AH3" i="1"/>
  <c r="AG3" i="1" s="1"/>
  <c r="H1" i="1"/>
  <c r="X36" i="1" l="1"/>
  <c r="X38" i="1"/>
  <c r="AG18" i="1"/>
  <c r="X45" i="1"/>
  <c r="AD23" i="22"/>
  <c r="AE23" i="22" s="1"/>
  <c r="AD24" i="22"/>
  <c r="AE24" i="22" s="1"/>
  <c r="AD25" i="22"/>
  <c r="AE25" i="22" s="1"/>
  <c r="AD40" i="22"/>
  <c r="AE40" i="22" s="1"/>
  <c r="AD42" i="22"/>
  <c r="AE42" i="22" s="1"/>
  <c r="X48" i="1"/>
  <c r="AG44" i="1"/>
  <c r="AD36" i="22"/>
  <c r="AE36" i="22" s="1"/>
  <c r="AR5" i="1"/>
  <c r="AR11" i="1"/>
  <c r="AS19" i="1"/>
  <c r="AR19" i="1"/>
  <c r="AR26" i="1"/>
  <c r="AR30" i="1"/>
  <c r="AR32" i="1"/>
  <c r="AR36" i="1"/>
  <c r="AR38" i="1"/>
  <c r="AR40" i="1"/>
  <c r="AR42" i="1"/>
  <c r="AR44" i="1"/>
  <c r="AR46" i="1"/>
  <c r="AR3" i="1"/>
  <c r="AR7" i="1"/>
  <c r="AR9" i="1"/>
  <c r="AS12" i="1"/>
  <c r="AR12" i="1"/>
  <c r="AR13" i="1"/>
  <c r="AR15" i="1"/>
  <c r="AR17" i="1"/>
  <c r="AR18" i="1"/>
  <c r="AR20" i="1"/>
  <c r="AR22" i="1"/>
  <c r="AR24" i="1"/>
  <c r="AR28" i="1"/>
  <c r="AS31" i="1"/>
  <c r="AR31" i="1"/>
  <c r="AR34" i="1"/>
  <c r="AS37" i="1"/>
  <c r="AR37" i="1"/>
  <c r="AS39" i="1"/>
  <c r="AS41" i="1"/>
  <c r="AR41" i="1"/>
  <c r="AR45" i="1"/>
  <c r="AR47" i="1"/>
  <c r="AR4" i="1"/>
  <c r="AR6" i="1"/>
  <c r="AR8" i="1"/>
  <c r="AR10" i="1"/>
  <c r="AR14" i="1"/>
  <c r="AR16" i="1"/>
  <c r="AR21" i="1"/>
  <c r="AR23" i="1"/>
  <c r="AR25" i="1"/>
  <c r="AR27" i="1"/>
  <c r="AR29" i="1"/>
  <c r="AR33" i="1"/>
  <c r="AR35" i="1"/>
  <c r="AR43" i="1"/>
  <c r="AR48" i="1"/>
  <c r="AD18" i="22"/>
  <c r="AE18" i="22" s="1"/>
  <c r="AD26" i="22"/>
  <c r="AE26" i="22" s="1"/>
  <c r="AD27" i="22"/>
  <c r="AE27" i="22" s="1"/>
  <c r="AD29" i="22"/>
  <c r="AE29" i="22" s="1"/>
  <c r="AD31" i="22"/>
  <c r="AE31" i="22" s="1"/>
  <c r="AD35" i="22"/>
  <c r="AE35" i="22" s="1"/>
  <c r="AD37" i="22"/>
  <c r="AE37" i="22" s="1"/>
  <c r="AD39" i="22"/>
  <c r="AE39" i="22" s="1"/>
  <c r="AD41" i="22"/>
  <c r="AE41" i="22" s="1"/>
  <c r="AD30" i="22"/>
  <c r="AE30" i="22" s="1"/>
  <c r="AD32" i="22"/>
  <c r="AE32" i="22" s="1"/>
  <c r="AD33" i="22"/>
  <c r="AE33" i="22" s="1"/>
  <c r="AD38" i="22"/>
  <c r="AE38" i="22" s="1"/>
  <c r="AQ19" i="1"/>
  <c r="AQ37" i="1"/>
  <c r="AQ41" i="1"/>
  <c r="AQ46" i="1"/>
  <c r="X41" i="1"/>
  <c r="Y41" i="1" s="1"/>
  <c r="Z41" i="1" s="1"/>
  <c r="X42" i="1"/>
  <c r="Y42" i="1" s="1"/>
  <c r="X43" i="1"/>
  <c r="Y43" i="1" s="1"/>
  <c r="Z43" i="1" s="1"/>
  <c r="X46" i="1"/>
  <c r="Y46" i="1" s="1"/>
  <c r="Z46" i="1" s="1"/>
  <c r="X47" i="1"/>
  <c r="Y47" i="1" s="1"/>
  <c r="AQ47" i="1"/>
  <c r="AQ8" i="1"/>
  <c r="AQ10" i="1"/>
  <c r="X19" i="1"/>
  <c r="Y19" i="1" s="1"/>
  <c r="Z19" i="1" s="1"/>
  <c r="X20" i="1"/>
  <c r="Y20" i="1" s="1"/>
  <c r="Z20" i="1" s="1"/>
  <c r="X21" i="1"/>
  <c r="Y21" i="1" s="1"/>
  <c r="X22" i="1"/>
  <c r="Y22" i="1" s="1"/>
  <c r="Z22" i="1" s="1"/>
  <c r="AQ23" i="1"/>
  <c r="X25" i="1"/>
  <c r="Y25" i="1" s="1"/>
  <c r="X26" i="1"/>
  <c r="Y26" i="1" s="1"/>
  <c r="Z26" i="1" s="1"/>
  <c r="X27" i="1"/>
  <c r="Y27" i="1" s="1"/>
  <c r="AQ28" i="1"/>
  <c r="AQ45" i="1"/>
  <c r="AD8" i="22"/>
  <c r="AE8" i="22" s="1"/>
  <c r="AD10" i="22"/>
  <c r="AE10" i="22" s="1"/>
  <c r="AD12" i="22"/>
  <c r="AE12" i="22" s="1"/>
  <c r="E1" i="4"/>
  <c r="B49" i="4" s="1"/>
  <c r="E1" i="19"/>
  <c r="B20" i="19" s="1"/>
  <c r="D1" i="13"/>
  <c r="AG39" i="1"/>
  <c r="AD34" i="22" s="1"/>
  <c r="AE34" i="22" s="1"/>
  <c r="X39" i="1"/>
  <c r="AQ7" i="1"/>
  <c r="AQ9" i="1"/>
  <c r="AQ20" i="1"/>
  <c r="AQ21" i="1"/>
  <c r="AQ22" i="1"/>
  <c r="AQ24" i="1"/>
  <c r="AQ25" i="1"/>
  <c r="AQ26" i="1"/>
  <c r="AQ27" i="1"/>
  <c r="AQ29" i="1"/>
  <c r="E1" i="6"/>
  <c r="B5" i="6" s="1"/>
  <c r="E1" i="17"/>
  <c r="B22" i="17" s="1"/>
  <c r="D1" i="5"/>
  <c r="E1" i="5" s="1"/>
  <c r="B47" i="5" s="1"/>
  <c r="D1" i="10"/>
  <c r="A11" i="10" s="1"/>
  <c r="AQ12" i="1"/>
  <c r="AQ31" i="1"/>
  <c r="X23" i="1"/>
  <c r="Y23" i="1" s="1"/>
  <c r="X24" i="1"/>
  <c r="Y24" i="1" s="1"/>
  <c r="Z24" i="1" s="1"/>
  <c r="X7" i="1"/>
  <c r="Y7" i="1" s="1"/>
  <c r="X8" i="1"/>
  <c r="Y8" i="1" s="1"/>
  <c r="X9" i="1"/>
  <c r="Y9" i="1" s="1"/>
  <c r="X10" i="1"/>
  <c r="Y10" i="1" s="1"/>
  <c r="X12" i="1"/>
  <c r="Y12" i="1" s="1"/>
  <c r="X13" i="1"/>
  <c r="Y13" i="1" s="1"/>
  <c r="Z13" i="1" s="1"/>
  <c r="X14" i="1"/>
  <c r="Y14" i="1" s="1"/>
  <c r="X15" i="1"/>
  <c r="Y15" i="1" s="1"/>
  <c r="Z15" i="1" s="1"/>
  <c r="X16" i="1"/>
  <c r="Y16" i="1" s="1"/>
  <c r="X17" i="1"/>
  <c r="Y17" i="1" s="1"/>
  <c r="Z17" i="1" s="1"/>
  <c r="X28" i="1"/>
  <c r="X29" i="1"/>
  <c r="Y29" i="1" s="1"/>
  <c r="X31" i="1"/>
  <c r="X32" i="1"/>
  <c r="Y32" i="1" s="1"/>
  <c r="Z32" i="1" s="1"/>
  <c r="X33" i="1"/>
  <c r="Y33" i="1" s="1"/>
  <c r="Z33" i="1" s="1"/>
  <c r="X34" i="1"/>
  <c r="Y34" i="1" s="1"/>
  <c r="Z34" i="1" s="1"/>
  <c r="X35" i="1"/>
  <c r="Y35" i="1" s="1"/>
  <c r="Z35" i="1" s="1"/>
  <c r="AQ36" i="1"/>
  <c r="X37" i="1"/>
  <c r="Y37" i="1" s="1"/>
  <c r="E1" i="8"/>
  <c r="B8" i="8" s="1"/>
  <c r="I8" i="8" s="1"/>
  <c r="F1" i="12"/>
  <c r="D1" i="12"/>
  <c r="E1" i="12" s="1"/>
  <c r="E1" i="13"/>
  <c r="B18" i="13" s="1"/>
  <c r="AQ13" i="1"/>
  <c r="AQ14" i="1"/>
  <c r="AQ15" i="1"/>
  <c r="AQ16" i="1"/>
  <c r="AQ17" i="1"/>
  <c r="AQ32" i="1"/>
  <c r="AQ33" i="1"/>
  <c r="AQ34" i="1"/>
  <c r="AQ35" i="1"/>
  <c r="AQ42" i="1"/>
  <c r="AQ43" i="1"/>
  <c r="AQ11" i="1"/>
  <c r="AQ18" i="1"/>
  <c r="AQ30" i="1"/>
  <c r="AQ38" i="1"/>
  <c r="AQ40" i="1"/>
  <c r="AQ44" i="1"/>
  <c r="AS46" i="1"/>
  <c r="AQ48" i="1"/>
  <c r="E1" i="9"/>
  <c r="B18" i="9" s="1"/>
  <c r="G18" i="9" s="1"/>
  <c r="E1" i="14"/>
  <c r="B10" i="14" s="1"/>
  <c r="G10" i="14" s="1"/>
  <c r="X3" i="1"/>
  <c r="AQ3" i="1"/>
  <c r="X4" i="1"/>
  <c r="AQ4" i="1"/>
  <c r="X5" i="1"/>
  <c r="AQ5" i="1"/>
  <c r="X6" i="1"/>
  <c r="AQ6" i="1"/>
  <c r="Y11" i="1"/>
  <c r="Y18" i="1"/>
  <c r="Z18" i="1" s="1"/>
  <c r="Z40" i="1"/>
  <c r="AB40" i="1"/>
  <c r="Y28" i="1"/>
  <c r="Z28" i="1" s="1"/>
  <c r="Y30" i="1"/>
  <c r="Z30" i="1" s="1"/>
  <c r="Y31" i="1"/>
  <c r="Z31" i="1" s="1"/>
  <c r="Y36" i="1"/>
  <c r="Z36" i="1" s="1"/>
  <c r="Y38" i="1"/>
  <c r="Z38" i="1" s="1"/>
  <c r="Y40" i="1"/>
  <c r="AA40" i="1"/>
  <c r="Y44" i="1"/>
  <c r="Y45" i="1"/>
  <c r="Y48" i="1"/>
  <c r="Z48" i="1" s="1"/>
  <c r="F1" i="7"/>
  <c r="D1" i="7"/>
  <c r="E1" i="7" s="1"/>
  <c r="I4" i="11"/>
  <c r="K4" i="11" s="1"/>
  <c r="G4" i="11"/>
  <c r="E4" i="11"/>
  <c r="C4" i="11"/>
  <c r="H4" i="11"/>
  <c r="D4" i="11"/>
  <c r="F4" i="11"/>
  <c r="B5" i="11"/>
  <c r="B6" i="11"/>
  <c r="A60" i="2"/>
  <c r="AQ39" i="1" l="1"/>
  <c r="AD28" i="22"/>
  <c r="AE28" i="22" s="1"/>
  <c r="Z11" i="1"/>
  <c r="AA11" i="1" s="1"/>
  <c r="AB11" i="1"/>
  <c r="AC11" i="1" s="1"/>
  <c r="AD22" i="22"/>
  <c r="AE22" i="22" s="1"/>
  <c r="Z14" i="1"/>
  <c r="AD7" i="22"/>
  <c r="AE7" i="22" s="1"/>
  <c r="B3" i="8"/>
  <c r="H3" i="8" s="1"/>
  <c r="B8" i="6"/>
  <c r="H8" i="6" s="1"/>
  <c r="AD6" i="22"/>
  <c r="AE6" i="22" s="1"/>
  <c r="B9" i="19"/>
  <c r="H9" i="19" s="1"/>
  <c r="AD17" i="22"/>
  <c r="AE17" i="22" s="1"/>
  <c r="B18" i="19"/>
  <c r="G18" i="19" s="1"/>
  <c r="B22" i="8"/>
  <c r="G22" i="8" s="1"/>
  <c r="B17" i="6"/>
  <c r="G17" i="6" s="1"/>
  <c r="A10" i="10"/>
  <c r="M10" i="10" s="1"/>
  <c r="B24" i="9"/>
  <c r="I24" i="9" s="1"/>
  <c r="B11" i="19"/>
  <c r="J11" i="19" s="1"/>
  <c r="B10" i="19"/>
  <c r="I10" i="19" s="1"/>
  <c r="B24" i="8"/>
  <c r="C24" i="8" s="1"/>
  <c r="B11" i="8"/>
  <c r="H11" i="8" s="1"/>
  <c r="B23" i="8"/>
  <c r="D23" i="8" s="1"/>
  <c r="J8" i="8"/>
  <c r="K8" i="8" s="1"/>
  <c r="B15" i="6"/>
  <c r="F15" i="6" s="1"/>
  <c r="B16" i="6"/>
  <c r="D16" i="6" s="1"/>
  <c r="A6" i="10"/>
  <c r="M6" i="10" s="1"/>
  <c r="AA48" i="1"/>
  <c r="AB48" i="1" s="1"/>
  <c r="AC48" i="1" s="1"/>
  <c r="Z45" i="1"/>
  <c r="Z44" i="1"/>
  <c r="AA30" i="1"/>
  <c r="AB30" i="1" s="1"/>
  <c r="AC30" i="1" s="1"/>
  <c r="B15" i="19"/>
  <c r="H15" i="19" s="1"/>
  <c r="B5" i="19"/>
  <c r="J5" i="19" s="1"/>
  <c r="B17" i="19"/>
  <c r="C17" i="19" s="1"/>
  <c r="B14" i="19"/>
  <c r="B22" i="19"/>
  <c r="D22" i="19" s="1"/>
  <c r="B10" i="8"/>
  <c r="G10" i="8" s="1"/>
  <c r="B7" i="8"/>
  <c r="J7" i="8" s="1"/>
  <c r="B15" i="8"/>
  <c r="H15" i="8" s="1"/>
  <c r="B19" i="8"/>
  <c r="J19" i="8" s="1"/>
  <c r="E8" i="8"/>
  <c r="B7" i="6"/>
  <c r="I7" i="6" s="1"/>
  <c r="B4" i="6"/>
  <c r="G4" i="6" s="1"/>
  <c r="B12" i="6"/>
  <c r="D12" i="6" s="1"/>
  <c r="B20" i="6"/>
  <c r="A4" i="10"/>
  <c r="M4" i="10" s="1"/>
  <c r="A8" i="10"/>
  <c r="M8" i="10" s="1"/>
  <c r="AA38" i="1"/>
  <c r="AB38" i="1" s="1"/>
  <c r="AC38" i="1" s="1"/>
  <c r="AA36" i="1"/>
  <c r="AB36" i="1" s="1"/>
  <c r="AC36" i="1" s="1"/>
  <c r="AR39" i="1"/>
  <c r="AA18" i="1"/>
  <c r="AB18" i="1" s="1"/>
  <c r="AC18" i="1" s="1"/>
  <c r="B10" i="17"/>
  <c r="I10" i="17" s="1"/>
  <c r="B30" i="5"/>
  <c r="H30" i="5" s="1"/>
  <c r="B11" i="13"/>
  <c r="J11" i="13" s="1"/>
  <c r="B35" i="4"/>
  <c r="D35" i="4" s="1"/>
  <c r="B47" i="13"/>
  <c r="G47" i="13" s="1"/>
  <c r="B45" i="5"/>
  <c r="F45" i="5" s="1"/>
  <c r="B16" i="13"/>
  <c r="G16" i="13" s="1"/>
  <c r="B27" i="13"/>
  <c r="I27" i="13" s="1"/>
  <c r="L27" i="13" s="1"/>
  <c r="B7" i="17"/>
  <c r="F7" i="17" s="1"/>
  <c r="B20" i="17"/>
  <c r="F20" i="17" s="1"/>
  <c r="B7" i="14"/>
  <c r="B29" i="5"/>
  <c r="H29" i="5" s="1"/>
  <c r="B32" i="4"/>
  <c r="I32" i="4" s="1"/>
  <c r="B51" i="4"/>
  <c r="G51" i="4" s="1"/>
  <c r="B32" i="13"/>
  <c r="G32" i="13" s="1"/>
  <c r="B3" i="13"/>
  <c r="J3" i="13" s="1"/>
  <c r="B19" i="13"/>
  <c r="H19" i="13" s="1"/>
  <c r="B35" i="13"/>
  <c r="I35" i="13" s="1"/>
  <c r="L35" i="13" s="1"/>
  <c r="B46" i="13"/>
  <c r="H46" i="13" s="1"/>
  <c r="B17" i="17"/>
  <c r="D17" i="17" s="1"/>
  <c r="B12" i="17"/>
  <c r="G12" i="17" s="1"/>
  <c r="B32" i="5"/>
  <c r="G32" i="5" s="1"/>
  <c r="B46" i="5"/>
  <c r="H46" i="5" s="1"/>
  <c r="B37" i="5"/>
  <c r="H37" i="5" s="1"/>
  <c r="B38" i="4"/>
  <c r="D38" i="4" s="1"/>
  <c r="B48" i="4"/>
  <c r="G48" i="4" s="1"/>
  <c r="B43" i="4"/>
  <c r="D43" i="4" s="1"/>
  <c r="B6" i="19"/>
  <c r="F6" i="19" s="1"/>
  <c r="B8" i="19"/>
  <c r="I8" i="19" s="1"/>
  <c r="B19" i="19"/>
  <c r="F19" i="19" s="1"/>
  <c r="B7" i="19"/>
  <c r="I7" i="19" s="1"/>
  <c r="B13" i="19"/>
  <c r="H13" i="19" s="1"/>
  <c r="B21" i="19"/>
  <c r="H21" i="19" s="1"/>
  <c r="B12" i="19"/>
  <c r="C12" i="19" s="1"/>
  <c r="B16" i="19"/>
  <c r="I16" i="19" s="1"/>
  <c r="B14" i="8"/>
  <c r="E14" i="8" s="1"/>
  <c r="B6" i="8"/>
  <c r="B5" i="8"/>
  <c r="H5" i="8" s="1"/>
  <c r="B9" i="8"/>
  <c r="I9" i="8" s="1"/>
  <c r="B13" i="8"/>
  <c r="I13" i="8" s="1"/>
  <c r="B18" i="8"/>
  <c r="B17" i="8"/>
  <c r="C17" i="8" s="1"/>
  <c r="B21" i="8"/>
  <c r="E21" i="8" s="1"/>
  <c r="B25" i="8"/>
  <c r="E25" i="8" s="1"/>
  <c r="H8" i="8"/>
  <c r="B9" i="6"/>
  <c r="G9" i="6" s="1"/>
  <c r="B11" i="6"/>
  <c r="J11" i="6" s="1"/>
  <c r="B19" i="6"/>
  <c r="G19" i="6" s="1"/>
  <c r="B6" i="6"/>
  <c r="G6" i="6" s="1"/>
  <c r="B10" i="6"/>
  <c r="C10" i="6" s="1"/>
  <c r="B14" i="6"/>
  <c r="G14" i="6" s="1"/>
  <c r="B18" i="6"/>
  <c r="C18" i="6" s="1"/>
  <c r="B22" i="6"/>
  <c r="G22" i="6" s="1"/>
  <c r="A3" i="10"/>
  <c r="A5" i="10"/>
  <c r="B5" i="10" s="1"/>
  <c r="A7" i="10"/>
  <c r="A9" i="10"/>
  <c r="N9" i="10" s="1"/>
  <c r="B41" i="13"/>
  <c r="B24" i="13"/>
  <c r="J24" i="13" s="1"/>
  <c r="B8" i="13"/>
  <c r="B7" i="13"/>
  <c r="B15" i="13"/>
  <c r="J15" i="13" s="1"/>
  <c r="B23" i="13"/>
  <c r="G23" i="13" s="1"/>
  <c r="B31" i="13"/>
  <c r="B39" i="13"/>
  <c r="B42" i="13"/>
  <c r="J42" i="13" s="1"/>
  <c r="B50" i="13"/>
  <c r="J50" i="13" s="1"/>
  <c r="B13" i="17"/>
  <c r="D13" i="17" s="1"/>
  <c r="B5" i="17"/>
  <c r="B6" i="17"/>
  <c r="E6" i="17" s="1"/>
  <c r="B15" i="17"/>
  <c r="B16" i="17"/>
  <c r="F16" i="17" s="1"/>
  <c r="B6" i="14"/>
  <c r="I6" i="14" s="1"/>
  <c r="F10" i="14"/>
  <c r="B36" i="5"/>
  <c r="J36" i="5" s="1"/>
  <c r="B48" i="5"/>
  <c r="B38" i="5"/>
  <c r="H38" i="5" s="1"/>
  <c r="B25" i="5"/>
  <c r="C25" i="5" s="1"/>
  <c r="B33" i="5"/>
  <c r="B41" i="5"/>
  <c r="B49" i="5"/>
  <c r="J49" i="5" s="1"/>
  <c r="B42" i="4"/>
  <c r="G42" i="4" s="1"/>
  <c r="B40" i="4"/>
  <c r="D40" i="4" s="1"/>
  <c r="B31" i="4"/>
  <c r="D31" i="4" s="1"/>
  <c r="B39" i="4"/>
  <c r="D39" i="4" s="1"/>
  <c r="B47" i="4"/>
  <c r="G47" i="4" s="1"/>
  <c r="B49" i="13"/>
  <c r="D49" i="13" s="1"/>
  <c r="B36" i="13"/>
  <c r="B28" i="13"/>
  <c r="B20" i="13"/>
  <c r="B12" i="13"/>
  <c r="B4" i="13"/>
  <c r="F4" i="13" s="1"/>
  <c r="B5" i="13"/>
  <c r="H5" i="13" s="1"/>
  <c r="B9" i="13"/>
  <c r="E9" i="13" s="1"/>
  <c r="B13" i="13"/>
  <c r="H13" i="13" s="1"/>
  <c r="B17" i="13"/>
  <c r="F17" i="13" s="1"/>
  <c r="B21" i="13"/>
  <c r="H21" i="13" s="1"/>
  <c r="B25" i="13"/>
  <c r="F25" i="13" s="1"/>
  <c r="B29" i="13"/>
  <c r="H29" i="13" s="1"/>
  <c r="B33" i="13"/>
  <c r="E33" i="13" s="1"/>
  <c r="B37" i="13"/>
  <c r="H37" i="13" s="1"/>
  <c r="B43" i="13"/>
  <c r="E43" i="13" s="1"/>
  <c r="B40" i="13"/>
  <c r="H40" i="13" s="1"/>
  <c r="B44" i="13"/>
  <c r="H44" i="13" s="1"/>
  <c r="B48" i="13"/>
  <c r="H48" i="13" s="1"/>
  <c r="B3" i="17"/>
  <c r="G3" i="17" s="1"/>
  <c r="B21" i="17"/>
  <c r="I21" i="17" s="1"/>
  <c r="B9" i="17"/>
  <c r="J9" i="17" s="1"/>
  <c r="B4" i="17"/>
  <c r="G4" i="17" s="1"/>
  <c r="B8" i="17"/>
  <c r="B11" i="17"/>
  <c r="B19" i="17"/>
  <c r="B14" i="17"/>
  <c r="H14" i="17" s="1"/>
  <c r="B18" i="17"/>
  <c r="J18" i="17" s="1"/>
  <c r="B12" i="14"/>
  <c r="B15" i="14"/>
  <c r="E15" i="14" s="1"/>
  <c r="E10" i="14"/>
  <c r="B28" i="5"/>
  <c r="D28" i="5" s="1"/>
  <c r="B44" i="5"/>
  <c r="I44" i="5" s="1"/>
  <c r="B40" i="5"/>
  <c r="F40" i="5" s="1"/>
  <c r="B26" i="5"/>
  <c r="I26" i="5" s="1"/>
  <c r="B34" i="5"/>
  <c r="F34" i="5" s="1"/>
  <c r="B42" i="5"/>
  <c r="I42" i="5" s="1"/>
  <c r="B50" i="5"/>
  <c r="B27" i="5"/>
  <c r="G27" i="5" s="1"/>
  <c r="B31" i="5"/>
  <c r="C31" i="5" s="1"/>
  <c r="B35" i="5"/>
  <c r="G35" i="5" s="1"/>
  <c r="B39" i="5"/>
  <c r="C39" i="5" s="1"/>
  <c r="B43" i="5"/>
  <c r="G43" i="5" s="1"/>
  <c r="B46" i="4"/>
  <c r="G46" i="4" s="1"/>
  <c r="B50" i="4"/>
  <c r="B34" i="4"/>
  <c r="G34" i="4" s="1"/>
  <c r="B36" i="4"/>
  <c r="F36" i="4" s="1"/>
  <c r="B44" i="4"/>
  <c r="G44" i="4" s="1"/>
  <c r="B52" i="4"/>
  <c r="F52" i="4" s="1"/>
  <c r="B33" i="4"/>
  <c r="B37" i="4"/>
  <c r="I37" i="4" s="1"/>
  <c r="B41" i="4"/>
  <c r="C41" i="4" s="1"/>
  <c r="B45" i="4"/>
  <c r="B18" i="14"/>
  <c r="E18" i="14" s="1"/>
  <c r="B22" i="14"/>
  <c r="I22" i="14" s="1"/>
  <c r="B20" i="14"/>
  <c r="F20" i="14" s="1"/>
  <c r="B11" i="14"/>
  <c r="J11" i="14" s="1"/>
  <c r="B19" i="14"/>
  <c r="H10" i="14"/>
  <c r="I10" i="14"/>
  <c r="E18" i="9"/>
  <c r="B6" i="9"/>
  <c r="F6" i="9" s="1"/>
  <c r="B19" i="9"/>
  <c r="G19" i="9" s="1"/>
  <c r="B8" i="9"/>
  <c r="I8" i="9" s="1"/>
  <c r="B11" i="9"/>
  <c r="F11" i="9" s="1"/>
  <c r="F18" i="9"/>
  <c r="Y39" i="1"/>
  <c r="Z39" i="1"/>
  <c r="AA39" i="1" s="1"/>
  <c r="AB39" i="1" s="1"/>
  <c r="AC39" i="1" s="1"/>
  <c r="J18" i="9"/>
  <c r="B22" i="9"/>
  <c r="B16" i="9"/>
  <c r="D16" i="9" s="1"/>
  <c r="B7" i="9"/>
  <c r="F7" i="9" s="1"/>
  <c r="B15" i="9"/>
  <c r="G15" i="9" s="1"/>
  <c r="B23" i="9"/>
  <c r="F23" i="9" s="1"/>
  <c r="H18" i="9"/>
  <c r="I18" i="9"/>
  <c r="J10" i="14"/>
  <c r="B14" i="14"/>
  <c r="J14" i="14" s="1"/>
  <c r="B8" i="14"/>
  <c r="I8" i="14" s="1"/>
  <c r="B16" i="14"/>
  <c r="C16" i="14" s="1"/>
  <c r="B5" i="14"/>
  <c r="G5" i="14" s="1"/>
  <c r="B9" i="14"/>
  <c r="F9" i="14" s="1"/>
  <c r="B13" i="14"/>
  <c r="I13" i="14" s="1"/>
  <c r="B17" i="14"/>
  <c r="F17" i="14" s="1"/>
  <c r="B21" i="14"/>
  <c r="J21" i="14" s="1"/>
  <c r="D10" i="14"/>
  <c r="C10" i="14"/>
  <c r="Z16" i="1"/>
  <c r="Z12" i="1"/>
  <c r="AD20" i="22"/>
  <c r="AE20" i="22" s="1"/>
  <c r="AD19" i="22"/>
  <c r="AE19" i="22" s="1"/>
  <c r="AD21" i="22"/>
  <c r="AE21" i="22" s="1"/>
  <c r="B10" i="9"/>
  <c r="B14" i="9"/>
  <c r="G14" i="9" s="1"/>
  <c r="B4" i="9"/>
  <c r="I4" i="9" s="1"/>
  <c r="B12" i="9"/>
  <c r="E12" i="9" s="1"/>
  <c r="B20" i="9"/>
  <c r="I20" i="9" s="1"/>
  <c r="B5" i="9"/>
  <c r="F5" i="9" s="1"/>
  <c r="B9" i="9"/>
  <c r="G9" i="9" s="1"/>
  <c r="B13" i="9"/>
  <c r="H13" i="9" s="1"/>
  <c r="B17" i="9"/>
  <c r="B21" i="9"/>
  <c r="F21" i="9" s="1"/>
  <c r="B25" i="9"/>
  <c r="G25" i="9" s="1"/>
  <c r="D18" i="9"/>
  <c r="C18" i="9"/>
  <c r="B21" i="6"/>
  <c r="B4" i="8"/>
  <c r="B22" i="13"/>
  <c r="B13" i="6"/>
  <c r="R60" i="2"/>
  <c r="AD14" i="22"/>
  <c r="AE14" i="22" s="1"/>
  <c r="AD9" i="22"/>
  <c r="AE9" i="22" s="1"/>
  <c r="AD11" i="22"/>
  <c r="AE11" i="22" s="1"/>
  <c r="AD13" i="22"/>
  <c r="AE13" i="22" s="1"/>
  <c r="AD15" i="22"/>
  <c r="AE15" i="22" s="1"/>
  <c r="AD16" i="22"/>
  <c r="AE16" i="22" s="1"/>
  <c r="B12" i="8"/>
  <c r="AD5" i="22"/>
  <c r="AE5" i="22" s="1"/>
  <c r="F18" i="13"/>
  <c r="I18" i="13"/>
  <c r="L18" i="13" s="1"/>
  <c r="M18" i="13" s="1"/>
  <c r="N18" i="13" s="1"/>
  <c r="E18" i="13"/>
  <c r="H18" i="13"/>
  <c r="J18" i="13"/>
  <c r="C18" i="13"/>
  <c r="G18" i="13"/>
  <c r="D18" i="13"/>
  <c r="B34" i="13"/>
  <c r="C5" i="6"/>
  <c r="I5" i="6"/>
  <c r="E5" i="6"/>
  <c r="H5" i="6"/>
  <c r="J5" i="6"/>
  <c r="G5" i="6"/>
  <c r="D5" i="6"/>
  <c r="F5" i="6"/>
  <c r="AA43" i="1"/>
  <c r="B20" i="8"/>
  <c r="F8" i="8"/>
  <c r="G8" i="8"/>
  <c r="C8" i="8"/>
  <c r="D8" i="8"/>
  <c r="B16" i="8"/>
  <c r="B38" i="13"/>
  <c r="B45" i="13"/>
  <c r="B26" i="13"/>
  <c r="B10" i="13"/>
  <c r="B30" i="13"/>
  <c r="B6" i="13"/>
  <c r="B14" i="13"/>
  <c r="AA41" i="1"/>
  <c r="AB41" i="1" s="1"/>
  <c r="AA19" i="1"/>
  <c r="AB19" i="1" s="1"/>
  <c r="AC19" i="1" s="1"/>
  <c r="AA17" i="1"/>
  <c r="AB17" i="1" s="1"/>
  <c r="AC17" i="1" s="1"/>
  <c r="AA15" i="1"/>
  <c r="AB15" i="1" s="1"/>
  <c r="AC15" i="1" s="1"/>
  <c r="AA13" i="1"/>
  <c r="AB13" i="1" s="1"/>
  <c r="AC13" i="1" s="1"/>
  <c r="AA46" i="1"/>
  <c r="AB46" i="1" s="1"/>
  <c r="AB43" i="1"/>
  <c r="AC43" i="1" s="1"/>
  <c r="AA28" i="1"/>
  <c r="AB28" i="1" s="1"/>
  <c r="AC28" i="1" s="1"/>
  <c r="AA26" i="1"/>
  <c r="AB26" i="1" s="1"/>
  <c r="AC26" i="1" s="1"/>
  <c r="AA24" i="1"/>
  <c r="AB24" i="1" s="1"/>
  <c r="AC24" i="1" s="1"/>
  <c r="AA22" i="1"/>
  <c r="AB22" i="1" s="1"/>
  <c r="AC22" i="1" s="1"/>
  <c r="Z42" i="1"/>
  <c r="AA42" i="1" s="1"/>
  <c r="Z37" i="1"/>
  <c r="AA37" i="1" s="1"/>
  <c r="AA16" i="1"/>
  <c r="AB16" i="1" s="1"/>
  <c r="AC16" i="1" s="1"/>
  <c r="AA14" i="1"/>
  <c r="AA12" i="1"/>
  <c r="Z47" i="1"/>
  <c r="AA47" i="1" s="1"/>
  <c r="Z29" i="1"/>
  <c r="AA29" i="1" s="1"/>
  <c r="AB29" i="1" s="1"/>
  <c r="AC29" i="1" s="1"/>
  <c r="Z27" i="1"/>
  <c r="AA27" i="1" s="1"/>
  <c r="Z25" i="1"/>
  <c r="AA25" i="1" s="1"/>
  <c r="AB25" i="1" s="1"/>
  <c r="AC25" i="1" s="1"/>
  <c r="Z23" i="1"/>
  <c r="AA23" i="1" s="1"/>
  <c r="Z21" i="1"/>
  <c r="AA21" i="1" s="1"/>
  <c r="AB21" i="1" s="1"/>
  <c r="AC21" i="1" s="1"/>
  <c r="J5" i="11"/>
  <c r="H5" i="11"/>
  <c r="F5" i="11"/>
  <c r="D5" i="11"/>
  <c r="G5" i="11"/>
  <c r="C5" i="11"/>
  <c r="I5" i="11"/>
  <c r="E5" i="11"/>
  <c r="J22" i="17"/>
  <c r="H22" i="17"/>
  <c r="F22" i="17"/>
  <c r="D22" i="17"/>
  <c r="G22" i="17"/>
  <c r="C22" i="17"/>
  <c r="I22" i="17"/>
  <c r="E22" i="17"/>
  <c r="J3" i="8"/>
  <c r="L4" i="11"/>
  <c r="M4" i="11" s="1"/>
  <c r="B7" i="12"/>
  <c r="B5" i="12"/>
  <c r="B8" i="12"/>
  <c r="B4" i="12"/>
  <c r="B6" i="12"/>
  <c r="J20" i="19"/>
  <c r="H20" i="19"/>
  <c r="F20" i="19"/>
  <c r="D20" i="19"/>
  <c r="G20" i="19"/>
  <c r="C20" i="19"/>
  <c r="E20" i="19"/>
  <c r="I20" i="19"/>
  <c r="M11" i="10"/>
  <c r="I11" i="10"/>
  <c r="G11" i="10"/>
  <c r="E11" i="10"/>
  <c r="C11" i="10"/>
  <c r="N11" i="10"/>
  <c r="F11" i="10"/>
  <c r="B11" i="10"/>
  <c r="D11" i="10"/>
  <c r="H11" i="10"/>
  <c r="J11" i="10" s="1"/>
  <c r="J47" i="5"/>
  <c r="H47" i="5"/>
  <c r="F47" i="5"/>
  <c r="D47" i="5"/>
  <c r="I47" i="5"/>
  <c r="E47" i="5"/>
  <c r="G47" i="5"/>
  <c r="C47" i="5"/>
  <c r="AA35" i="1"/>
  <c r="AB35" i="1" s="1"/>
  <c r="AC35" i="1" s="1"/>
  <c r="AA34" i="1"/>
  <c r="AB34" i="1" s="1"/>
  <c r="AC34" i="1" s="1"/>
  <c r="AA33" i="1"/>
  <c r="AB33" i="1" s="1"/>
  <c r="AC33" i="1" s="1"/>
  <c r="AA32" i="1"/>
  <c r="AB32" i="1" s="1"/>
  <c r="AC32" i="1" s="1"/>
  <c r="AA31" i="1"/>
  <c r="AB31" i="1" s="1"/>
  <c r="AA20" i="1"/>
  <c r="AB20" i="1" s="1"/>
  <c r="AB14" i="1"/>
  <c r="AC14" i="1" s="1"/>
  <c r="AB12" i="1"/>
  <c r="Z10" i="1"/>
  <c r="Z9" i="1"/>
  <c r="Z8" i="1"/>
  <c r="AA8" i="1" s="1"/>
  <c r="Z7" i="1"/>
  <c r="Y5" i="1"/>
  <c r="Y3" i="1"/>
  <c r="I6" i="11"/>
  <c r="G6" i="11"/>
  <c r="E6" i="11"/>
  <c r="C6" i="11"/>
  <c r="J6" i="11"/>
  <c r="F6" i="11"/>
  <c r="D6" i="11"/>
  <c r="H6" i="11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6" i="7"/>
  <c r="B4" i="7"/>
  <c r="B31" i="7"/>
  <c r="B27" i="7"/>
  <c r="B23" i="7"/>
  <c r="B19" i="7"/>
  <c r="B15" i="7"/>
  <c r="B11" i="7"/>
  <c r="B7" i="7"/>
  <c r="B33" i="7"/>
  <c r="B25" i="7"/>
  <c r="B17" i="7"/>
  <c r="B9" i="7"/>
  <c r="B29" i="7"/>
  <c r="B13" i="7"/>
  <c r="B21" i="7"/>
  <c r="B5" i="7"/>
  <c r="I49" i="4"/>
  <c r="G49" i="4"/>
  <c r="E49" i="4"/>
  <c r="C49" i="4"/>
  <c r="J49" i="4"/>
  <c r="F49" i="4"/>
  <c r="D49" i="4"/>
  <c r="H49" i="4"/>
  <c r="Y6" i="1"/>
  <c r="Y4" i="1"/>
  <c r="Z4" i="1" s="1"/>
  <c r="B60" i="2"/>
  <c r="F60" i="2"/>
  <c r="I60" i="2"/>
  <c r="A61" i="2"/>
  <c r="A62" i="2" s="1"/>
  <c r="A63" i="2"/>
  <c r="A92" i="2"/>
  <c r="A88" i="2" s="1"/>
  <c r="A64" i="2"/>
  <c r="A65" i="2" s="1"/>
  <c r="A67" i="2"/>
  <c r="A68" i="2" s="1"/>
  <c r="A69" i="2"/>
  <c r="A70" i="2" s="1"/>
  <c r="A71" i="2"/>
  <c r="A72" i="2" s="1"/>
  <c r="A74" i="2"/>
  <c r="A75" i="2" s="1"/>
  <c r="A93" i="2"/>
  <c r="A90" i="2" s="1"/>
  <c r="A76" i="2"/>
  <c r="A77" i="2" s="1"/>
  <c r="A79" i="2"/>
  <c r="A80" i="2" s="1"/>
  <c r="A81" i="2"/>
  <c r="A82" i="2" s="1"/>
  <c r="A83" i="2"/>
  <c r="A84" i="2" s="1"/>
  <c r="A85" i="2"/>
  <c r="A91" i="2" s="1"/>
  <c r="A86" i="2"/>
  <c r="A87" i="2" s="1"/>
  <c r="H60" i="2"/>
  <c r="A89" i="2"/>
  <c r="A73" i="2"/>
  <c r="A78" i="2"/>
  <c r="A2" i="2"/>
  <c r="J60" i="2"/>
  <c r="K22" i="17" l="1"/>
  <c r="I8" i="6"/>
  <c r="J8" i="6"/>
  <c r="I3" i="8"/>
  <c r="K3" i="8" s="1"/>
  <c r="L3" i="8" s="1"/>
  <c r="M3" i="8" s="1"/>
  <c r="C3" i="8"/>
  <c r="F3" i="8"/>
  <c r="G8" i="6"/>
  <c r="F8" i="6"/>
  <c r="C8" i="6"/>
  <c r="E8" i="6"/>
  <c r="D8" i="6"/>
  <c r="G3" i="8"/>
  <c r="E3" i="8"/>
  <c r="D3" i="8"/>
  <c r="K5" i="11"/>
  <c r="L5" i="11" s="1"/>
  <c r="M5" i="11" s="1"/>
  <c r="G32" i="4"/>
  <c r="I24" i="13"/>
  <c r="L24" i="13" s="1"/>
  <c r="M24" i="13" s="1"/>
  <c r="N24" i="13" s="1"/>
  <c r="D7" i="8"/>
  <c r="E4" i="10"/>
  <c r="I9" i="19"/>
  <c r="H3" i="17"/>
  <c r="D26" i="5"/>
  <c r="H11" i="14"/>
  <c r="J37" i="5"/>
  <c r="B10" i="10"/>
  <c r="G24" i="9"/>
  <c r="H19" i="8"/>
  <c r="C14" i="17"/>
  <c r="J10" i="19"/>
  <c r="K10" i="19" s="1"/>
  <c r="L10" i="19" s="1"/>
  <c r="M10" i="19" s="1"/>
  <c r="J9" i="19"/>
  <c r="K9" i="19" s="1"/>
  <c r="L9" i="19" s="1"/>
  <c r="M9" i="19" s="1"/>
  <c r="C37" i="4"/>
  <c r="D49" i="5"/>
  <c r="D42" i="5"/>
  <c r="D44" i="5"/>
  <c r="G8" i="9"/>
  <c r="G6" i="14"/>
  <c r="J4" i="17"/>
  <c r="D27" i="5"/>
  <c r="I8" i="10"/>
  <c r="J10" i="8"/>
  <c r="F22" i="8"/>
  <c r="H12" i="19"/>
  <c r="H37" i="4"/>
  <c r="D32" i="4"/>
  <c r="I49" i="5"/>
  <c r="K49" i="5" s="1"/>
  <c r="C42" i="5"/>
  <c r="C26" i="5"/>
  <c r="G44" i="5"/>
  <c r="E10" i="10"/>
  <c r="N4" i="10"/>
  <c r="F24" i="9"/>
  <c r="F8" i="9"/>
  <c r="C11" i="14"/>
  <c r="D6" i="14"/>
  <c r="E19" i="8"/>
  <c r="C7" i="8"/>
  <c r="J14" i="17"/>
  <c r="G9" i="19"/>
  <c r="F9" i="19"/>
  <c r="I15" i="19"/>
  <c r="C52" i="4"/>
  <c r="G12" i="6"/>
  <c r="G22" i="19"/>
  <c r="I48" i="4"/>
  <c r="I32" i="5"/>
  <c r="I13" i="9"/>
  <c r="I34" i="4"/>
  <c r="J29" i="5"/>
  <c r="B8" i="10"/>
  <c r="E6" i="10"/>
  <c r="I15" i="8"/>
  <c r="D18" i="19"/>
  <c r="D35" i="13"/>
  <c r="G3" i="13"/>
  <c r="H18" i="6"/>
  <c r="F37" i="4"/>
  <c r="G37" i="4"/>
  <c r="F32" i="4"/>
  <c r="C32" i="4"/>
  <c r="C49" i="5"/>
  <c r="H49" i="5"/>
  <c r="F42" i="5"/>
  <c r="G42" i="5"/>
  <c r="F26" i="5"/>
  <c r="G26" i="5"/>
  <c r="J44" i="5"/>
  <c r="K44" i="5" s="1"/>
  <c r="L44" i="5" s="1"/>
  <c r="M44" i="5" s="1"/>
  <c r="C44" i="5"/>
  <c r="F10" i="10"/>
  <c r="H10" i="10"/>
  <c r="J10" i="10" s="1"/>
  <c r="K10" i="10" s="1"/>
  <c r="L10" i="10" s="1"/>
  <c r="I10" i="10"/>
  <c r="B4" i="10"/>
  <c r="H4" i="10"/>
  <c r="J4" i="10" s="1"/>
  <c r="K4" i="10" s="1"/>
  <c r="L4" i="10" s="1"/>
  <c r="I4" i="10"/>
  <c r="D24" i="9"/>
  <c r="C24" i="9"/>
  <c r="D8" i="9"/>
  <c r="C8" i="9"/>
  <c r="E11" i="14"/>
  <c r="D11" i="14"/>
  <c r="F6" i="14"/>
  <c r="C6" i="14"/>
  <c r="G19" i="8"/>
  <c r="D19" i="8"/>
  <c r="E7" i="8"/>
  <c r="H7" i="8"/>
  <c r="E14" i="17"/>
  <c r="D14" i="17"/>
  <c r="C9" i="19"/>
  <c r="E9" i="19"/>
  <c r="D9" i="19"/>
  <c r="D43" i="5"/>
  <c r="E5" i="10"/>
  <c r="C16" i="6"/>
  <c r="J7" i="6"/>
  <c r="K7" i="6" s="1"/>
  <c r="E11" i="8"/>
  <c r="H17" i="19"/>
  <c r="H48" i="4"/>
  <c r="H34" i="4"/>
  <c r="G37" i="5"/>
  <c r="G29" i="5"/>
  <c r="H32" i="5"/>
  <c r="H8" i="10"/>
  <c r="J8" i="10" s="1"/>
  <c r="K8" i="10" s="1"/>
  <c r="L8" i="10" s="1"/>
  <c r="B6" i="10"/>
  <c r="J13" i="9"/>
  <c r="J15" i="8"/>
  <c r="I10" i="8"/>
  <c r="I3" i="17"/>
  <c r="C19" i="19"/>
  <c r="D27" i="13"/>
  <c r="G11" i="13"/>
  <c r="H17" i="8"/>
  <c r="K47" i="5"/>
  <c r="L47" i="5" s="1"/>
  <c r="M47" i="5" s="1"/>
  <c r="D14" i="9"/>
  <c r="D9" i="6"/>
  <c r="D14" i="8"/>
  <c r="C39" i="4"/>
  <c r="C38" i="5"/>
  <c r="J15" i="9"/>
  <c r="J22" i="6"/>
  <c r="J6" i="6"/>
  <c r="D9" i="8"/>
  <c r="G10" i="17"/>
  <c r="K15" i="8"/>
  <c r="L15" i="8" s="1"/>
  <c r="M15" i="8" s="1"/>
  <c r="J48" i="4"/>
  <c r="E48" i="4"/>
  <c r="F34" i="4"/>
  <c r="E34" i="4"/>
  <c r="I37" i="5"/>
  <c r="K37" i="5" s="1"/>
  <c r="L37" i="5" s="1"/>
  <c r="M37" i="5" s="1"/>
  <c r="F37" i="5"/>
  <c r="I29" i="5"/>
  <c r="K29" i="5" s="1"/>
  <c r="L29" i="5" s="1"/>
  <c r="M29" i="5" s="1"/>
  <c r="F29" i="5"/>
  <c r="J32" i="5"/>
  <c r="E32" i="5"/>
  <c r="N8" i="10"/>
  <c r="E8" i="10"/>
  <c r="F6" i="10"/>
  <c r="H6" i="10"/>
  <c r="J6" i="10" s="1"/>
  <c r="K6" i="10" s="1"/>
  <c r="L6" i="10" s="1"/>
  <c r="I6" i="10"/>
  <c r="G13" i="9"/>
  <c r="F13" i="9"/>
  <c r="G15" i="8"/>
  <c r="F15" i="8"/>
  <c r="H10" i="8"/>
  <c r="E10" i="8"/>
  <c r="F3" i="17"/>
  <c r="E3" i="17"/>
  <c r="C17" i="14"/>
  <c r="E14" i="14"/>
  <c r="C20" i="17"/>
  <c r="G17" i="17"/>
  <c r="E11" i="19"/>
  <c r="H43" i="13"/>
  <c r="I44" i="4"/>
  <c r="C44" i="4"/>
  <c r="F44" i="4"/>
  <c r="I46" i="4"/>
  <c r="C46" i="4"/>
  <c r="J46" i="4"/>
  <c r="J39" i="5"/>
  <c r="H39" i="5"/>
  <c r="E39" i="5"/>
  <c r="J31" i="5"/>
  <c r="H31" i="5"/>
  <c r="E31" i="5"/>
  <c r="I40" i="5"/>
  <c r="G40" i="5"/>
  <c r="D40" i="5"/>
  <c r="I47" i="4"/>
  <c r="C47" i="4"/>
  <c r="D47" i="4"/>
  <c r="I31" i="4"/>
  <c r="G31" i="4"/>
  <c r="F31" i="4"/>
  <c r="I42" i="4"/>
  <c r="C42" i="4"/>
  <c r="J42" i="4"/>
  <c r="G7" i="10"/>
  <c r="D7" i="10"/>
  <c r="M3" i="10"/>
  <c r="D3" i="10"/>
  <c r="I19" i="19"/>
  <c r="E19" i="19"/>
  <c r="H19" i="19"/>
  <c r="J19" i="19"/>
  <c r="J35" i="13"/>
  <c r="F35" i="13"/>
  <c r="G35" i="13"/>
  <c r="E35" i="13"/>
  <c r="H3" i="13"/>
  <c r="D3" i="13"/>
  <c r="C3" i="13"/>
  <c r="I3" i="13"/>
  <c r="L3" i="13" s="1"/>
  <c r="M3" i="13" s="1"/>
  <c r="N3" i="13" s="1"/>
  <c r="I51" i="4"/>
  <c r="C51" i="4"/>
  <c r="D51" i="4"/>
  <c r="J27" i="13"/>
  <c r="F27" i="13"/>
  <c r="G27" i="13"/>
  <c r="E27" i="13"/>
  <c r="H11" i="13"/>
  <c r="D11" i="13"/>
  <c r="C11" i="13"/>
  <c r="I11" i="13"/>
  <c r="L11" i="13" s="1"/>
  <c r="M11" i="13" s="1"/>
  <c r="N11" i="13" s="1"/>
  <c r="I30" i="5"/>
  <c r="G30" i="5"/>
  <c r="F30" i="5"/>
  <c r="J18" i="19"/>
  <c r="F18" i="19"/>
  <c r="I18" i="19"/>
  <c r="K18" i="19" s="1"/>
  <c r="L18" i="19" s="1"/>
  <c r="M18" i="19" s="1"/>
  <c r="F48" i="4"/>
  <c r="D48" i="4"/>
  <c r="C48" i="4"/>
  <c r="J34" i="4"/>
  <c r="D34" i="4"/>
  <c r="C34" i="4"/>
  <c r="E37" i="5"/>
  <c r="C37" i="5"/>
  <c r="D37" i="5"/>
  <c r="E29" i="5"/>
  <c r="C29" i="5"/>
  <c r="D29" i="5"/>
  <c r="F32" i="5"/>
  <c r="D32" i="5"/>
  <c r="C32" i="5"/>
  <c r="F8" i="10"/>
  <c r="D8" i="10"/>
  <c r="C8" i="10"/>
  <c r="G8" i="10"/>
  <c r="N6" i="10"/>
  <c r="D6" i="10"/>
  <c r="C6" i="10"/>
  <c r="G6" i="10"/>
  <c r="C13" i="9"/>
  <c r="E13" i="9"/>
  <c r="D13" i="9"/>
  <c r="C15" i="8"/>
  <c r="E15" i="8"/>
  <c r="D15" i="8"/>
  <c r="D10" i="8"/>
  <c r="F10" i="8"/>
  <c r="C10" i="8"/>
  <c r="J3" i="17"/>
  <c r="D3" i="17"/>
  <c r="C3" i="17"/>
  <c r="C18" i="19"/>
  <c r="E18" i="19"/>
  <c r="H18" i="19"/>
  <c r="D19" i="19"/>
  <c r="G19" i="19"/>
  <c r="C35" i="13"/>
  <c r="H35" i="13"/>
  <c r="C27" i="13"/>
  <c r="H27" i="13"/>
  <c r="E11" i="13"/>
  <c r="F11" i="13"/>
  <c r="E3" i="13"/>
  <c r="F3" i="13"/>
  <c r="F51" i="4"/>
  <c r="F47" i="4"/>
  <c r="C31" i="4"/>
  <c r="D44" i="4"/>
  <c r="D42" i="4"/>
  <c r="D46" i="4"/>
  <c r="D39" i="5"/>
  <c r="D31" i="5"/>
  <c r="C30" i="5"/>
  <c r="C40" i="5"/>
  <c r="F7" i="10"/>
  <c r="C3" i="10"/>
  <c r="D12" i="9"/>
  <c r="H10" i="6"/>
  <c r="F19" i="6"/>
  <c r="D17" i="6"/>
  <c r="C9" i="14"/>
  <c r="G20" i="14"/>
  <c r="F25" i="8"/>
  <c r="F13" i="8"/>
  <c r="C5" i="8"/>
  <c r="F18" i="14"/>
  <c r="G16" i="17"/>
  <c r="H6" i="17"/>
  <c r="G13" i="17"/>
  <c r="E13" i="19"/>
  <c r="E6" i="19"/>
  <c r="E44" i="13"/>
  <c r="D50" i="4"/>
  <c r="G50" i="4"/>
  <c r="H12" i="14"/>
  <c r="C12" i="14"/>
  <c r="I11" i="17"/>
  <c r="J11" i="17"/>
  <c r="H4" i="17"/>
  <c r="D4" i="17"/>
  <c r="C4" i="17"/>
  <c r="E4" i="17"/>
  <c r="F28" i="13"/>
  <c r="G28" i="13"/>
  <c r="H15" i="17"/>
  <c r="C15" i="17"/>
  <c r="H5" i="17"/>
  <c r="C5" i="17"/>
  <c r="I9" i="10"/>
  <c r="D9" i="10"/>
  <c r="D18" i="8"/>
  <c r="C18" i="8"/>
  <c r="H6" i="8"/>
  <c r="C6" i="8"/>
  <c r="D46" i="13"/>
  <c r="E46" i="13"/>
  <c r="D19" i="13"/>
  <c r="I19" i="13"/>
  <c r="L19" i="13" s="1"/>
  <c r="M19" i="13" s="1"/>
  <c r="N19" i="13" s="1"/>
  <c r="C32" i="13"/>
  <c r="H32" i="13"/>
  <c r="C16" i="13"/>
  <c r="H16" i="13"/>
  <c r="C47" i="13"/>
  <c r="H47" i="13"/>
  <c r="J12" i="6"/>
  <c r="F12" i="6"/>
  <c r="I12" i="6"/>
  <c r="C12" i="6"/>
  <c r="G7" i="6"/>
  <c r="C7" i="6"/>
  <c r="F7" i="6"/>
  <c r="H7" i="6"/>
  <c r="J22" i="19"/>
  <c r="F22" i="19"/>
  <c r="I22" i="19"/>
  <c r="K22" i="19" s="1"/>
  <c r="L22" i="19" s="1"/>
  <c r="M22" i="19" s="1"/>
  <c r="C22" i="19"/>
  <c r="I17" i="19"/>
  <c r="E17" i="19"/>
  <c r="J17" i="19"/>
  <c r="D17" i="19"/>
  <c r="G15" i="19"/>
  <c r="C15" i="19"/>
  <c r="D15" i="19"/>
  <c r="J15" i="19"/>
  <c r="J16" i="6"/>
  <c r="F16" i="6"/>
  <c r="I16" i="6"/>
  <c r="G16" i="6"/>
  <c r="J11" i="8"/>
  <c r="F11" i="8"/>
  <c r="I11" i="8"/>
  <c r="K11" i="8" s="1"/>
  <c r="L11" i="8" s="1"/>
  <c r="M11" i="8" s="1"/>
  <c r="C11" i="8"/>
  <c r="H10" i="19"/>
  <c r="D10" i="19"/>
  <c r="E10" i="19"/>
  <c r="C10" i="19"/>
  <c r="I22" i="8"/>
  <c r="E22" i="8"/>
  <c r="J22" i="8"/>
  <c r="D22" i="8"/>
  <c r="D37" i="4"/>
  <c r="J37" i="4"/>
  <c r="K37" i="4" s="1"/>
  <c r="E37" i="4"/>
  <c r="J32" i="4"/>
  <c r="K32" i="4" s="1"/>
  <c r="H32" i="4"/>
  <c r="E32" i="4"/>
  <c r="E49" i="5"/>
  <c r="G49" i="5"/>
  <c r="F49" i="5"/>
  <c r="H42" i="5"/>
  <c r="J42" i="5"/>
  <c r="K42" i="5" s="1"/>
  <c r="E42" i="5"/>
  <c r="H26" i="5"/>
  <c r="J26" i="5"/>
  <c r="K26" i="5" s="1"/>
  <c r="E26" i="5"/>
  <c r="F44" i="5"/>
  <c r="H44" i="5"/>
  <c r="E44" i="5"/>
  <c r="N10" i="10"/>
  <c r="D10" i="10"/>
  <c r="C10" i="10"/>
  <c r="G10" i="10"/>
  <c r="F4" i="10"/>
  <c r="D4" i="10"/>
  <c r="C4" i="10"/>
  <c r="G4" i="10"/>
  <c r="H24" i="9"/>
  <c r="J24" i="9"/>
  <c r="K24" i="9" s="1"/>
  <c r="E24" i="9"/>
  <c r="H8" i="9"/>
  <c r="J8" i="9"/>
  <c r="K8" i="9" s="1"/>
  <c r="E8" i="9"/>
  <c r="I11" i="14"/>
  <c r="K11" i="14" s="1"/>
  <c r="L11" i="14" s="1"/>
  <c r="M11" i="14" s="1"/>
  <c r="G11" i="14"/>
  <c r="F11" i="14"/>
  <c r="J6" i="14"/>
  <c r="K6" i="14" s="1"/>
  <c r="H6" i="14"/>
  <c r="E6" i="14"/>
  <c r="C19" i="8"/>
  <c r="I19" i="8"/>
  <c r="K19" i="8" s="1"/>
  <c r="L19" i="8" s="1"/>
  <c r="M19" i="8" s="1"/>
  <c r="F19" i="8"/>
  <c r="G7" i="8"/>
  <c r="I7" i="8"/>
  <c r="K7" i="8" s="1"/>
  <c r="L7" i="8" s="1"/>
  <c r="M7" i="8" s="1"/>
  <c r="F7" i="8"/>
  <c r="I14" i="17"/>
  <c r="G14" i="17"/>
  <c r="F14" i="17"/>
  <c r="I4" i="17"/>
  <c r="F4" i="17"/>
  <c r="G10" i="19"/>
  <c r="F10" i="19"/>
  <c r="F15" i="19"/>
  <c r="E15" i="19"/>
  <c r="C46" i="13"/>
  <c r="F47" i="13"/>
  <c r="C19" i="13"/>
  <c r="F16" i="13"/>
  <c r="F32" i="13"/>
  <c r="C43" i="4"/>
  <c r="C35" i="4"/>
  <c r="C36" i="4"/>
  <c r="D35" i="5"/>
  <c r="C46" i="5"/>
  <c r="C36" i="5"/>
  <c r="J19" i="9"/>
  <c r="J14" i="6"/>
  <c r="I11" i="6"/>
  <c r="K11" i="6" s="1"/>
  <c r="D21" i="8"/>
  <c r="D12" i="17"/>
  <c r="C7" i="17"/>
  <c r="E16" i="6"/>
  <c r="H16" i="6"/>
  <c r="E12" i="6"/>
  <c r="H12" i="6"/>
  <c r="D7" i="6"/>
  <c r="E7" i="6"/>
  <c r="H22" i="8"/>
  <c r="C22" i="8"/>
  <c r="G11" i="8"/>
  <c r="D11" i="8"/>
  <c r="E22" i="19"/>
  <c r="H22" i="19"/>
  <c r="F17" i="19"/>
  <c r="G17" i="19"/>
  <c r="K18" i="9"/>
  <c r="L18" i="9" s="1"/>
  <c r="M18" i="9" s="1"/>
  <c r="H21" i="9"/>
  <c r="D21" i="9"/>
  <c r="E21" i="9"/>
  <c r="C21" i="9"/>
  <c r="J21" i="9"/>
  <c r="I21" i="9"/>
  <c r="H5" i="9"/>
  <c r="D5" i="9"/>
  <c r="E5" i="9"/>
  <c r="C5" i="9"/>
  <c r="J5" i="9"/>
  <c r="I5" i="9"/>
  <c r="G12" i="9"/>
  <c r="C12" i="9"/>
  <c r="F12" i="9"/>
  <c r="H12" i="9"/>
  <c r="I14" i="9"/>
  <c r="E14" i="9"/>
  <c r="H14" i="9"/>
  <c r="J14" i="9"/>
  <c r="H17" i="14"/>
  <c r="D17" i="14"/>
  <c r="E17" i="14"/>
  <c r="G17" i="14"/>
  <c r="H9" i="14"/>
  <c r="D9" i="14"/>
  <c r="E9" i="14"/>
  <c r="G9" i="14"/>
  <c r="I16" i="14"/>
  <c r="E16" i="14"/>
  <c r="J16" i="14"/>
  <c r="H16" i="14"/>
  <c r="G16" i="14"/>
  <c r="F16" i="14"/>
  <c r="G14" i="14"/>
  <c r="C14" i="14"/>
  <c r="D14" i="14"/>
  <c r="F14" i="14"/>
  <c r="H23" i="9"/>
  <c r="J23" i="9"/>
  <c r="G23" i="9"/>
  <c r="H7" i="9"/>
  <c r="J7" i="9"/>
  <c r="G7" i="9"/>
  <c r="H11" i="9"/>
  <c r="J11" i="9"/>
  <c r="G11" i="9"/>
  <c r="J19" i="14"/>
  <c r="G19" i="14"/>
  <c r="I20" i="14"/>
  <c r="E20" i="14"/>
  <c r="J20" i="14"/>
  <c r="D20" i="14"/>
  <c r="G18" i="14"/>
  <c r="C18" i="14"/>
  <c r="D18" i="14"/>
  <c r="J18" i="14"/>
  <c r="G41" i="4"/>
  <c r="F41" i="4"/>
  <c r="H41" i="4"/>
  <c r="G33" i="4"/>
  <c r="F33" i="4"/>
  <c r="H33" i="4"/>
  <c r="C50" i="5"/>
  <c r="D50" i="5"/>
  <c r="G50" i="5"/>
  <c r="C34" i="5"/>
  <c r="D34" i="5"/>
  <c r="G34" i="5"/>
  <c r="C28" i="5"/>
  <c r="J28" i="5"/>
  <c r="G28" i="5"/>
  <c r="J15" i="14"/>
  <c r="G15" i="14"/>
  <c r="F15" i="14"/>
  <c r="I19" i="17"/>
  <c r="J19" i="17"/>
  <c r="G8" i="17"/>
  <c r="J8" i="17"/>
  <c r="J44" i="13"/>
  <c r="F44" i="13"/>
  <c r="I44" i="13"/>
  <c r="L44" i="13" s="1"/>
  <c r="M44" i="13" s="1"/>
  <c r="N44" i="13" s="1"/>
  <c r="C44" i="13"/>
  <c r="G43" i="13"/>
  <c r="C43" i="13"/>
  <c r="F43" i="13"/>
  <c r="D43" i="13"/>
  <c r="J33" i="13"/>
  <c r="F33" i="13"/>
  <c r="I33" i="13"/>
  <c r="L33" i="13" s="1"/>
  <c r="M33" i="13" s="1"/>
  <c r="N33" i="13" s="1"/>
  <c r="G33" i="13"/>
  <c r="D33" i="13"/>
  <c r="C33" i="13"/>
  <c r="H25" i="13"/>
  <c r="D25" i="13"/>
  <c r="E25" i="13"/>
  <c r="C25" i="13"/>
  <c r="J25" i="13"/>
  <c r="I25" i="13"/>
  <c r="L25" i="13" s="1"/>
  <c r="M25" i="13" s="1"/>
  <c r="N25" i="13" s="1"/>
  <c r="H17" i="13"/>
  <c r="D17" i="13"/>
  <c r="E17" i="13"/>
  <c r="C17" i="13"/>
  <c r="J17" i="13"/>
  <c r="I17" i="13"/>
  <c r="L17" i="13" s="1"/>
  <c r="M17" i="13" s="1"/>
  <c r="N17" i="13" s="1"/>
  <c r="J9" i="13"/>
  <c r="F9" i="13"/>
  <c r="I9" i="13"/>
  <c r="L9" i="13" s="1"/>
  <c r="M9" i="13" s="1"/>
  <c r="N9" i="13" s="1"/>
  <c r="G9" i="13"/>
  <c r="D9" i="13"/>
  <c r="C9" i="13"/>
  <c r="C4" i="13"/>
  <c r="H4" i="13"/>
  <c r="G4" i="13"/>
  <c r="D4" i="13"/>
  <c r="C20" i="13"/>
  <c r="D20" i="13"/>
  <c r="G20" i="13"/>
  <c r="G36" i="13"/>
  <c r="F36" i="13"/>
  <c r="D36" i="13"/>
  <c r="D41" i="5"/>
  <c r="I41" i="5"/>
  <c r="H41" i="5"/>
  <c r="D25" i="5"/>
  <c r="I25" i="5"/>
  <c r="H25" i="5"/>
  <c r="C48" i="5"/>
  <c r="F48" i="5"/>
  <c r="G48" i="5"/>
  <c r="H16" i="17"/>
  <c r="D16" i="17"/>
  <c r="E16" i="17"/>
  <c r="C16" i="17"/>
  <c r="J6" i="17"/>
  <c r="F6" i="17"/>
  <c r="I6" i="17"/>
  <c r="K6" i="17" s="1"/>
  <c r="L6" i="17" s="1"/>
  <c r="M6" i="17" s="1"/>
  <c r="G6" i="17"/>
  <c r="I13" i="17"/>
  <c r="E13" i="17"/>
  <c r="H13" i="17"/>
  <c r="F13" i="17"/>
  <c r="F42" i="13"/>
  <c r="E42" i="13"/>
  <c r="G42" i="13"/>
  <c r="F31" i="13"/>
  <c r="I31" i="13"/>
  <c r="L31" i="13" s="1"/>
  <c r="M31" i="13" s="1"/>
  <c r="N31" i="13" s="1"/>
  <c r="G31" i="13"/>
  <c r="F15" i="13"/>
  <c r="I15" i="13"/>
  <c r="L15" i="13" s="1"/>
  <c r="M15" i="13" s="1"/>
  <c r="N15" i="13" s="1"/>
  <c r="G15" i="13"/>
  <c r="E8" i="13"/>
  <c r="D8" i="13"/>
  <c r="J8" i="13"/>
  <c r="I41" i="13"/>
  <c r="L41" i="13" s="1"/>
  <c r="M41" i="13" s="1"/>
  <c r="N41" i="13" s="1"/>
  <c r="H41" i="13"/>
  <c r="E41" i="13"/>
  <c r="I7" i="10"/>
  <c r="E7" i="10"/>
  <c r="N7" i="10"/>
  <c r="I3" i="10"/>
  <c r="K1" i="10" s="1"/>
  <c r="E3" i="10"/>
  <c r="N3" i="10"/>
  <c r="B3" i="10"/>
  <c r="H3" i="10"/>
  <c r="J3" i="10" s="1"/>
  <c r="K3" i="10" s="1"/>
  <c r="L3" i="10" s="1"/>
  <c r="J18" i="6"/>
  <c r="F18" i="6"/>
  <c r="G18" i="6"/>
  <c r="E18" i="6"/>
  <c r="J10" i="6"/>
  <c r="F10" i="6"/>
  <c r="G10" i="6"/>
  <c r="E10" i="6"/>
  <c r="I19" i="6"/>
  <c r="E19" i="6"/>
  <c r="J19" i="6"/>
  <c r="H19" i="6"/>
  <c r="I9" i="6"/>
  <c r="E9" i="6"/>
  <c r="H9" i="6"/>
  <c r="J9" i="6"/>
  <c r="H25" i="8"/>
  <c r="D25" i="8"/>
  <c r="C25" i="8"/>
  <c r="I25" i="8"/>
  <c r="J17" i="8"/>
  <c r="F17" i="8"/>
  <c r="G17" i="8"/>
  <c r="E17" i="8"/>
  <c r="H13" i="8"/>
  <c r="D13" i="8"/>
  <c r="C13" i="8"/>
  <c r="E13" i="8"/>
  <c r="J5" i="8"/>
  <c r="F5" i="8"/>
  <c r="G5" i="8"/>
  <c r="I5" i="8"/>
  <c r="G14" i="8"/>
  <c r="C14" i="8"/>
  <c r="F14" i="8"/>
  <c r="H14" i="8"/>
  <c r="J12" i="19"/>
  <c r="F12" i="19"/>
  <c r="G12" i="19"/>
  <c r="E12" i="19"/>
  <c r="G13" i="19"/>
  <c r="C13" i="19"/>
  <c r="F13" i="19"/>
  <c r="D13" i="19"/>
  <c r="G6" i="19"/>
  <c r="C6" i="19"/>
  <c r="D6" i="19"/>
  <c r="J6" i="19"/>
  <c r="I17" i="17"/>
  <c r="E17" i="17"/>
  <c r="H17" i="17"/>
  <c r="J17" i="17"/>
  <c r="H20" i="17"/>
  <c r="D20" i="17"/>
  <c r="E20" i="17"/>
  <c r="G20" i="17"/>
  <c r="H45" i="5"/>
  <c r="D45" i="5"/>
  <c r="C45" i="5"/>
  <c r="E45" i="5"/>
  <c r="J45" i="5"/>
  <c r="G45" i="5"/>
  <c r="G20" i="6"/>
  <c r="D20" i="6"/>
  <c r="I15" i="6"/>
  <c r="E15" i="6"/>
  <c r="J15" i="6"/>
  <c r="D15" i="6"/>
  <c r="C15" i="6"/>
  <c r="H15" i="6"/>
  <c r="J23" i="8"/>
  <c r="F23" i="8"/>
  <c r="I23" i="8"/>
  <c r="K23" i="8" s="1"/>
  <c r="L23" i="8" s="1"/>
  <c r="M23" i="8" s="1"/>
  <c r="G23" i="8"/>
  <c r="H23" i="8"/>
  <c r="E23" i="8"/>
  <c r="I24" i="8"/>
  <c r="E24" i="8"/>
  <c r="H24" i="8"/>
  <c r="J24" i="8"/>
  <c r="G24" i="8"/>
  <c r="D24" i="8"/>
  <c r="G11" i="19"/>
  <c r="C11" i="19"/>
  <c r="D11" i="19"/>
  <c r="F11" i="19"/>
  <c r="I17" i="6"/>
  <c r="E17" i="6"/>
  <c r="H17" i="6"/>
  <c r="J17" i="6"/>
  <c r="H51" i="4"/>
  <c r="J51" i="4"/>
  <c r="E51" i="4"/>
  <c r="H47" i="4"/>
  <c r="J47" i="4"/>
  <c r="E47" i="4"/>
  <c r="H31" i="4"/>
  <c r="J31" i="4"/>
  <c r="E31" i="4"/>
  <c r="J44" i="4"/>
  <c r="H44" i="4"/>
  <c r="E44" i="4"/>
  <c r="F42" i="4"/>
  <c r="H42" i="4"/>
  <c r="E42" i="4"/>
  <c r="F46" i="4"/>
  <c r="H46" i="4"/>
  <c r="E46" i="4"/>
  <c r="G39" i="5"/>
  <c r="I39" i="5"/>
  <c r="F39" i="5"/>
  <c r="G31" i="5"/>
  <c r="I31" i="5"/>
  <c r="F31" i="5"/>
  <c r="D30" i="5"/>
  <c r="J30" i="5"/>
  <c r="E30" i="5"/>
  <c r="J40" i="5"/>
  <c r="H40" i="5"/>
  <c r="E40" i="5"/>
  <c r="H7" i="10"/>
  <c r="J7" i="10" s="1"/>
  <c r="K7" i="10" s="1"/>
  <c r="L7" i="10" s="1"/>
  <c r="B7" i="10"/>
  <c r="C7" i="10"/>
  <c r="M7" i="10"/>
  <c r="F3" i="10"/>
  <c r="G3" i="10"/>
  <c r="E23" i="9"/>
  <c r="I11" i="9"/>
  <c r="E7" i="9"/>
  <c r="J12" i="9"/>
  <c r="I12" i="9"/>
  <c r="F14" i="9"/>
  <c r="C14" i="9"/>
  <c r="I18" i="6"/>
  <c r="D18" i="6"/>
  <c r="I10" i="6"/>
  <c r="D10" i="6"/>
  <c r="D19" i="6"/>
  <c r="C19" i="6"/>
  <c r="F9" i="6"/>
  <c r="C9" i="6"/>
  <c r="F17" i="6"/>
  <c r="C17" i="6"/>
  <c r="I17" i="14"/>
  <c r="J17" i="14"/>
  <c r="I9" i="14"/>
  <c r="J9" i="14"/>
  <c r="H20" i="14"/>
  <c r="C20" i="14"/>
  <c r="H14" i="14"/>
  <c r="I14" i="14"/>
  <c r="K14" i="14" s="1"/>
  <c r="G25" i="8"/>
  <c r="J25" i="8"/>
  <c r="I17" i="8"/>
  <c r="D17" i="8"/>
  <c r="G13" i="8"/>
  <c r="J13" i="8"/>
  <c r="K13" i="8" s="1"/>
  <c r="L13" i="8" s="1"/>
  <c r="M13" i="8" s="1"/>
  <c r="E5" i="8"/>
  <c r="D5" i="8"/>
  <c r="J14" i="8"/>
  <c r="I14" i="8"/>
  <c r="H18" i="14"/>
  <c r="I18" i="14"/>
  <c r="I20" i="17"/>
  <c r="J20" i="17"/>
  <c r="I16" i="17"/>
  <c r="J16" i="17"/>
  <c r="C6" i="17"/>
  <c r="D6" i="17"/>
  <c r="F17" i="17"/>
  <c r="C17" i="17"/>
  <c r="J13" i="17"/>
  <c r="C13" i="17"/>
  <c r="I12" i="19"/>
  <c r="D12" i="19"/>
  <c r="J13" i="19"/>
  <c r="I13" i="19"/>
  <c r="H11" i="19"/>
  <c r="I11" i="19"/>
  <c r="K11" i="19" s="1"/>
  <c r="H6" i="19"/>
  <c r="I6" i="19"/>
  <c r="G44" i="13"/>
  <c r="D44" i="13"/>
  <c r="J43" i="13"/>
  <c r="I43" i="13"/>
  <c r="L43" i="13" s="1"/>
  <c r="M43" i="13" s="1"/>
  <c r="N43" i="13" s="1"/>
  <c r="H33" i="13"/>
  <c r="G25" i="13"/>
  <c r="G17" i="13"/>
  <c r="H9" i="13"/>
  <c r="F20" i="13"/>
  <c r="C36" i="13"/>
  <c r="C33" i="4"/>
  <c r="I45" i="5"/>
  <c r="K45" i="5" s="1"/>
  <c r="L45" i="5" s="1"/>
  <c r="M45" i="5" s="1"/>
  <c r="C41" i="5"/>
  <c r="F50" i="5"/>
  <c r="D48" i="5"/>
  <c r="G21" i="9"/>
  <c r="G5" i="9"/>
  <c r="C6" i="9"/>
  <c r="G15" i="6"/>
  <c r="D16" i="14"/>
  <c r="C23" i="8"/>
  <c r="F24" i="8"/>
  <c r="G18" i="17"/>
  <c r="I9" i="17"/>
  <c r="K9" i="17" s="1"/>
  <c r="J31" i="13"/>
  <c r="I8" i="13"/>
  <c r="L8" i="13" s="1"/>
  <c r="M8" i="13" s="1"/>
  <c r="N8" i="13" s="1"/>
  <c r="J41" i="13"/>
  <c r="G20" i="9"/>
  <c r="J20" i="9"/>
  <c r="K20" i="9" s="1"/>
  <c r="G4" i="9"/>
  <c r="J4" i="9"/>
  <c r="K4" i="9" s="1"/>
  <c r="H21" i="14"/>
  <c r="I21" i="14"/>
  <c r="H15" i="9"/>
  <c r="F15" i="9"/>
  <c r="E15" i="9"/>
  <c r="H19" i="9"/>
  <c r="F19" i="9"/>
  <c r="I19" i="9"/>
  <c r="F45" i="4"/>
  <c r="G45" i="4"/>
  <c r="I52" i="4"/>
  <c r="G52" i="4"/>
  <c r="D52" i="4"/>
  <c r="I36" i="4"/>
  <c r="G36" i="4"/>
  <c r="D36" i="4"/>
  <c r="J43" i="5"/>
  <c r="H43" i="5"/>
  <c r="E43" i="5"/>
  <c r="J35" i="5"/>
  <c r="H35" i="5"/>
  <c r="E35" i="5"/>
  <c r="J27" i="5"/>
  <c r="H27" i="5"/>
  <c r="E27" i="5"/>
  <c r="J12" i="13"/>
  <c r="H12" i="13"/>
  <c r="I39" i="4"/>
  <c r="G39" i="4"/>
  <c r="F39" i="4"/>
  <c r="C33" i="5"/>
  <c r="H33" i="5"/>
  <c r="I38" i="5"/>
  <c r="G38" i="5"/>
  <c r="F38" i="5"/>
  <c r="I36" i="5"/>
  <c r="K36" i="5" s="1"/>
  <c r="G36" i="5"/>
  <c r="D36" i="5"/>
  <c r="I39" i="13"/>
  <c r="L39" i="13" s="1"/>
  <c r="M39" i="13" s="1"/>
  <c r="N39" i="13" s="1"/>
  <c r="J39" i="13"/>
  <c r="M9" i="10"/>
  <c r="E9" i="10"/>
  <c r="B9" i="10"/>
  <c r="M5" i="10"/>
  <c r="I5" i="10"/>
  <c r="N5" i="10"/>
  <c r="D5" i="10"/>
  <c r="H22" i="6"/>
  <c r="F22" i="6"/>
  <c r="I22" i="6"/>
  <c r="H14" i="6"/>
  <c r="F14" i="6"/>
  <c r="I14" i="6"/>
  <c r="H6" i="6"/>
  <c r="F6" i="6"/>
  <c r="I6" i="6"/>
  <c r="G11" i="6"/>
  <c r="E11" i="6"/>
  <c r="H11" i="6"/>
  <c r="I43" i="4"/>
  <c r="G43" i="4"/>
  <c r="F43" i="4"/>
  <c r="I46" i="5"/>
  <c r="G46" i="5"/>
  <c r="F46" i="5"/>
  <c r="J46" i="13"/>
  <c r="F46" i="13"/>
  <c r="G46" i="13"/>
  <c r="I46" i="13"/>
  <c r="L46" i="13" s="1"/>
  <c r="M46" i="13" s="1"/>
  <c r="N46" i="13" s="1"/>
  <c r="J19" i="13"/>
  <c r="F19" i="13"/>
  <c r="G19" i="13"/>
  <c r="E19" i="13"/>
  <c r="I32" i="13"/>
  <c r="L32" i="13" s="1"/>
  <c r="M32" i="13" s="1"/>
  <c r="N32" i="13" s="1"/>
  <c r="E32" i="13"/>
  <c r="J32" i="13"/>
  <c r="D32" i="13"/>
  <c r="I7" i="14"/>
  <c r="D7" i="14"/>
  <c r="I16" i="13"/>
  <c r="L16" i="13" s="1"/>
  <c r="M16" i="13" s="1"/>
  <c r="N16" i="13" s="1"/>
  <c r="E16" i="13"/>
  <c r="J16" i="13"/>
  <c r="D16" i="13"/>
  <c r="I47" i="13"/>
  <c r="L47" i="13" s="1"/>
  <c r="M47" i="13" s="1"/>
  <c r="N47" i="13" s="1"/>
  <c r="E47" i="13"/>
  <c r="J47" i="13"/>
  <c r="D47" i="13"/>
  <c r="I35" i="4"/>
  <c r="G35" i="4"/>
  <c r="F35" i="4"/>
  <c r="J14" i="19"/>
  <c r="I14" i="19"/>
  <c r="J8" i="19"/>
  <c r="K8" i="19" s="1"/>
  <c r="K21" i="14"/>
  <c r="L21" i="14" s="1"/>
  <c r="M21" i="14" s="1"/>
  <c r="H13" i="14"/>
  <c r="J13" i="14"/>
  <c r="K13" i="14" s="1"/>
  <c r="L13" i="14" s="1"/>
  <c r="M13" i="14" s="1"/>
  <c r="H5" i="14"/>
  <c r="J5" i="14"/>
  <c r="I5" i="14"/>
  <c r="I12" i="14"/>
  <c r="E12" i="14"/>
  <c r="J12" i="14"/>
  <c r="D12" i="14"/>
  <c r="D48" i="13"/>
  <c r="C48" i="13"/>
  <c r="D40" i="13"/>
  <c r="C40" i="13"/>
  <c r="D37" i="13"/>
  <c r="G37" i="13"/>
  <c r="D29" i="13"/>
  <c r="G29" i="13"/>
  <c r="D21" i="13"/>
  <c r="G21" i="13"/>
  <c r="D13" i="13"/>
  <c r="G13" i="13"/>
  <c r="D5" i="13"/>
  <c r="G5" i="13"/>
  <c r="I15" i="17"/>
  <c r="E15" i="17"/>
  <c r="J15" i="17"/>
  <c r="D15" i="17"/>
  <c r="I5" i="17"/>
  <c r="E5" i="17"/>
  <c r="J5" i="17"/>
  <c r="D5" i="17"/>
  <c r="G7" i="13"/>
  <c r="J7" i="13"/>
  <c r="J21" i="8"/>
  <c r="F21" i="8"/>
  <c r="G21" i="8"/>
  <c r="I21" i="8"/>
  <c r="I18" i="8"/>
  <c r="E18" i="8"/>
  <c r="J18" i="8"/>
  <c r="H18" i="8"/>
  <c r="J9" i="8"/>
  <c r="K9" i="8" s="1"/>
  <c r="F9" i="8"/>
  <c r="G9" i="8"/>
  <c r="E9" i="8"/>
  <c r="I6" i="8"/>
  <c r="E6" i="8"/>
  <c r="J6" i="8"/>
  <c r="D6" i="8"/>
  <c r="J16" i="19"/>
  <c r="K16" i="19" s="1"/>
  <c r="L16" i="19" s="1"/>
  <c r="M16" i="19" s="1"/>
  <c r="G16" i="19"/>
  <c r="I21" i="19"/>
  <c r="J21" i="19"/>
  <c r="J7" i="19"/>
  <c r="K7" i="19" s="1"/>
  <c r="L7" i="19" s="1"/>
  <c r="M7" i="19" s="1"/>
  <c r="G7" i="19"/>
  <c r="J12" i="17"/>
  <c r="F12" i="17"/>
  <c r="I12" i="17"/>
  <c r="C12" i="17"/>
  <c r="I7" i="17"/>
  <c r="E7" i="17"/>
  <c r="H7" i="17"/>
  <c r="J7" i="17"/>
  <c r="J10" i="17"/>
  <c r="K10" i="17" s="1"/>
  <c r="F10" i="17"/>
  <c r="D10" i="17"/>
  <c r="C10" i="17"/>
  <c r="H43" i="4"/>
  <c r="J43" i="4"/>
  <c r="E43" i="4"/>
  <c r="H39" i="4"/>
  <c r="J39" i="4"/>
  <c r="E39" i="4"/>
  <c r="H35" i="4"/>
  <c r="J35" i="4"/>
  <c r="E35" i="4"/>
  <c r="J52" i="4"/>
  <c r="H52" i="4"/>
  <c r="E52" i="4"/>
  <c r="J36" i="4"/>
  <c r="H36" i="4"/>
  <c r="E36" i="4"/>
  <c r="C43" i="5"/>
  <c r="I43" i="5"/>
  <c r="F43" i="5"/>
  <c r="C35" i="5"/>
  <c r="I35" i="5"/>
  <c r="F35" i="5"/>
  <c r="C27" i="5"/>
  <c r="I27" i="5"/>
  <c r="F27" i="5"/>
  <c r="D46" i="5"/>
  <c r="J46" i="5"/>
  <c r="E46" i="5"/>
  <c r="D38" i="5"/>
  <c r="J38" i="5"/>
  <c r="E38" i="5"/>
  <c r="F36" i="5"/>
  <c r="H36" i="5"/>
  <c r="E36" i="5"/>
  <c r="H9" i="10"/>
  <c r="J9" i="10" s="1"/>
  <c r="K9" i="10" s="1"/>
  <c r="L9" i="10" s="1"/>
  <c r="F9" i="10"/>
  <c r="C9" i="10"/>
  <c r="G9" i="10"/>
  <c r="H5" i="10"/>
  <c r="J5" i="10" s="1"/>
  <c r="K5" i="10" s="1"/>
  <c r="L5" i="10" s="1"/>
  <c r="F5" i="10"/>
  <c r="C5" i="10"/>
  <c r="G5" i="10"/>
  <c r="E19" i="9"/>
  <c r="C19" i="9"/>
  <c r="D19" i="9"/>
  <c r="I15" i="9"/>
  <c r="C15" i="9"/>
  <c r="D15" i="9"/>
  <c r="D20" i="9"/>
  <c r="E20" i="9"/>
  <c r="D4" i="9"/>
  <c r="E4" i="9"/>
  <c r="E22" i="6"/>
  <c r="C22" i="6"/>
  <c r="D22" i="6"/>
  <c r="E14" i="6"/>
  <c r="C14" i="6"/>
  <c r="D14" i="6"/>
  <c r="E6" i="6"/>
  <c r="C6" i="6"/>
  <c r="D6" i="6"/>
  <c r="D11" i="6"/>
  <c r="F11" i="6"/>
  <c r="C11" i="6"/>
  <c r="G21" i="14"/>
  <c r="F21" i="14"/>
  <c r="G13" i="14"/>
  <c r="F13" i="14"/>
  <c r="F5" i="14"/>
  <c r="F12" i="14"/>
  <c r="G12" i="14"/>
  <c r="C21" i="8"/>
  <c r="H21" i="8"/>
  <c r="F18" i="8"/>
  <c r="G18" i="8"/>
  <c r="C9" i="8"/>
  <c r="H9" i="8"/>
  <c r="F6" i="8"/>
  <c r="G6" i="8"/>
  <c r="E12" i="17"/>
  <c r="H12" i="17"/>
  <c r="F15" i="17"/>
  <c r="G15" i="17"/>
  <c r="E10" i="17"/>
  <c r="H10" i="17"/>
  <c r="F5" i="17"/>
  <c r="G5" i="17"/>
  <c r="D7" i="17"/>
  <c r="G7" i="17"/>
  <c r="F16" i="19"/>
  <c r="E21" i="19"/>
  <c r="F7" i="19"/>
  <c r="E48" i="13"/>
  <c r="E40" i="13"/>
  <c r="E37" i="13"/>
  <c r="E29" i="13"/>
  <c r="E21" i="13"/>
  <c r="E13" i="13"/>
  <c r="E5" i="13"/>
  <c r="G12" i="13"/>
  <c r="G49" i="13"/>
  <c r="G40" i="4"/>
  <c r="G38" i="4"/>
  <c r="C16" i="9"/>
  <c r="D4" i="6"/>
  <c r="H22" i="14"/>
  <c r="H21" i="17"/>
  <c r="I5" i="19"/>
  <c r="K5" i="19" s="1"/>
  <c r="L5" i="19" s="1"/>
  <c r="M5" i="19" s="1"/>
  <c r="G50" i="13"/>
  <c r="J23" i="13"/>
  <c r="G16" i="9"/>
  <c r="F16" i="9"/>
  <c r="E22" i="14"/>
  <c r="J22" i="14"/>
  <c r="K22" i="14" s="1"/>
  <c r="C45" i="4"/>
  <c r="H45" i="4"/>
  <c r="C50" i="4"/>
  <c r="J50" i="4"/>
  <c r="E11" i="17"/>
  <c r="H11" i="17"/>
  <c r="E21" i="17"/>
  <c r="F21" i="17"/>
  <c r="J48" i="13"/>
  <c r="F48" i="13"/>
  <c r="I48" i="13"/>
  <c r="L48" i="13" s="1"/>
  <c r="M48" i="13" s="1"/>
  <c r="N48" i="13" s="1"/>
  <c r="G48" i="13"/>
  <c r="J40" i="13"/>
  <c r="F40" i="13"/>
  <c r="I40" i="13"/>
  <c r="L40" i="13" s="1"/>
  <c r="M40" i="13" s="1"/>
  <c r="N40" i="13" s="1"/>
  <c r="G40" i="13"/>
  <c r="J37" i="13"/>
  <c r="F37" i="13"/>
  <c r="I37" i="13"/>
  <c r="L37" i="13" s="1"/>
  <c r="M37" i="13" s="1"/>
  <c r="N37" i="13" s="1"/>
  <c r="C37" i="13"/>
  <c r="J29" i="13"/>
  <c r="F29" i="13"/>
  <c r="I29" i="13"/>
  <c r="L29" i="13" s="1"/>
  <c r="M29" i="13" s="1"/>
  <c r="N29" i="13" s="1"/>
  <c r="C29" i="13"/>
  <c r="J21" i="13"/>
  <c r="F21" i="13"/>
  <c r="I21" i="13"/>
  <c r="L21" i="13" s="1"/>
  <c r="M21" i="13" s="1"/>
  <c r="N21" i="13" s="1"/>
  <c r="C21" i="13"/>
  <c r="J13" i="13"/>
  <c r="F13" i="13"/>
  <c r="I13" i="13"/>
  <c r="L13" i="13" s="1"/>
  <c r="M13" i="13" s="1"/>
  <c r="N13" i="13" s="1"/>
  <c r="C13" i="13"/>
  <c r="J5" i="13"/>
  <c r="F5" i="13"/>
  <c r="I5" i="13"/>
  <c r="L5" i="13" s="1"/>
  <c r="M5" i="13" s="1"/>
  <c r="N5" i="13" s="1"/>
  <c r="C5" i="13"/>
  <c r="C12" i="13"/>
  <c r="F12" i="13"/>
  <c r="D12" i="13"/>
  <c r="C28" i="13"/>
  <c r="D28" i="13"/>
  <c r="C49" i="13"/>
  <c r="F49" i="13"/>
  <c r="C40" i="4"/>
  <c r="F40" i="4"/>
  <c r="D33" i="5"/>
  <c r="I33" i="5"/>
  <c r="F50" i="13"/>
  <c r="E50" i="13"/>
  <c r="E39" i="13"/>
  <c r="D39" i="13"/>
  <c r="H16" i="19"/>
  <c r="D16" i="19"/>
  <c r="C16" i="19"/>
  <c r="E16" i="19"/>
  <c r="G21" i="19"/>
  <c r="C21" i="19"/>
  <c r="F21" i="19"/>
  <c r="D21" i="19"/>
  <c r="H7" i="19"/>
  <c r="D7" i="19"/>
  <c r="C7" i="19"/>
  <c r="E7" i="19"/>
  <c r="E8" i="19"/>
  <c r="D8" i="19"/>
  <c r="C38" i="4"/>
  <c r="J38" i="4"/>
  <c r="H7" i="14"/>
  <c r="C7" i="14"/>
  <c r="H20" i="6"/>
  <c r="E20" i="6"/>
  <c r="H4" i="6"/>
  <c r="E4" i="6"/>
  <c r="F14" i="19"/>
  <c r="C14" i="19"/>
  <c r="F5" i="19"/>
  <c r="C5" i="19"/>
  <c r="I16" i="9"/>
  <c r="E16" i="9"/>
  <c r="J16" i="9"/>
  <c r="H16" i="9"/>
  <c r="G22" i="14"/>
  <c r="C22" i="14"/>
  <c r="D22" i="14"/>
  <c r="F22" i="14"/>
  <c r="I45" i="4"/>
  <c r="E45" i="4"/>
  <c r="J45" i="4"/>
  <c r="D45" i="4"/>
  <c r="I50" i="4"/>
  <c r="K50" i="4" s="1"/>
  <c r="L50" i="4" s="1"/>
  <c r="M50" i="4" s="1"/>
  <c r="E50" i="4"/>
  <c r="H50" i="4"/>
  <c r="F50" i="4"/>
  <c r="G11" i="17"/>
  <c r="C11" i="17"/>
  <c r="F11" i="17"/>
  <c r="D11" i="17"/>
  <c r="G21" i="17"/>
  <c r="C21" i="17"/>
  <c r="D21" i="17"/>
  <c r="J21" i="17"/>
  <c r="K21" i="17" s="1"/>
  <c r="I12" i="13"/>
  <c r="L12" i="13" s="1"/>
  <c r="M12" i="13" s="1"/>
  <c r="N12" i="13" s="1"/>
  <c r="E12" i="13"/>
  <c r="I28" i="13"/>
  <c r="L28" i="13" s="1"/>
  <c r="M28" i="13" s="1"/>
  <c r="N28" i="13" s="1"/>
  <c r="E28" i="13"/>
  <c r="J28" i="13"/>
  <c r="H28" i="13"/>
  <c r="I49" i="13"/>
  <c r="L49" i="13" s="1"/>
  <c r="M49" i="13" s="1"/>
  <c r="N49" i="13" s="1"/>
  <c r="E49" i="13"/>
  <c r="H49" i="13"/>
  <c r="J49" i="13"/>
  <c r="I40" i="4"/>
  <c r="E40" i="4"/>
  <c r="H40" i="4"/>
  <c r="J40" i="4"/>
  <c r="J33" i="5"/>
  <c r="F33" i="5"/>
  <c r="G33" i="5"/>
  <c r="E33" i="5"/>
  <c r="H50" i="13"/>
  <c r="D50" i="13"/>
  <c r="C50" i="13"/>
  <c r="I50" i="13"/>
  <c r="L50" i="13" s="1"/>
  <c r="M50" i="13" s="1"/>
  <c r="N50" i="13" s="1"/>
  <c r="G39" i="13"/>
  <c r="C39" i="13"/>
  <c r="F39" i="13"/>
  <c r="H39" i="13"/>
  <c r="H23" i="13"/>
  <c r="F23" i="13"/>
  <c r="I23" i="13"/>
  <c r="L23" i="13" s="1"/>
  <c r="M23" i="13" s="1"/>
  <c r="N23" i="13" s="1"/>
  <c r="H7" i="13"/>
  <c r="F7" i="13"/>
  <c r="I7" i="13"/>
  <c r="L7" i="13" s="1"/>
  <c r="M7" i="13" s="1"/>
  <c r="N7" i="13" s="1"/>
  <c r="G24" i="13"/>
  <c r="E24" i="13"/>
  <c r="D24" i="13"/>
  <c r="G8" i="19"/>
  <c r="C8" i="19"/>
  <c r="F8" i="19"/>
  <c r="H8" i="19"/>
  <c r="I38" i="4"/>
  <c r="K38" i="4" s="1"/>
  <c r="L38" i="4" s="1"/>
  <c r="M38" i="4" s="1"/>
  <c r="E38" i="4"/>
  <c r="H38" i="4"/>
  <c r="F38" i="4"/>
  <c r="J7" i="14"/>
  <c r="F7" i="14"/>
  <c r="G7" i="14"/>
  <c r="E7" i="14"/>
  <c r="J20" i="6"/>
  <c r="F20" i="6"/>
  <c r="I20" i="6"/>
  <c r="C20" i="6"/>
  <c r="J4" i="6"/>
  <c r="F4" i="6"/>
  <c r="I4" i="6"/>
  <c r="K4" i="6" s="1"/>
  <c r="L4" i="6" s="1"/>
  <c r="M4" i="6" s="1"/>
  <c r="C4" i="6"/>
  <c r="H14" i="19"/>
  <c r="D14" i="19"/>
  <c r="E14" i="19"/>
  <c r="G14" i="19"/>
  <c r="H5" i="19"/>
  <c r="D5" i="19"/>
  <c r="E5" i="19"/>
  <c r="G5" i="19"/>
  <c r="AA44" i="1"/>
  <c r="AB44" i="1" s="1"/>
  <c r="AC44" i="1" s="1"/>
  <c r="AA45" i="1"/>
  <c r="AB45" i="1" s="1"/>
  <c r="AC45" i="1" s="1"/>
  <c r="K10" i="14"/>
  <c r="L10" i="14" s="1"/>
  <c r="M10" i="14" s="1"/>
  <c r="E23" i="13"/>
  <c r="C23" i="13"/>
  <c r="D23" i="13"/>
  <c r="E7" i="13"/>
  <c r="C7" i="13"/>
  <c r="D7" i="13"/>
  <c r="H24" i="13"/>
  <c r="F24" i="13"/>
  <c r="C24" i="13"/>
  <c r="J25" i="9"/>
  <c r="D25" i="9"/>
  <c r="J17" i="9"/>
  <c r="D17" i="9"/>
  <c r="J9" i="9"/>
  <c r="D9" i="9"/>
  <c r="G10" i="9"/>
  <c r="H10" i="9"/>
  <c r="G8" i="14"/>
  <c r="J8" i="14"/>
  <c r="K8" i="14" s="1"/>
  <c r="I22" i="9"/>
  <c r="C22" i="9"/>
  <c r="I6" i="9"/>
  <c r="G6" i="9"/>
  <c r="D6" i="9"/>
  <c r="H19" i="14"/>
  <c r="F19" i="14"/>
  <c r="I19" i="14"/>
  <c r="I41" i="4"/>
  <c r="E41" i="4"/>
  <c r="J41" i="4"/>
  <c r="D41" i="4"/>
  <c r="I33" i="4"/>
  <c r="E33" i="4"/>
  <c r="J33" i="4"/>
  <c r="D33" i="4"/>
  <c r="I50" i="5"/>
  <c r="E50" i="5"/>
  <c r="J50" i="5"/>
  <c r="H50" i="5"/>
  <c r="I34" i="5"/>
  <c r="E34" i="5"/>
  <c r="J34" i="5"/>
  <c r="H34" i="5"/>
  <c r="I28" i="5"/>
  <c r="E28" i="5"/>
  <c r="H28" i="5"/>
  <c r="F28" i="5"/>
  <c r="H15" i="14"/>
  <c r="D15" i="14"/>
  <c r="C15" i="14"/>
  <c r="I15" i="14"/>
  <c r="H18" i="17"/>
  <c r="F18" i="17"/>
  <c r="E18" i="17"/>
  <c r="G19" i="17"/>
  <c r="E19" i="17"/>
  <c r="H19" i="17"/>
  <c r="H8" i="17"/>
  <c r="F8" i="17"/>
  <c r="E8" i="17"/>
  <c r="G9" i="17"/>
  <c r="E9" i="17"/>
  <c r="H9" i="17"/>
  <c r="I4" i="13"/>
  <c r="L4" i="13" s="1"/>
  <c r="M4" i="13" s="1"/>
  <c r="N4" i="13" s="1"/>
  <c r="E4" i="13"/>
  <c r="J4" i="13"/>
  <c r="I20" i="13"/>
  <c r="L20" i="13" s="1"/>
  <c r="M20" i="13" s="1"/>
  <c r="N20" i="13" s="1"/>
  <c r="E20" i="13"/>
  <c r="J20" i="13"/>
  <c r="H20" i="13"/>
  <c r="I36" i="13"/>
  <c r="L36" i="13" s="1"/>
  <c r="M36" i="13" s="1"/>
  <c r="N36" i="13" s="1"/>
  <c r="E36" i="13"/>
  <c r="J36" i="13"/>
  <c r="H36" i="13"/>
  <c r="J41" i="5"/>
  <c r="F41" i="5"/>
  <c r="G41" i="5"/>
  <c r="E41" i="5"/>
  <c r="J25" i="5"/>
  <c r="F25" i="5"/>
  <c r="G25" i="5"/>
  <c r="E25" i="5"/>
  <c r="I48" i="5"/>
  <c r="E48" i="5"/>
  <c r="H48" i="5"/>
  <c r="J48" i="5"/>
  <c r="H42" i="13"/>
  <c r="D42" i="13"/>
  <c r="C42" i="13"/>
  <c r="I42" i="13"/>
  <c r="L42" i="13" s="1"/>
  <c r="M42" i="13" s="1"/>
  <c r="N42" i="13" s="1"/>
  <c r="H31" i="13"/>
  <c r="D31" i="13"/>
  <c r="C31" i="13"/>
  <c r="E31" i="13"/>
  <c r="H15" i="13"/>
  <c r="D15" i="13"/>
  <c r="C15" i="13"/>
  <c r="E15" i="13"/>
  <c r="G8" i="13"/>
  <c r="C8" i="13"/>
  <c r="F8" i="13"/>
  <c r="H8" i="13"/>
  <c r="G41" i="13"/>
  <c r="C41" i="13"/>
  <c r="D41" i="13"/>
  <c r="F41" i="13"/>
  <c r="G17" i="9"/>
  <c r="F22" i="9"/>
  <c r="I10" i="9"/>
  <c r="E25" i="9"/>
  <c r="H25" i="9"/>
  <c r="E17" i="9"/>
  <c r="H17" i="9"/>
  <c r="E9" i="9"/>
  <c r="H9" i="9"/>
  <c r="D22" i="9"/>
  <c r="G22" i="9"/>
  <c r="F10" i="9"/>
  <c r="E10" i="9"/>
  <c r="E19" i="14"/>
  <c r="C19" i="14"/>
  <c r="D19" i="14"/>
  <c r="H8" i="14"/>
  <c r="E8" i="14"/>
  <c r="I18" i="17"/>
  <c r="K18" i="17" s="1"/>
  <c r="L18" i="17" s="1"/>
  <c r="M18" i="17" s="1"/>
  <c r="C18" i="17"/>
  <c r="D18" i="17"/>
  <c r="D19" i="17"/>
  <c r="F19" i="17"/>
  <c r="C19" i="17"/>
  <c r="I8" i="17"/>
  <c r="C8" i="17"/>
  <c r="D8" i="17"/>
  <c r="D9" i="17"/>
  <c r="F9" i="17"/>
  <c r="C9" i="17"/>
  <c r="I23" i="9"/>
  <c r="C23" i="9"/>
  <c r="D23" i="9"/>
  <c r="E11" i="9"/>
  <c r="C11" i="9"/>
  <c r="D11" i="9"/>
  <c r="I7" i="9"/>
  <c r="C7" i="9"/>
  <c r="D7" i="9"/>
  <c r="H20" i="9"/>
  <c r="F20" i="9"/>
  <c r="C20" i="9"/>
  <c r="H4" i="9"/>
  <c r="F4" i="9"/>
  <c r="C4" i="9"/>
  <c r="C21" i="14"/>
  <c r="E21" i="14"/>
  <c r="D21" i="14"/>
  <c r="C13" i="14"/>
  <c r="E13" i="14"/>
  <c r="D13" i="14"/>
  <c r="C5" i="14"/>
  <c r="E5" i="14"/>
  <c r="D5" i="14"/>
  <c r="C25" i="9"/>
  <c r="I25" i="9"/>
  <c r="F25" i="9"/>
  <c r="C17" i="9"/>
  <c r="I17" i="9"/>
  <c r="F17" i="9"/>
  <c r="C9" i="9"/>
  <c r="I9" i="9"/>
  <c r="F9" i="9"/>
  <c r="J22" i="9"/>
  <c r="H22" i="9"/>
  <c r="E22" i="9"/>
  <c r="J6" i="9"/>
  <c r="H6" i="9"/>
  <c r="E6" i="9"/>
  <c r="J10" i="9"/>
  <c r="D10" i="9"/>
  <c r="C10" i="9"/>
  <c r="D8" i="14"/>
  <c r="F8" i="14"/>
  <c r="C8" i="14"/>
  <c r="AO46" i="1"/>
  <c r="R2" i="2"/>
  <c r="E21" i="6"/>
  <c r="G21" i="6"/>
  <c r="C21" i="6"/>
  <c r="D21" i="6"/>
  <c r="F21" i="6"/>
  <c r="I21" i="6"/>
  <c r="H21" i="6"/>
  <c r="J21" i="6"/>
  <c r="G4" i="8"/>
  <c r="C4" i="8"/>
  <c r="D4" i="8"/>
  <c r="F4" i="8"/>
  <c r="I4" i="8"/>
  <c r="E4" i="8"/>
  <c r="H4" i="8"/>
  <c r="J4" i="8"/>
  <c r="G22" i="13"/>
  <c r="C22" i="13"/>
  <c r="D22" i="13"/>
  <c r="I22" i="13"/>
  <c r="L22" i="13" s="1"/>
  <c r="M22" i="13" s="1"/>
  <c r="N22" i="13" s="1"/>
  <c r="E22" i="13"/>
  <c r="H22" i="13"/>
  <c r="J22" i="13"/>
  <c r="F22" i="13"/>
  <c r="D13" i="6"/>
  <c r="I13" i="6"/>
  <c r="E13" i="6"/>
  <c r="H13" i="6"/>
  <c r="J13" i="6"/>
  <c r="F13" i="6"/>
  <c r="G13" i="6"/>
  <c r="C13" i="6"/>
  <c r="K5" i="6"/>
  <c r="L5" i="6" s="1"/>
  <c r="M5" i="6" s="1"/>
  <c r="G87" i="2"/>
  <c r="R87" i="2"/>
  <c r="G86" i="2"/>
  <c r="R86" i="2"/>
  <c r="G91" i="2"/>
  <c r="R91" i="2"/>
  <c r="G85" i="2"/>
  <c r="R85" i="2"/>
  <c r="G84" i="2"/>
  <c r="R84" i="2"/>
  <c r="G83" i="2"/>
  <c r="R83" i="2"/>
  <c r="G82" i="2"/>
  <c r="R82" i="2"/>
  <c r="G81" i="2"/>
  <c r="R81" i="2"/>
  <c r="G80" i="2"/>
  <c r="R80" i="2"/>
  <c r="G79" i="2"/>
  <c r="R79" i="2"/>
  <c r="G78" i="2"/>
  <c r="R78" i="2"/>
  <c r="G77" i="2"/>
  <c r="R77" i="2"/>
  <c r="G76" i="2"/>
  <c r="R76" i="2"/>
  <c r="G90" i="2"/>
  <c r="R90" i="2"/>
  <c r="G93" i="2"/>
  <c r="R93" i="2"/>
  <c r="G75" i="2"/>
  <c r="R75" i="2"/>
  <c r="G74" i="2"/>
  <c r="R74" i="2"/>
  <c r="G73" i="2"/>
  <c r="R73" i="2"/>
  <c r="G72" i="2"/>
  <c r="R72" i="2"/>
  <c r="G71" i="2"/>
  <c r="R71" i="2"/>
  <c r="G70" i="2"/>
  <c r="R70" i="2"/>
  <c r="G69" i="2"/>
  <c r="R69" i="2"/>
  <c r="G68" i="2"/>
  <c r="R68" i="2"/>
  <c r="G67" i="2"/>
  <c r="R67" i="2"/>
  <c r="G65" i="2"/>
  <c r="R65" i="2"/>
  <c r="G64" i="2"/>
  <c r="R64" i="2"/>
  <c r="G89" i="2"/>
  <c r="R89" i="2"/>
  <c r="G88" i="2"/>
  <c r="R88" i="2"/>
  <c r="G92" i="2"/>
  <c r="R92" i="2"/>
  <c r="G63" i="2"/>
  <c r="R63" i="2"/>
  <c r="G62" i="2"/>
  <c r="R62" i="2"/>
  <c r="R61" i="2"/>
  <c r="G61" i="2"/>
  <c r="E60" i="2"/>
  <c r="K60" i="2"/>
  <c r="G60" i="2"/>
  <c r="AD3" i="22"/>
  <c r="I12" i="8"/>
  <c r="E12" i="8"/>
  <c r="H12" i="8"/>
  <c r="J12" i="8"/>
  <c r="C12" i="8"/>
  <c r="D12" i="8"/>
  <c r="F12" i="8"/>
  <c r="G12" i="8"/>
  <c r="F34" i="13"/>
  <c r="I34" i="13"/>
  <c r="L34" i="13" s="1"/>
  <c r="M34" i="13" s="1"/>
  <c r="N34" i="13" s="1"/>
  <c r="E34" i="13"/>
  <c r="H34" i="13"/>
  <c r="J34" i="13"/>
  <c r="D34" i="13"/>
  <c r="G34" i="13"/>
  <c r="C34" i="13"/>
  <c r="G20" i="8"/>
  <c r="I20" i="8"/>
  <c r="E20" i="8"/>
  <c r="H20" i="8"/>
  <c r="F20" i="8"/>
  <c r="C20" i="8"/>
  <c r="D20" i="8"/>
  <c r="J20" i="8"/>
  <c r="F16" i="8"/>
  <c r="G16" i="8"/>
  <c r="E16" i="8"/>
  <c r="J16" i="8"/>
  <c r="H16" i="8"/>
  <c r="D16" i="8"/>
  <c r="I16" i="8"/>
  <c r="C16" i="8"/>
  <c r="AA4" i="1"/>
  <c r="AB4" i="1" s="1"/>
  <c r="AC4" i="1" s="1"/>
  <c r="Z3" i="1"/>
  <c r="AA3" i="1" s="1"/>
  <c r="AB3" i="1" s="1"/>
  <c r="AC3" i="1" s="1"/>
  <c r="I14" i="13"/>
  <c r="L14" i="13" s="1"/>
  <c r="M14" i="13" s="1"/>
  <c r="N14" i="13" s="1"/>
  <c r="E14" i="13"/>
  <c r="H14" i="13"/>
  <c r="J14" i="13"/>
  <c r="F14" i="13"/>
  <c r="G14" i="13"/>
  <c r="C14" i="13"/>
  <c r="D14" i="13"/>
  <c r="I30" i="13"/>
  <c r="L30" i="13" s="1"/>
  <c r="M30" i="13" s="1"/>
  <c r="N30" i="13" s="1"/>
  <c r="E30" i="13"/>
  <c r="H30" i="13"/>
  <c r="J30" i="13"/>
  <c r="F30" i="13"/>
  <c r="G30" i="13"/>
  <c r="C30" i="13"/>
  <c r="D30" i="13"/>
  <c r="F26" i="13"/>
  <c r="G26" i="13"/>
  <c r="C26" i="13"/>
  <c r="D26" i="13"/>
  <c r="I26" i="13"/>
  <c r="L26" i="13" s="1"/>
  <c r="E26" i="13"/>
  <c r="H26" i="13"/>
  <c r="J26" i="13"/>
  <c r="G38" i="13"/>
  <c r="C38" i="13"/>
  <c r="D38" i="13"/>
  <c r="F38" i="13"/>
  <c r="I38" i="13"/>
  <c r="L38" i="13" s="1"/>
  <c r="E38" i="13"/>
  <c r="H38" i="13"/>
  <c r="J38" i="13"/>
  <c r="J6" i="13"/>
  <c r="G6" i="13"/>
  <c r="C6" i="13"/>
  <c r="D6" i="13"/>
  <c r="I6" i="13"/>
  <c r="L6" i="13" s="1"/>
  <c r="E6" i="13"/>
  <c r="H6" i="13"/>
  <c r="F6" i="13"/>
  <c r="F10" i="13"/>
  <c r="G10" i="13"/>
  <c r="C10" i="13"/>
  <c r="D10" i="13"/>
  <c r="I10" i="13"/>
  <c r="L10" i="13" s="1"/>
  <c r="E10" i="13"/>
  <c r="H10" i="13"/>
  <c r="J10" i="13"/>
  <c r="J45" i="13"/>
  <c r="G45" i="13"/>
  <c r="C45" i="13"/>
  <c r="D45" i="13"/>
  <c r="I45" i="13"/>
  <c r="L45" i="13" s="1"/>
  <c r="E45" i="13"/>
  <c r="H45" i="13"/>
  <c r="F45" i="13"/>
  <c r="AB37" i="1"/>
  <c r="AC46" i="1"/>
  <c r="AB23" i="1"/>
  <c r="AB27" i="1"/>
  <c r="AC27" i="1" s="1"/>
  <c r="AB47" i="1"/>
  <c r="AC37" i="1"/>
  <c r="AB42" i="1"/>
  <c r="Z6" i="1"/>
  <c r="AA6" i="1" s="1"/>
  <c r="AB6" i="1" s="1"/>
  <c r="AC6" i="1" s="1"/>
  <c r="Z5" i="1"/>
  <c r="AA5" i="1" s="1"/>
  <c r="AB5" i="1" s="1"/>
  <c r="AC5" i="1" s="1"/>
  <c r="AC41" i="1"/>
  <c r="AC31" i="1"/>
  <c r="K49" i="4"/>
  <c r="I5" i="7"/>
  <c r="G5" i="7"/>
  <c r="E5" i="7"/>
  <c r="C5" i="7"/>
  <c r="H5" i="7"/>
  <c r="D5" i="7"/>
  <c r="F5" i="7"/>
  <c r="J5" i="7"/>
  <c r="I13" i="7"/>
  <c r="G13" i="7"/>
  <c r="E13" i="7"/>
  <c r="C13" i="7"/>
  <c r="H13" i="7"/>
  <c r="D13" i="7"/>
  <c r="F13" i="7"/>
  <c r="J13" i="7"/>
  <c r="I9" i="7"/>
  <c r="G9" i="7"/>
  <c r="E9" i="7"/>
  <c r="C9" i="7"/>
  <c r="H9" i="7"/>
  <c r="D9" i="7"/>
  <c r="J9" i="7"/>
  <c r="F9" i="7"/>
  <c r="I25" i="7"/>
  <c r="G25" i="7"/>
  <c r="E25" i="7"/>
  <c r="C25" i="7"/>
  <c r="H25" i="7"/>
  <c r="D25" i="7"/>
  <c r="J25" i="7"/>
  <c r="F25" i="7"/>
  <c r="I11" i="7"/>
  <c r="G11" i="7"/>
  <c r="E11" i="7"/>
  <c r="C11" i="7"/>
  <c r="J11" i="7"/>
  <c r="F11" i="7"/>
  <c r="H11" i="7"/>
  <c r="D11" i="7"/>
  <c r="I19" i="7"/>
  <c r="G19" i="7"/>
  <c r="E19" i="7"/>
  <c r="C19" i="7"/>
  <c r="J19" i="7"/>
  <c r="F19" i="7"/>
  <c r="H19" i="7"/>
  <c r="D19" i="7"/>
  <c r="I27" i="7"/>
  <c r="G27" i="7"/>
  <c r="E27" i="7"/>
  <c r="C27" i="7"/>
  <c r="J27" i="7"/>
  <c r="F27" i="7"/>
  <c r="H27" i="7"/>
  <c r="D27" i="7"/>
  <c r="J4" i="7"/>
  <c r="H4" i="7"/>
  <c r="F4" i="7"/>
  <c r="D4" i="7"/>
  <c r="I4" i="7"/>
  <c r="K4" i="7" s="1"/>
  <c r="E4" i="7"/>
  <c r="C4" i="7"/>
  <c r="G4" i="7"/>
  <c r="J8" i="7"/>
  <c r="H8" i="7"/>
  <c r="F8" i="7"/>
  <c r="D8" i="7"/>
  <c r="I8" i="7"/>
  <c r="E8" i="7"/>
  <c r="G8" i="7"/>
  <c r="C8" i="7"/>
  <c r="J12" i="7"/>
  <c r="H12" i="7"/>
  <c r="F12" i="7"/>
  <c r="D12" i="7"/>
  <c r="I12" i="7"/>
  <c r="K12" i="7" s="1"/>
  <c r="E12" i="7"/>
  <c r="C12" i="7"/>
  <c r="G12" i="7"/>
  <c r="J16" i="7"/>
  <c r="H16" i="7"/>
  <c r="F16" i="7"/>
  <c r="D16" i="7"/>
  <c r="I16" i="7"/>
  <c r="E16" i="7"/>
  <c r="G16" i="7"/>
  <c r="C16" i="7"/>
  <c r="J20" i="7"/>
  <c r="H20" i="7"/>
  <c r="F20" i="7"/>
  <c r="D20" i="7"/>
  <c r="I20" i="7"/>
  <c r="K20" i="7" s="1"/>
  <c r="E20" i="7"/>
  <c r="C20" i="7"/>
  <c r="G20" i="7"/>
  <c r="J24" i="7"/>
  <c r="H24" i="7"/>
  <c r="F24" i="7"/>
  <c r="D24" i="7"/>
  <c r="I24" i="7"/>
  <c r="K24" i="7" s="1"/>
  <c r="E24" i="7"/>
  <c r="G24" i="7"/>
  <c r="C24" i="7"/>
  <c r="J28" i="7"/>
  <c r="H28" i="7"/>
  <c r="F28" i="7"/>
  <c r="D28" i="7"/>
  <c r="I28" i="7"/>
  <c r="E28" i="7"/>
  <c r="C28" i="7"/>
  <c r="G28" i="7"/>
  <c r="J32" i="7"/>
  <c r="H32" i="7"/>
  <c r="F32" i="7"/>
  <c r="D32" i="7"/>
  <c r="I32" i="7"/>
  <c r="E32" i="7"/>
  <c r="G32" i="7"/>
  <c r="C32" i="7"/>
  <c r="K6" i="11"/>
  <c r="AC12" i="1"/>
  <c r="AA7" i="1"/>
  <c r="AB7" i="1" s="1"/>
  <c r="AC7" i="1" s="1"/>
  <c r="AA9" i="1"/>
  <c r="AB9" i="1" s="1"/>
  <c r="AC9" i="1" s="1"/>
  <c r="K11" i="10"/>
  <c r="L11" i="10" s="1"/>
  <c r="K20" i="19"/>
  <c r="I6" i="12"/>
  <c r="K6" i="12" s="1"/>
  <c r="G6" i="12"/>
  <c r="E6" i="12"/>
  <c r="C6" i="12"/>
  <c r="H6" i="12"/>
  <c r="D6" i="12"/>
  <c r="J6" i="12"/>
  <c r="F6" i="12"/>
  <c r="I8" i="12"/>
  <c r="K8" i="12" s="1"/>
  <c r="G8" i="12"/>
  <c r="E8" i="12"/>
  <c r="C8" i="12"/>
  <c r="J8" i="12"/>
  <c r="F8" i="12"/>
  <c r="H8" i="12"/>
  <c r="D8" i="12"/>
  <c r="J5" i="12"/>
  <c r="H5" i="12"/>
  <c r="F5" i="12"/>
  <c r="D5" i="12"/>
  <c r="I5" i="12"/>
  <c r="K5" i="12" s="1"/>
  <c r="E5" i="12"/>
  <c r="G5" i="12"/>
  <c r="C5" i="12"/>
  <c r="L22" i="17"/>
  <c r="M22" i="17" s="1"/>
  <c r="AB8" i="1"/>
  <c r="AC8" i="1" s="1"/>
  <c r="I21" i="7"/>
  <c r="G21" i="7"/>
  <c r="E21" i="7"/>
  <c r="C21" i="7"/>
  <c r="H21" i="7"/>
  <c r="D21" i="7"/>
  <c r="F21" i="7"/>
  <c r="J21" i="7"/>
  <c r="I29" i="7"/>
  <c r="G29" i="7"/>
  <c r="E29" i="7"/>
  <c r="C29" i="7"/>
  <c r="H29" i="7"/>
  <c r="D29" i="7"/>
  <c r="F29" i="7"/>
  <c r="J29" i="7"/>
  <c r="I17" i="7"/>
  <c r="G17" i="7"/>
  <c r="E17" i="7"/>
  <c r="C17" i="7"/>
  <c r="H17" i="7"/>
  <c r="D17" i="7"/>
  <c r="J17" i="7"/>
  <c r="F17" i="7"/>
  <c r="I33" i="7"/>
  <c r="G33" i="7"/>
  <c r="E33" i="7"/>
  <c r="C33" i="7"/>
  <c r="H33" i="7"/>
  <c r="D33" i="7"/>
  <c r="J33" i="7"/>
  <c r="F33" i="7"/>
  <c r="I7" i="7"/>
  <c r="G7" i="7"/>
  <c r="E7" i="7"/>
  <c r="C7" i="7"/>
  <c r="J7" i="7"/>
  <c r="F7" i="7"/>
  <c r="D7" i="7"/>
  <c r="H7" i="7"/>
  <c r="I15" i="7"/>
  <c r="G15" i="7"/>
  <c r="E15" i="7"/>
  <c r="C15" i="7"/>
  <c r="J15" i="7"/>
  <c r="F15" i="7"/>
  <c r="D15" i="7"/>
  <c r="H15" i="7"/>
  <c r="I23" i="7"/>
  <c r="G23" i="7"/>
  <c r="E23" i="7"/>
  <c r="C23" i="7"/>
  <c r="J23" i="7"/>
  <c r="F23" i="7"/>
  <c r="D23" i="7"/>
  <c r="H23" i="7"/>
  <c r="I31" i="7"/>
  <c r="G31" i="7"/>
  <c r="E31" i="7"/>
  <c r="C31" i="7"/>
  <c r="J31" i="7"/>
  <c r="F31" i="7"/>
  <c r="D31" i="7"/>
  <c r="H31" i="7"/>
  <c r="J6" i="7"/>
  <c r="H6" i="7"/>
  <c r="F6" i="7"/>
  <c r="D6" i="7"/>
  <c r="G6" i="7"/>
  <c r="C6" i="7"/>
  <c r="I6" i="7"/>
  <c r="K6" i="7" s="1"/>
  <c r="E6" i="7"/>
  <c r="J10" i="7"/>
  <c r="H10" i="7"/>
  <c r="F10" i="7"/>
  <c r="D10" i="7"/>
  <c r="G10" i="7"/>
  <c r="C10" i="7"/>
  <c r="E10" i="7"/>
  <c r="I10" i="7"/>
  <c r="J14" i="7"/>
  <c r="H14" i="7"/>
  <c r="F14" i="7"/>
  <c r="D14" i="7"/>
  <c r="G14" i="7"/>
  <c r="C14" i="7"/>
  <c r="I14" i="7"/>
  <c r="K14" i="7" s="1"/>
  <c r="E14" i="7"/>
  <c r="J18" i="7"/>
  <c r="H18" i="7"/>
  <c r="F18" i="7"/>
  <c r="D18" i="7"/>
  <c r="G18" i="7"/>
  <c r="C18" i="7"/>
  <c r="E18" i="7"/>
  <c r="I18" i="7"/>
  <c r="J22" i="7"/>
  <c r="H22" i="7"/>
  <c r="F22" i="7"/>
  <c r="D22" i="7"/>
  <c r="G22" i="7"/>
  <c r="C22" i="7"/>
  <c r="I22" i="7"/>
  <c r="E22" i="7"/>
  <c r="J26" i="7"/>
  <c r="H26" i="7"/>
  <c r="F26" i="7"/>
  <c r="D26" i="7"/>
  <c r="G26" i="7"/>
  <c r="C26" i="7"/>
  <c r="E26" i="7"/>
  <c r="I26" i="7"/>
  <c r="J30" i="7"/>
  <c r="H30" i="7"/>
  <c r="F30" i="7"/>
  <c r="D30" i="7"/>
  <c r="G30" i="7"/>
  <c r="C30" i="7"/>
  <c r="I30" i="7"/>
  <c r="K30" i="7" s="1"/>
  <c r="E30" i="7"/>
  <c r="M35" i="13"/>
  <c r="N35" i="13" s="1"/>
  <c r="M27" i="13"/>
  <c r="N27" i="13" s="1"/>
  <c r="AA10" i="1"/>
  <c r="AB10" i="1" s="1"/>
  <c r="AC10" i="1" s="1"/>
  <c r="AC20" i="1"/>
  <c r="I4" i="12"/>
  <c r="K4" i="12" s="1"/>
  <c r="G4" i="12"/>
  <c r="E4" i="12"/>
  <c r="C4" i="12"/>
  <c r="J4" i="12"/>
  <c r="F4" i="12"/>
  <c r="D4" i="12"/>
  <c r="H4" i="12"/>
  <c r="J7" i="12"/>
  <c r="H7" i="12"/>
  <c r="F7" i="12"/>
  <c r="D7" i="12"/>
  <c r="G7" i="12"/>
  <c r="C7" i="12"/>
  <c r="E7" i="12"/>
  <c r="I7" i="12"/>
  <c r="K7" i="12" s="1"/>
  <c r="L8" i="8"/>
  <c r="M8" i="8" s="1"/>
  <c r="I87" i="2"/>
  <c r="F86" i="2"/>
  <c r="I91" i="2"/>
  <c r="F85" i="2"/>
  <c r="I84" i="2"/>
  <c r="F83" i="2"/>
  <c r="I82" i="2"/>
  <c r="F81" i="2"/>
  <c r="I80" i="2"/>
  <c r="F79" i="2"/>
  <c r="I78" i="2"/>
  <c r="I77" i="2"/>
  <c r="F76" i="2"/>
  <c r="I90" i="2"/>
  <c r="F93" i="2"/>
  <c r="I75" i="2"/>
  <c r="F74" i="2"/>
  <c r="I73" i="2"/>
  <c r="I72" i="2"/>
  <c r="H71" i="2"/>
  <c r="H70" i="2"/>
  <c r="F69" i="2"/>
  <c r="I68" i="2"/>
  <c r="H67" i="2"/>
  <c r="I65" i="2"/>
  <c r="H64" i="2"/>
  <c r="H89" i="2"/>
  <c r="I88" i="2"/>
  <c r="H92" i="2"/>
  <c r="H63" i="2"/>
  <c r="H62" i="2"/>
  <c r="F61" i="2"/>
  <c r="N60" i="2"/>
  <c r="F87" i="2"/>
  <c r="H86" i="2"/>
  <c r="B86" i="2"/>
  <c r="F91" i="2"/>
  <c r="H85" i="2"/>
  <c r="B85" i="2"/>
  <c r="F84" i="2"/>
  <c r="H83" i="2"/>
  <c r="B83" i="2"/>
  <c r="F82" i="2"/>
  <c r="H81" i="2"/>
  <c r="B81" i="2"/>
  <c r="F80" i="2"/>
  <c r="H79" i="2"/>
  <c r="B79" i="2"/>
  <c r="F78" i="2"/>
  <c r="F77" i="2"/>
  <c r="H76" i="2"/>
  <c r="B76" i="2"/>
  <c r="F90" i="2"/>
  <c r="H93" i="2"/>
  <c r="B93" i="2"/>
  <c r="F75" i="2"/>
  <c r="H74" i="2"/>
  <c r="B74" i="2"/>
  <c r="F73" i="2"/>
  <c r="C73" i="2"/>
  <c r="F72" i="2"/>
  <c r="C72" i="2"/>
  <c r="B71" i="2"/>
  <c r="C70" i="2"/>
  <c r="F70" i="2"/>
  <c r="B69" i="2"/>
  <c r="F68" i="2"/>
  <c r="C68" i="2"/>
  <c r="B67" i="2"/>
  <c r="F65" i="2"/>
  <c r="C65" i="2"/>
  <c r="B64" i="2"/>
  <c r="C89" i="2"/>
  <c r="F89" i="2"/>
  <c r="F88" i="2"/>
  <c r="C88" i="2"/>
  <c r="B92" i="2"/>
  <c r="B63" i="2"/>
  <c r="C62" i="2"/>
  <c r="F62" i="2"/>
  <c r="C61" i="2"/>
  <c r="I61" i="2"/>
  <c r="C60" i="2"/>
  <c r="C87" i="2"/>
  <c r="C91" i="2"/>
  <c r="C84" i="2"/>
  <c r="C82" i="2"/>
  <c r="C80" i="2"/>
  <c r="C78" i="2"/>
  <c r="C77" i="2"/>
  <c r="C90" i="2"/>
  <c r="C75" i="2"/>
  <c r="H73" i="2"/>
  <c r="H72" i="2"/>
  <c r="F71" i="2"/>
  <c r="I70" i="2"/>
  <c r="H69" i="2"/>
  <c r="H68" i="2"/>
  <c r="F67" i="2"/>
  <c r="H65" i="2"/>
  <c r="F64" i="2"/>
  <c r="I89" i="2"/>
  <c r="H88" i="2"/>
  <c r="F92" i="2"/>
  <c r="F63" i="2"/>
  <c r="I62" i="2"/>
  <c r="H61" i="2"/>
  <c r="B87" i="2"/>
  <c r="H87" i="2"/>
  <c r="C86" i="2"/>
  <c r="I86" i="2"/>
  <c r="B91" i="2"/>
  <c r="H91" i="2"/>
  <c r="C85" i="2"/>
  <c r="I85" i="2"/>
  <c r="B84" i="2"/>
  <c r="H84" i="2"/>
  <c r="C83" i="2"/>
  <c r="I83" i="2"/>
  <c r="B82" i="2"/>
  <c r="H82" i="2"/>
  <c r="C81" i="2"/>
  <c r="I81" i="2"/>
  <c r="B80" i="2"/>
  <c r="H80" i="2"/>
  <c r="C79" i="2"/>
  <c r="I79" i="2"/>
  <c r="B78" i="2"/>
  <c r="H78" i="2"/>
  <c r="B77" i="2"/>
  <c r="H77" i="2"/>
  <c r="C76" i="2"/>
  <c r="I76" i="2"/>
  <c r="B90" i="2"/>
  <c r="H90" i="2"/>
  <c r="C93" i="2"/>
  <c r="I93" i="2"/>
  <c r="B75" i="2"/>
  <c r="H75" i="2"/>
  <c r="C74" i="2"/>
  <c r="I74" i="2"/>
  <c r="B73" i="2"/>
  <c r="B72" i="2"/>
  <c r="I71" i="2"/>
  <c r="C71" i="2"/>
  <c r="B70" i="2"/>
  <c r="C69" i="2"/>
  <c r="I69" i="2"/>
  <c r="B68" i="2"/>
  <c r="I67" i="2"/>
  <c r="C67" i="2"/>
  <c r="B65" i="2"/>
  <c r="I64" i="2"/>
  <c r="C64" i="2"/>
  <c r="B89" i="2"/>
  <c r="B88" i="2"/>
  <c r="I92" i="2"/>
  <c r="C92" i="2"/>
  <c r="I63" i="2"/>
  <c r="C63" i="2"/>
  <c r="B62" i="2"/>
  <c r="B61" i="2"/>
  <c r="F2" i="2"/>
  <c r="H2" i="2"/>
  <c r="I2" i="2"/>
  <c r="B2" i="2"/>
  <c r="J68" i="2"/>
  <c r="J67" i="2"/>
  <c r="J82" i="2"/>
  <c r="J85" i="2"/>
  <c r="J2" i="2"/>
  <c r="J75" i="2"/>
  <c r="J81" i="2"/>
  <c r="J93" i="2"/>
  <c r="J65" i="2"/>
  <c r="J72" i="2"/>
  <c r="J91" i="2"/>
  <c r="J92" i="2"/>
  <c r="J79" i="2"/>
  <c r="J63" i="2"/>
  <c r="J89" i="2"/>
  <c r="J70" i="2"/>
  <c r="J86" i="2"/>
  <c r="J90" i="2"/>
  <c r="J71" i="2"/>
  <c r="J77" i="2"/>
  <c r="J76" i="2"/>
  <c r="J78" i="2"/>
  <c r="J88" i="2"/>
  <c r="J61" i="2"/>
  <c r="J69" i="2"/>
  <c r="J87" i="2"/>
  <c r="J84" i="2"/>
  <c r="J80" i="2"/>
  <c r="J83" i="2"/>
  <c r="J64" i="2"/>
  <c r="J74" i="2"/>
  <c r="J73" i="2"/>
  <c r="J62" i="2"/>
  <c r="K12" i="17" l="1"/>
  <c r="L12" i="17" s="1"/>
  <c r="M12" i="17" s="1"/>
  <c r="K22" i="7"/>
  <c r="L22" i="7" s="1"/>
  <c r="M22" i="7" s="1"/>
  <c r="K16" i="7"/>
  <c r="L16" i="7" s="1"/>
  <c r="M16" i="7" s="1"/>
  <c r="K16" i="6"/>
  <c r="L16" i="6" s="1"/>
  <c r="M16" i="6" s="1"/>
  <c r="K8" i="6"/>
  <c r="L8" i="6" s="1"/>
  <c r="M8" i="6" s="1"/>
  <c r="K20" i="6"/>
  <c r="L20" i="6" s="1"/>
  <c r="M20" i="6" s="1"/>
  <c r="K32" i="7"/>
  <c r="L32" i="7" s="1"/>
  <c r="M32" i="7" s="1"/>
  <c r="K12" i="6"/>
  <c r="L12" i="6" s="1"/>
  <c r="M12" i="6" s="1"/>
  <c r="K19" i="14"/>
  <c r="L19" i="14" s="1"/>
  <c r="M19" i="14" s="1"/>
  <c r="K28" i="5"/>
  <c r="L28" i="5" s="1"/>
  <c r="M28" i="5" s="1"/>
  <c r="K14" i="17"/>
  <c r="L14" i="17" s="1"/>
  <c r="M14" i="17" s="1"/>
  <c r="K13" i="9"/>
  <c r="L13" i="9" s="1"/>
  <c r="M13" i="9" s="1"/>
  <c r="K15" i="9"/>
  <c r="L15" i="9" s="1"/>
  <c r="M15" i="9" s="1"/>
  <c r="K6" i="6"/>
  <c r="L6" i="6" s="1"/>
  <c r="M6" i="6" s="1"/>
  <c r="K30" i="5"/>
  <c r="L30" i="5" s="1"/>
  <c r="M30" i="5" s="1"/>
  <c r="K15" i="19"/>
  <c r="L15" i="19" s="1"/>
  <c r="M15" i="19" s="1"/>
  <c r="K34" i="4"/>
  <c r="L34" i="4" s="1"/>
  <c r="M34" i="4" s="1"/>
  <c r="K4" i="17"/>
  <c r="L4" i="17" s="1"/>
  <c r="M4" i="17" s="1"/>
  <c r="K46" i="4"/>
  <c r="L46" i="4" s="1"/>
  <c r="M46" i="4" s="1"/>
  <c r="K10" i="8"/>
  <c r="L10" i="8" s="1"/>
  <c r="M10" i="8" s="1"/>
  <c r="K48" i="4"/>
  <c r="L48" i="4" s="1"/>
  <c r="M48" i="4" s="1"/>
  <c r="K32" i="5"/>
  <c r="L32" i="5" s="1"/>
  <c r="M32" i="5" s="1"/>
  <c r="K3" i="17"/>
  <c r="L3" i="17" s="1"/>
  <c r="M3" i="17" s="1"/>
  <c r="K13" i="17"/>
  <c r="L13" i="17" s="1"/>
  <c r="M13" i="17" s="1"/>
  <c r="K16" i="14"/>
  <c r="L16" i="14" s="1"/>
  <c r="M16" i="14" s="1"/>
  <c r="K17" i="17"/>
  <c r="L17" i="17" s="1"/>
  <c r="M17" i="17" s="1"/>
  <c r="K15" i="6"/>
  <c r="L15" i="6" s="1"/>
  <c r="M15" i="6" s="1"/>
  <c r="K22" i="6"/>
  <c r="L22" i="6" s="1"/>
  <c r="M22" i="6" s="1"/>
  <c r="K52" i="4"/>
  <c r="L52" i="4" s="1"/>
  <c r="M52" i="4" s="1"/>
  <c r="K14" i="9"/>
  <c r="L14" i="9" s="1"/>
  <c r="M14" i="9" s="1"/>
  <c r="K14" i="8"/>
  <c r="L14" i="8" s="1"/>
  <c r="M14" i="8" s="1"/>
  <c r="K25" i="8"/>
  <c r="L25" i="8" s="1"/>
  <c r="M25" i="8" s="1"/>
  <c r="K9" i="6"/>
  <c r="L9" i="6" s="1"/>
  <c r="M9" i="6" s="1"/>
  <c r="K11" i="17"/>
  <c r="L11" i="17" s="1"/>
  <c r="M11" i="17" s="1"/>
  <c r="K42" i="4"/>
  <c r="L42" i="4" s="1"/>
  <c r="M42" i="4" s="1"/>
  <c r="K47" i="4"/>
  <c r="L47" i="4" s="1"/>
  <c r="M47" i="4" s="1"/>
  <c r="K7" i="9"/>
  <c r="L7" i="9" s="1"/>
  <c r="M7" i="9" s="1"/>
  <c r="K8" i="17"/>
  <c r="L8" i="17" s="1"/>
  <c r="M8" i="17" s="1"/>
  <c r="K11" i="9"/>
  <c r="L11" i="9" s="1"/>
  <c r="M11" i="9" s="1"/>
  <c r="K41" i="5"/>
  <c r="L41" i="5" s="1"/>
  <c r="M41" i="5" s="1"/>
  <c r="K15" i="14"/>
  <c r="L15" i="14" s="1"/>
  <c r="M15" i="14" s="1"/>
  <c r="K46" i="5"/>
  <c r="L46" i="5" s="1"/>
  <c r="M46" i="5" s="1"/>
  <c r="K14" i="6"/>
  <c r="L14" i="6" s="1"/>
  <c r="M14" i="6" s="1"/>
  <c r="K6" i="19"/>
  <c r="L6" i="19" s="1"/>
  <c r="M6" i="19" s="1"/>
  <c r="K18" i="14"/>
  <c r="L18" i="14" s="1"/>
  <c r="M18" i="14" s="1"/>
  <c r="K31" i="5"/>
  <c r="L31" i="5" s="1"/>
  <c r="M31" i="5" s="1"/>
  <c r="K12" i="19"/>
  <c r="L12" i="19" s="1"/>
  <c r="M12" i="19" s="1"/>
  <c r="K19" i="6"/>
  <c r="L19" i="6" s="1"/>
  <c r="M19" i="6" s="1"/>
  <c r="K18" i="6"/>
  <c r="L18" i="6" s="1"/>
  <c r="M18" i="6" s="1"/>
  <c r="K20" i="14"/>
  <c r="L20" i="14" s="1"/>
  <c r="M20" i="14" s="1"/>
  <c r="K22" i="8"/>
  <c r="L22" i="8" s="1"/>
  <c r="M22" i="8" s="1"/>
  <c r="K51" i="4"/>
  <c r="L51" i="4" s="1"/>
  <c r="M51" i="4" s="1"/>
  <c r="K19" i="19"/>
  <c r="L19" i="19" s="1"/>
  <c r="M19" i="19" s="1"/>
  <c r="K31" i="4"/>
  <c r="L31" i="4" s="1"/>
  <c r="M31" i="4" s="1"/>
  <c r="K40" i="5"/>
  <c r="L40" i="5" s="1"/>
  <c r="M40" i="5" s="1"/>
  <c r="K44" i="4"/>
  <c r="L44" i="4" s="1"/>
  <c r="M44" i="4" s="1"/>
  <c r="K39" i="5"/>
  <c r="L39" i="5" s="1"/>
  <c r="M39" i="5" s="1"/>
  <c r="K13" i="19"/>
  <c r="L13" i="19" s="1"/>
  <c r="M13" i="19" s="1"/>
  <c r="K9" i="14"/>
  <c r="L9" i="14" s="1"/>
  <c r="M9" i="14" s="1"/>
  <c r="K12" i="9"/>
  <c r="L12" i="9" s="1"/>
  <c r="M12" i="9" s="1"/>
  <c r="K17" i="6"/>
  <c r="L17" i="6" s="1"/>
  <c r="M17" i="6" s="1"/>
  <c r="K24" i="8"/>
  <c r="L24" i="8" s="1"/>
  <c r="M24" i="8" s="1"/>
  <c r="K19" i="17"/>
  <c r="L19" i="17" s="1"/>
  <c r="M19" i="17" s="1"/>
  <c r="K17" i="8"/>
  <c r="L17" i="8" s="1"/>
  <c r="M17" i="8" s="1"/>
  <c r="K10" i="6"/>
  <c r="L10" i="6" s="1"/>
  <c r="M10" i="6" s="1"/>
  <c r="K19" i="9"/>
  <c r="L19" i="9" s="1"/>
  <c r="M19" i="9" s="1"/>
  <c r="K17" i="19"/>
  <c r="L17" i="19" s="1"/>
  <c r="M17" i="19" s="1"/>
  <c r="K17" i="9"/>
  <c r="L17" i="9" s="1"/>
  <c r="M17" i="9" s="1"/>
  <c r="K25" i="5"/>
  <c r="L25" i="5" s="1"/>
  <c r="M25" i="5" s="1"/>
  <c r="K23" i="9"/>
  <c r="L23" i="9" s="1"/>
  <c r="M23" i="9" s="1"/>
  <c r="K16" i="17"/>
  <c r="L16" i="17" s="1"/>
  <c r="M16" i="17" s="1"/>
  <c r="K20" i="17"/>
  <c r="L20" i="17" s="1"/>
  <c r="M20" i="17" s="1"/>
  <c r="K17" i="14"/>
  <c r="L17" i="14" s="1"/>
  <c r="M17" i="14" s="1"/>
  <c r="K5" i="8"/>
  <c r="L5" i="8" s="1"/>
  <c r="M5" i="8" s="1"/>
  <c r="K5" i="9"/>
  <c r="L5" i="9" s="1"/>
  <c r="M5" i="9" s="1"/>
  <c r="K21" i="9"/>
  <c r="L21" i="9" s="1"/>
  <c r="M21" i="9" s="1"/>
  <c r="K6" i="8"/>
  <c r="L6" i="8" s="1"/>
  <c r="M6" i="8" s="1"/>
  <c r="K39" i="4"/>
  <c r="L39" i="4" s="1"/>
  <c r="M39" i="4" s="1"/>
  <c r="K21" i="19"/>
  <c r="L21" i="19" s="1"/>
  <c r="M21" i="19" s="1"/>
  <c r="K38" i="5"/>
  <c r="L38" i="5" s="1"/>
  <c r="M38" i="5" s="1"/>
  <c r="K27" i="5"/>
  <c r="L27" i="5" s="1"/>
  <c r="M27" i="5" s="1"/>
  <c r="K43" i="5"/>
  <c r="L43" i="5" s="1"/>
  <c r="M43" i="5" s="1"/>
  <c r="K33" i="4"/>
  <c r="L33" i="4" s="1"/>
  <c r="M33" i="4" s="1"/>
  <c r="K5" i="17"/>
  <c r="L5" i="17" s="1"/>
  <c r="M5" i="17" s="1"/>
  <c r="K7" i="17"/>
  <c r="L7" i="17" s="1"/>
  <c r="M7" i="17" s="1"/>
  <c r="K45" i="4"/>
  <c r="L45" i="4" s="1"/>
  <c r="M45" i="4" s="1"/>
  <c r="K18" i="8"/>
  <c r="L18" i="8" s="1"/>
  <c r="M18" i="8" s="1"/>
  <c r="K15" i="17"/>
  <c r="L15" i="17" s="1"/>
  <c r="M15" i="17" s="1"/>
  <c r="K12" i="14"/>
  <c r="L12" i="14" s="1"/>
  <c r="M12" i="14" s="1"/>
  <c r="K35" i="4"/>
  <c r="L35" i="4" s="1"/>
  <c r="M35" i="4" s="1"/>
  <c r="K43" i="4"/>
  <c r="L43" i="4" s="1"/>
  <c r="M43" i="4" s="1"/>
  <c r="K36" i="4"/>
  <c r="L36" i="4" s="1"/>
  <c r="M36" i="4" s="1"/>
  <c r="K40" i="4"/>
  <c r="L40" i="4" s="1"/>
  <c r="M40" i="4" s="1"/>
  <c r="K14" i="19"/>
  <c r="L14" i="19" s="1"/>
  <c r="M14" i="19" s="1"/>
  <c r="K34" i="5"/>
  <c r="L34" i="5" s="1"/>
  <c r="M34" i="5" s="1"/>
  <c r="K7" i="14"/>
  <c r="L7" i="14" s="1"/>
  <c r="M7" i="14" s="1"/>
  <c r="K35" i="5"/>
  <c r="L35" i="5" s="1"/>
  <c r="M35" i="5" s="1"/>
  <c r="K21" i="8"/>
  <c r="L21" i="8" s="1"/>
  <c r="M21" i="8" s="1"/>
  <c r="K5" i="14"/>
  <c r="L5" i="14" s="1"/>
  <c r="M5" i="14" s="1"/>
  <c r="K16" i="9"/>
  <c r="L16" i="9" s="1"/>
  <c r="M16" i="9" s="1"/>
  <c r="K33" i="5"/>
  <c r="L33" i="5" s="1"/>
  <c r="M33" i="5" s="1"/>
  <c r="K28" i="7"/>
  <c r="L28" i="7" s="1"/>
  <c r="M28" i="7" s="1"/>
  <c r="K50" i="5"/>
  <c r="L50" i="5" s="1"/>
  <c r="M50" i="5" s="1"/>
  <c r="K41" i="4"/>
  <c r="L41" i="4" s="1"/>
  <c r="M41" i="4" s="1"/>
  <c r="K6" i="9"/>
  <c r="L6" i="9" s="1"/>
  <c r="M6" i="9" s="1"/>
  <c r="K22" i="9"/>
  <c r="L22" i="9" s="1"/>
  <c r="M22" i="9" s="1"/>
  <c r="K48" i="5"/>
  <c r="L48" i="5" s="1"/>
  <c r="M48" i="5" s="1"/>
  <c r="K10" i="9"/>
  <c r="L10" i="9" s="1"/>
  <c r="M10" i="9" s="1"/>
  <c r="K9" i="9"/>
  <c r="L9" i="9" s="1"/>
  <c r="M9" i="9" s="1"/>
  <c r="K25" i="9"/>
  <c r="L25" i="9" s="1"/>
  <c r="M25" i="9" s="1"/>
  <c r="K8" i="7"/>
  <c r="L8" i="7" s="1"/>
  <c r="M8" i="7" s="1"/>
  <c r="G2" i="2"/>
  <c r="K21" i="6"/>
  <c r="L21" i="6" s="1"/>
  <c r="M21" i="6" s="1"/>
  <c r="K4" i="8"/>
  <c r="L4" i="8" s="1"/>
  <c r="M4" i="8" s="1"/>
  <c r="K13" i="6"/>
  <c r="L13" i="6" s="1"/>
  <c r="M13" i="6" s="1"/>
  <c r="L61" i="2"/>
  <c r="E61" i="2"/>
  <c r="K61" i="2"/>
  <c r="E62" i="2"/>
  <c r="K62" i="2"/>
  <c r="L63" i="2"/>
  <c r="E63" i="2"/>
  <c r="K63" i="2"/>
  <c r="E92" i="2"/>
  <c r="K92" i="2"/>
  <c r="E88" i="2"/>
  <c r="K88" i="2"/>
  <c r="E89" i="2"/>
  <c r="K89" i="2"/>
  <c r="E64" i="2"/>
  <c r="K64" i="2"/>
  <c r="L64" i="2"/>
  <c r="E65" i="2"/>
  <c r="K65" i="2"/>
  <c r="L65" i="2"/>
  <c r="L67" i="2"/>
  <c r="E67" i="2"/>
  <c r="K67" i="2"/>
  <c r="E68" i="2"/>
  <c r="K68" i="2"/>
  <c r="L68" i="2"/>
  <c r="L69" i="2"/>
  <c r="E69" i="2"/>
  <c r="K69" i="2"/>
  <c r="E70" i="2"/>
  <c r="K70" i="2"/>
  <c r="L70" i="2"/>
  <c r="L71" i="2"/>
  <c r="E71" i="2"/>
  <c r="K71" i="2"/>
  <c r="E72" i="2"/>
  <c r="K72" i="2"/>
  <c r="L72" i="2"/>
  <c r="E73" i="2"/>
  <c r="K73" i="2"/>
  <c r="L73" i="2"/>
  <c r="L74" i="2"/>
  <c r="E74" i="2"/>
  <c r="K74" i="2"/>
  <c r="E75" i="2"/>
  <c r="K75" i="2"/>
  <c r="L75" i="2"/>
  <c r="L93" i="2"/>
  <c r="E93" i="2"/>
  <c r="K93" i="2"/>
  <c r="E90" i="2"/>
  <c r="K90" i="2"/>
  <c r="L76" i="2"/>
  <c r="E76" i="2"/>
  <c r="K76" i="2"/>
  <c r="L77" i="2"/>
  <c r="E77" i="2"/>
  <c r="K77" i="2"/>
  <c r="E78" i="2"/>
  <c r="K78" i="2"/>
  <c r="L78" i="2"/>
  <c r="L79" i="2"/>
  <c r="E79" i="2"/>
  <c r="K79" i="2"/>
  <c r="E80" i="2"/>
  <c r="K80" i="2"/>
  <c r="L80" i="2"/>
  <c r="L81" i="2"/>
  <c r="E81" i="2"/>
  <c r="K81" i="2"/>
  <c r="M81" i="2" s="1"/>
  <c r="E82" i="2"/>
  <c r="K82" i="2"/>
  <c r="L82" i="2"/>
  <c r="L83" i="2"/>
  <c r="E83" i="2"/>
  <c r="K83" i="2"/>
  <c r="E84" i="2"/>
  <c r="K84" i="2"/>
  <c r="L84" i="2"/>
  <c r="L85" i="2"/>
  <c r="E85" i="2"/>
  <c r="K85" i="2"/>
  <c r="E91" i="2"/>
  <c r="K91" i="2"/>
  <c r="L91" i="2"/>
  <c r="L86" i="2"/>
  <c r="E86" i="2"/>
  <c r="K86" i="2"/>
  <c r="E87" i="2"/>
  <c r="K87" i="2"/>
  <c r="L87" i="2"/>
  <c r="K12" i="8"/>
  <c r="L12" i="8" s="1"/>
  <c r="M12" i="8" s="1"/>
  <c r="K20" i="8"/>
  <c r="L20" i="8" s="1"/>
  <c r="M20" i="8" s="1"/>
  <c r="K26" i="7"/>
  <c r="L26" i="7" s="1"/>
  <c r="M26" i="7" s="1"/>
  <c r="K18" i="7"/>
  <c r="L18" i="7" s="1"/>
  <c r="M18" i="7" s="1"/>
  <c r="K10" i="7"/>
  <c r="L10" i="7" s="1"/>
  <c r="M10" i="7" s="1"/>
  <c r="K16" i="8"/>
  <c r="L16" i="8" s="1"/>
  <c r="M16" i="8" s="1"/>
  <c r="M38" i="13"/>
  <c r="N38" i="13" s="1"/>
  <c r="M26" i="13"/>
  <c r="N26" i="13" s="1"/>
  <c r="M45" i="13"/>
  <c r="N45" i="13" s="1"/>
  <c r="M10" i="13"/>
  <c r="N10" i="13" s="1"/>
  <c r="M6" i="13"/>
  <c r="N6" i="13" s="1"/>
  <c r="L90" i="2"/>
  <c r="L88" i="2"/>
  <c r="AC42" i="1"/>
  <c r="AC47" i="1"/>
  <c r="AC23" i="1"/>
  <c r="L60" i="2"/>
  <c r="L92" i="2"/>
  <c r="L4" i="12"/>
  <c r="M4" i="12" s="1"/>
  <c r="L14" i="14"/>
  <c r="M14" i="14" s="1"/>
  <c r="L20" i="9"/>
  <c r="M20" i="9" s="1"/>
  <c r="L7" i="12"/>
  <c r="M7" i="12" s="1"/>
  <c r="L11" i="6"/>
  <c r="M11" i="6" s="1"/>
  <c r="L30" i="7"/>
  <c r="M30" i="7" s="1"/>
  <c r="L14" i="7"/>
  <c r="M14" i="7" s="1"/>
  <c r="L6" i="7"/>
  <c r="M6" i="7" s="1"/>
  <c r="K31" i="7"/>
  <c r="K23" i="7"/>
  <c r="K15" i="7"/>
  <c r="K7" i="7"/>
  <c r="K33" i="7"/>
  <c r="K17" i="7"/>
  <c r="K29" i="7"/>
  <c r="K21" i="7"/>
  <c r="L24" i="9"/>
  <c r="M24" i="9" s="1"/>
  <c r="L26" i="5"/>
  <c r="M26" i="5" s="1"/>
  <c r="L32" i="4"/>
  <c r="M32" i="4" s="1"/>
  <c r="L9" i="17"/>
  <c r="M9" i="17" s="1"/>
  <c r="L8" i="14"/>
  <c r="M8" i="14" s="1"/>
  <c r="L7" i="6"/>
  <c r="M7" i="6" s="1"/>
  <c r="L10" i="17"/>
  <c r="M10" i="17" s="1"/>
  <c r="L6" i="14"/>
  <c r="M6" i="14" s="1"/>
  <c r="L24" i="7"/>
  <c r="M24" i="7" s="1"/>
  <c r="L20" i="7"/>
  <c r="M20" i="7" s="1"/>
  <c r="L12" i="7"/>
  <c r="M12" i="7" s="1"/>
  <c r="L4" i="7"/>
  <c r="M4" i="7" s="1"/>
  <c r="K27" i="7"/>
  <c r="K19" i="7"/>
  <c r="K11" i="7"/>
  <c r="K25" i="7"/>
  <c r="K9" i="7"/>
  <c r="K13" i="7"/>
  <c r="K5" i="7"/>
  <c r="L37" i="4"/>
  <c r="M37" i="4" s="1"/>
  <c r="L11" i="19"/>
  <c r="M11" i="19" s="1"/>
  <c r="L4" i="9"/>
  <c r="M4" i="9" s="1"/>
  <c r="L8" i="9"/>
  <c r="M8" i="9" s="1"/>
  <c r="L42" i="5"/>
  <c r="M42" i="5" s="1"/>
  <c r="L8" i="19"/>
  <c r="M8" i="19" s="1"/>
  <c r="L21" i="17"/>
  <c r="M21" i="17" s="1"/>
  <c r="L22" i="14"/>
  <c r="M22" i="14" s="1"/>
  <c r="L5" i="12"/>
  <c r="M5" i="12" s="1"/>
  <c r="L8" i="12"/>
  <c r="M8" i="12" s="1"/>
  <c r="L6" i="12"/>
  <c r="M6" i="12" s="1"/>
  <c r="L20" i="19"/>
  <c r="M20" i="19" s="1"/>
  <c r="L9" i="8"/>
  <c r="M9" i="8" s="1"/>
  <c r="L36" i="5"/>
  <c r="M36" i="5" s="1"/>
  <c r="L6" i="11"/>
  <c r="M6" i="11" s="1"/>
  <c r="L49" i="5"/>
  <c r="M49" i="5" s="1"/>
  <c r="L49" i="4"/>
  <c r="M49" i="4" s="1"/>
  <c r="N61" i="2"/>
  <c r="N62" i="2"/>
  <c r="N88" i="2"/>
  <c r="N68" i="2"/>
  <c r="N70" i="2"/>
  <c r="N72" i="2"/>
  <c r="N73" i="2"/>
  <c r="N75" i="2"/>
  <c r="N90" i="2"/>
  <c r="N78" i="2"/>
  <c r="N80" i="2"/>
  <c r="N82" i="2"/>
  <c r="N84" i="2"/>
  <c r="N91" i="2"/>
  <c r="N87" i="2"/>
  <c r="N89" i="2"/>
  <c r="N65" i="2"/>
  <c r="N76" i="2"/>
  <c r="N63" i="2"/>
  <c r="N67" i="2"/>
  <c r="N69" i="2"/>
  <c r="N71" i="2"/>
  <c r="N74" i="2"/>
  <c r="N93" i="2"/>
  <c r="N79" i="2"/>
  <c r="N81" i="2"/>
  <c r="N83" i="2"/>
  <c r="N85" i="2"/>
  <c r="N86" i="2"/>
  <c r="N92" i="2"/>
  <c r="N64" i="2"/>
  <c r="N77" i="2"/>
  <c r="B3" i="4"/>
  <c r="M74" i="2" l="1"/>
  <c r="O74" i="2" s="1"/>
  <c r="P74" i="2" s="1"/>
  <c r="Q74" i="2" s="1"/>
  <c r="M77" i="2"/>
  <c r="O77" i="2" s="1"/>
  <c r="P77" i="2" s="1"/>
  <c r="Q77" i="2" s="1"/>
  <c r="M79" i="2"/>
  <c r="O79" i="2" s="1"/>
  <c r="P79" i="2" s="1"/>
  <c r="Q79" i="2" s="1"/>
  <c r="M63" i="2"/>
  <c r="O63" i="2" s="1"/>
  <c r="P63" i="2" s="1"/>
  <c r="Q63" i="2" s="1"/>
  <c r="M76" i="2"/>
  <c r="M61" i="2"/>
  <c r="O61" i="2" s="1"/>
  <c r="P61" i="2" s="1"/>
  <c r="Q61" i="2" s="1"/>
  <c r="M93" i="2"/>
  <c r="O93" i="2" s="1"/>
  <c r="P93" i="2" s="1"/>
  <c r="Q93" i="2" s="1"/>
  <c r="M86" i="2"/>
  <c r="O86" i="2" s="1"/>
  <c r="P86" i="2" s="1"/>
  <c r="Q86" i="2" s="1"/>
  <c r="M85" i="2"/>
  <c r="O85" i="2" s="1"/>
  <c r="P85" i="2" s="1"/>
  <c r="Q85" i="2" s="1"/>
  <c r="M69" i="2"/>
  <c r="O69" i="2" s="1"/>
  <c r="P69" i="2" s="1"/>
  <c r="Q69" i="2" s="1"/>
  <c r="M83" i="2"/>
  <c r="O83" i="2" s="1"/>
  <c r="P83" i="2" s="1"/>
  <c r="Q83" i="2" s="1"/>
  <c r="M71" i="2"/>
  <c r="O71" i="2" s="1"/>
  <c r="P71" i="2" s="1"/>
  <c r="Q71" i="2" s="1"/>
  <c r="M67" i="2"/>
  <c r="O67" i="2" s="1"/>
  <c r="P67" i="2" s="1"/>
  <c r="Q67" i="2" s="1"/>
  <c r="M75" i="2"/>
  <c r="O75" i="2" s="1"/>
  <c r="P75" i="2" s="1"/>
  <c r="Q75" i="2" s="1"/>
  <c r="M73" i="2"/>
  <c r="O73" i="2" s="1"/>
  <c r="P73" i="2" s="1"/>
  <c r="Q73" i="2" s="1"/>
  <c r="M70" i="2"/>
  <c r="O70" i="2" s="1"/>
  <c r="P70" i="2" s="1"/>
  <c r="Q70" i="2" s="1"/>
  <c r="M72" i="2"/>
  <c r="O72" i="2" s="1"/>
  <c r="P72" i="2" s="1"/>
  <c r="Q72" i="2" s="1"/>
  <c r="M68" i="2"/>
  <c r="O68" i="2" s="1"/>
  <c r="P68" i="2" s="1"/>
  <c r="Q68" i="2" s="1"/>
  <c r="M88" i="2"/>
  <c r="O88" i="2" s="1"/>
  <c r="M84" i="2"/>
  <c r="O84" i="2" s="1"/>
  <c r="P84" i="2" s="1"/>
  <c r="Q84" i="2" s="1"/>
  <c r="M78" i="2"/>
  <c r="O78" i="2" s="1"/>
  <c r="P78" i="2" s="1"/>
  <c r="Q78" i="2" s="1"/>
  <c r="M90" i="2"/>
  <c r="O90" i="2" s="1"/>
  <c r="M82" i="2"/>
  <c r="O82" i="2" s="1"/>
  <c r="P82" i="2" s="1"/>
  <c r="Q82" i="2" s="1"/>
  <c r="M65" i="2"/>
  <c r="O65" i="2" s="1"/>
  <c r="P65" i="2" s="1"/>
  <c r="Q65" i="2" s="1"/>
  <c r="M64" i="2"/>
  <c r="O64" i="2" s="1"/>
  <c r="P64" i="2" s="1"/>
  <c r="Q64" i="2" s="1"/>
  <c r="M92" i="2"/>
  <c r="O92" i="2" s="1"/>
  <c r="M87" i="2"/>
  <c r="O87" i="2" s="1"/>
  <c r="P87" i="2" s="1"/>
  <c r="Q87" i="2" s="1"/>
  <c r="M80" i="2"/>
  <c r="O80" i="2" s="1"/>
  <c r="P80" i="2" s="1"/>
  <c r="Q80" i="2" s="1"/>
  <c r="M91" i="2"/>
  <c r="O91" i="2" s="1"/>
  <c r="O76" i="2"/>
  <c r="P76" i="2" s="1"/>
  <c r="Q76" i="2" s="1"/>
  <c r="O81" i="2"/>
  <c r="P81" i="2" s="1"/>
  <c r="Q81" i="2" s="1"/>
  <c r="L89" i="2"/>
  <c r="L62" i="2"/>
  <c r="L13" i="7"/>
  <c r="M13" i="7" s="1"/>
  <c r="L25" i="7"/>
  <c r="M25" i="7" s="1"/>
  <c r="L19" i="7"/>
  <c r="M19" i="7" s="1"/>
  <c r="L29" i="7"/>
  <c r="M29" i="7" s="1"/>
  <c r="L33" i="7"/>
  <c r="M33" i="7" s="1"/>
  <c r="L15" i="7"/>
  <c r="M15" i="7" s="1"/>
  <c r="L31" i="7"/>
  <c r="M31" i="7" s="1"/>
  <c r="L5" i="7"/>
  <c r="M5" i="7" s="1"/>
  <c r="L9" i="7"/>
  <c r="M9" i="7" s="1"/>
  <c r="L11" i="7"/>
  <c r="M11" i="7" s="1"/>
  <c r="L27" i="7"/>
  <c r="M27" i="7" s="1"/>
  <c r="L21" i="7"/>
  <c r="M21" i="7" s="1"/>
  <c r="L17" i="7"/>
  <c r="M17" i="7" s="1"/>
  <c r="L7" i="7"/>
  <c r="M7" i="7" s="1"/>
  <c r="L23" i="7"/>
  <c r="M23" i="7" s="1"/>
  <c r="M60" i="2"/>
  <c r="O60" i="2" s="1"/>
  <c r="H3" i="4"/>
  <c r="F3" i="4"/>
  <c r="D3" i="4"/>
  <c r="G3" i="4"/>
  <c r="E3" i="4"/>
  <c r="C3" i="4"/>
  <c r="P60" i="2" l="1"/>
  <c r="Q60" i="2" s="1"/>
  <c r="P90" i="2"/>
  <c r="Q90" i="2" s="1"/>
  <c r="P88" i="2"/>
  <c r="Q88" i="2" s="1"/>
  <c r="P91" i="2"/>
  <c r="Q91" i="2" s="1"/>
  <c r="M62" i="2"/>
  <c r="O62" i="2" s="1"/>
  <c r="M89" i="2"/>
  <c r="O89" i="2" s="1"/>
  <c r="P92" i="2"/>
  <c r="Q92" i="2" s="1"/>
  <c r="P89" i="2" l="1"/>
  <c r="Q89" i="2" s="1"/>
  <c r="P62" i="2"/>
  <c r="Q62" i="2" s="1"/>
  <c r="D2" i="2" l="1"/>
  <c r="D62" i="2"/>
  <c r="D92" i="2"/>
  <c r="D64" i="2"/>
  <c r="D77" i="2"/>
  <c r="D63" i="2"/>
  <c r="D89" i="2"/>
  <c r="D67" i="2"/>
  <c r="D69" i="2"/>
  <c r="D71" i="2"/>
  <c r="D74" i="2"/>
  <c r="D93" i="2"/>
  <c r="D79" i="2"/>
  <c r="D81" i="2"/>
  <c r="D83" i="2"/>
  <c r="D85" i="2"/>
  <c r="D86" i="2"/>
  <c r="D61" i="2"/>
  <c r="D65" i="2"/>
  <c r="D76" i="2"/>
  <c r="D60" i="2"/>
  <c r="D88" i="2"/>
  <c r="D68" i="2"/>
  <c r="D70" i="2"/>
  <c r="D72" i="2"/>
  <c r="D73" i="2"/>
  <c r="D75" i="2"/>
  <c r="D90" i="2"/>
  <c r="D78" i="2"/>
  <c r="D80" i="2"/>
  <c r="D82" i="2"/>
  <c r="D84" i="2"/>
  <c r="D91" i="2"/>
  <c r="D87" i="2"/>
  <c r="D3" i="1" l="1"/>
  <c r="AY3" i="1" s="1"/>
  <c r="AL3" i="1"/>
  <c r="A3" i="1"/>
  <c r="AK3" i="1" l="1"/>
  <c r="AO3" i="1"/>
  <c r="AI3" i="1"/>
  <c r="AJ3" i="1"/>
  <c r="AM3" i="1"/>
  <c r="A4" i="1"/>
  <c r="AL4" i="1" l="1"/>
  <c r="AO4" i="1"/>
  <c r="D4" i="1"/>
  <c r="D5" i="1"/>
  <c r="AY5" i="1" s="1"/>
  <c r="AL5" i="1"/>
  <c r="A5" i="1"/>
  <c r="A10" i="14" l="1"/>
  <c r="A18" i="9"/>
  <c r="A4" i="11"/>
  <c r="A14" i="17"/>
  <c r="A6" i="11"/>
  <c r="A18" i="6"/>
  <c r="A10" i="6"/>
  <c r="A17" i="8"/>
  <c r="A20" i="19"/>
  <c r="A12" i="19"/>
  <c r="A16" i="14"/>
  <c r="A24" i="8"/>
  <c r="A22" i="17"/>
  <c r="A17" i="19"/>
  <c r="A5" i="11"/>
  <c r="A5" i="6"/>
  <c r="A18" i="13"/>
  <c r="A47" i="5"/>
  <c r="A39" i="5"/>
  <c r="A31" i="5"/>
  <c r="A25" i="5"/>
  <c r="A8" i="8"/>
  <c r="A49" i="4"/>
  <c r="A41" i="4"/>
  <c r="A7" i="12"/>
  <c r="A4" i="12"/>
  <c r="A30" i="7"/>
  <c r="A26" i="7"/>
  <c r="A22" i="7"/>
  <c r="A18" i="7"/>
  <c r="A14" i="7"/>
  <c r="A10" i="7"/>
  <c r="A6" i="7"/>
  <c r="A31" i="7"/>
  <c r="A23" i="7"/>
  <c r="A15" i="7"/>
  <c r="A7" i="7"/>
  <c r="A33" i="7"/>
  <c r="A17" i="7"/>
  <c r="A29" i="7"/>
  <c r="A21" i="7"/>
  <c r="A5" i="12"/>
  <c r="A8" i="12"/>
  <c r="A6" i="12"/>
  <c r="A32" i="7"/>
  <c r="A28" i="7"/>
  <c r="A24" i="7"/>
  <c r="A20" i="7"/>
  <c r="A16" i="7"/>
  <c r="A12" i="7"/>
  <c r="A8" i="7"/>
  <c r="A4" i="7"/>
  <c r="A27" i="7"/>
  <c r="A19" i="7"/>
  <c r="A11" i="7"/>
  <c r="A25" i="7"/>
  <c r="A9" i="7"/>
  <c r="A13" i="7"/>
  <c r="A5" i="7"/>
  <c r="A45" i="13"/>
  <c r="A10" i="13"/>
  <c r="A6" i="13"/>
  <c r="A38" i="13"/>
  <c r="A26" i="13"/>
  <c r="A30" i="13"/>
  <c r="A14" i="13"/>
  <c r="A16" i="8"/>
  <c r="A20" i="8"/>
  <c r="A34" i="13"/>
  <c r="A12" i="8"/>
  <c r="A13" i="6"/>
  <c r="A22" i="13"/>
  <c r="A4" i="8"/>
  <c r="A21" i="6"/>
  <c r="A8" i="14"/>
  <c r="A10" i="9"/>
  <c r="A9" i="9"/>
  <c r="A17" i="9"/>
  <c r="A25" i="9"/>
  <c r="A5" i="14"/>
  <c r="A13" i="14"/>
  <c r="A21" i="14"/>
  <c r="A4" i="9"/>
  <c r="A20" i="9"/>
  <c r="A7" i="9"/>
  <c r="A11" i="9"/>
  <c r="A23" i="9"/>
  <c r="A9" i="17"/>
  <c r="A8" i="17"/>
  <c r="A19" i="17"/>
  <c r="A18" i="17"/>
  <c r="A19" i="14"/>
  <c r="A41" i="13"/>
  <c r="A8" i="13"/>
  <c r="A15" i="13"/>
  <c r="A31" i="13"/>
  <c r="A42" i="13"/>
  <c r="A15" i="14"/>
  <c r="A22" i="9"/>
  <c r="A24" i="13"/>
  <c r="A7" i="13"/>
  <c r="A23" i="13"/>
  <c r="A4" i="6"/>
  <c r="A20" i="6"/>
  <c r="A8" i="19"/>
  <c r="A39" i="13"/>
  <c r="A50" i="13"/>
  <c r="A21" i="17"/>
  <c r="A11" i="17"/>
  <c r="A22" i="14"/>
  <c r="A5" i="19"/>
  <c r="A14" i="19"/>
  <c r="A7" i="14"/>
  <c r="A38" i="4"/>
  <c r="A7" i="19"/>
  <c r="A21" i="19"/>
  <c r="A16" i="19"/>
  <c r="A40" i="4"/>
  <c r="A49" i="13"/>
  <c r="A28" i="13"/>
  <c r="A12" i="13"/>
  <c r="A5" i="13"/>
  <c r="A13" i="13"/>
  <c r="A21" i="13"/>
  <c r="A29" i="13"/>
  <c r="A37" i="13"/>
  <c r="A50" i="4"/>
  <c r="A45" i="4"/>
  <c r="A16" i="9"/>
  <c r="A9" i="8"/>
  <c r="A21" i="8"/>
  <c r="A11" i="6"/>
  <c r="A6" i="6"/>
  <c r="A14" i="6"/>
  <c r="A22" i="6"/>
  <c r="A15" i="9"/>
  <c r="A19" i="9"/>
  <c r="A27" i="5"/>
  <c r="A35" i="5"/>
  <c r="A43" i="5"/>
  <c r="A10" i="17"/>
  <c r="A12" i="17"/>
  <c r="A40" i="13"/>
  <c r="A48" i="13"/>
  <c r="A33" i="5"/>
  <c r="A23" i="8"/>
  <c r="A6" i="9"/>
  <c r="A41" i="5"/>
  <c r="A33" i="4"/>
  <c r="A36" i="13"/>
  <c r="A13" i="17"/>
  <c r="A17" i="17"/>
  <c r="A6" i="17"/>
  <c r="A20" i="14"/>
  <c r="A17" i="6"/>
  <c r="A9" i="6"/>
  <c r="A19" i="6"/>
  <c r="A14" i="9"/>
  <c r="A11" i="19"/>
  <c r="A15" i="6"/>
  <c r="A45" i="5"/>
  <c r="A6" i="19"/>
  <c r="A13" i="19"/>
  <c r="A14" i="8"/>
  <c r="A13" i="8"/>
  <c r="A25" i="8"/>
  <c r="A16" i="17"/>
  <c r="A48" i="5"/>
  <c r="A20" i="13"/>
  <c r="A4" i="13"/>
  <c r="A9" i="13"/>
  <c r="A17" i="13"/>
  <c r="A25" i="13"/>
  <c r="A33" i="13"/>
  <c r="A43" i="13"/>
  <c r="A44" i="13"/>
  <c r="A28" i="5"/>
  <c r="A34" i="5"/>
  <c r="A50" i="5"/>
  <c r="A18" i="14"/>
  <c r="A14" i="14"/>
  <c r="A12" i="9"/>
  <c r="A5" i="9"/>
  <c r="A21" i="9"/>
  <c r="A22" i="8"/>
  <c r="A7" i="17"/>
  <c r="A36" i="5"/>
  <c r="A46" i="5"/>
  <c r="A36" i="4"/>
  <c r="A35" i="4"/>
  <c r="A43" i="4"/>
  <c r="A19" i="13"/>
  <c r="A46" i="13"/>
  <c r="A19" i="8"/>
  <c r="A10" i="19"/>
  <c r="A11" i="8"/>
  <c r="A15" i="19"/>
  <c r="A22" i="19"/>
  <c r="A7" i="6"/>
  <c r="A12" i="6"/>
  <c r="A47" i="13"/>
  <c r="A16" i="13"/>
  <c r="A32" i="13"/>
  <c r="A6" i="8"/>
  <c r="A18" i="8"/>
  <c r="A5" i="17"/>
  <c r="A15" i="17"/>
  <c r="A4" i="17"/>
  <c r="A12" i="14"/>
  <c r="A5" i="8"/>
  <c r="A9" i="14"/>
  <c r="A40" i="5"/>
  <c r="A30" i="5"/>
  <c r="A31" i="4"/>
  <c r="A27" i="13"/>
  <c r="A35" i="13"/>
  <c r="A18" i="19"/>
  <c r="A3" i="17"/>
  <c r="A10" i="8"/>
  <c r="A15" i="8"/>
  <c r="A13" i="9"/>
  <c r="A32" i="5"/>
  <c r="A29" i="5"/>
  <c r="A37" i="5"/>
  <c r="A34" i="4"/>
  <c r="A48" i="4"/>
  <c r="A11" i="13"/>
  <c r="A51" i="4"/>
  <c r="A3" i="13"/>
  <c r="A42" i="4"/>
  <c r="A47" i="4"/>
  <c r="A46" i="4"/>
  <c r="A44" i="4"/>
  <c r="A20" i="17"/>
  <c r="A17" i="14"/>
  <c r="A38" i="5"/>
  <c r="A39" i="4"/>
  <c r="A19" i="19"/>
  <c r="A16" i="6"/>
  <c r="A9" i="19"/>
  <c r="A6" i="14"/>
  <c r="A8" i="9"/>
  <c r="A24" i="9"/>
  <c r="A44" i="5"/>
  <c r="A49" i="5"/>
  <c r="A32" i="4"/>
  <c r="A52" i="4"/>
  <c r="A7" i="8"/>
  <c r="A11" i="14"/>
  <c r="A26" i="5"/>
  <c r="A42" i="5"/>
  <c r="A37" i="4"/>
  <c r="A8" i="6"/>
  <c r="A3" i="8"/>
  <c r="A3" i="4"/>
  <c r="AK4" i="1"/>
  <c r="AK5" i="1"/>
  <c r="AO5" i="1"/>
  <c r="AN5" i="1"/>
  <c r="AM4" i="1"/>
  <c r="AI5" i="1"/>
  <c r="AJ4" i="1"/>
  <c r="AI4" i="1"/>
  <c r="AJ5" i="1"/>
  <c r="AM5" i="1"/>
  <c r="A6" i="1"/>
  <c r="D6" i="1" l="1"/>
  <c r="AK6" i="1"/>
  <c r="AI6" i="1"/>
  <c r="AM6" i="1"/>
  <c r="D7" i="1"/>
  <c r="AL6" i="1"/>
  <c r="AJ6" i="1"/>
  <c r="A7" i="1"/>
  <c r="AY7" i="1" l="1"/>
  <c r="AO6" i="1"/>
  <c r="AK7" i="1"/>
  <c r="AN7" i="1"/>
  <c r="AJ7" i="1"/>
  <c r="AI7" i="1"/>
  <c r="AM7" i="1"/>
  <c r="AL7" i="1"/>
  <c r="A8" i="1"/>
  <c r="AL8" i="1" l="1"/>
  <c r="AO7" i="1"/>
  <c r="AO8" i="1" s="1"/>
  <c r="D8" i="1"/>
  <c r="A9" i="1"/>
  <c r="D9" i="1" l="1"/>
  <c r="AL9" i="1"/>
  <c r="AO9" i="1"/>
  <c r="AK8" i="1"/>
  <c r="AN9" i="1"/>
  <c r="AM8" i="1"/>
  <c r="AI8" i="1"/>
  <c r="AJ8" i="1"/>
  <c r="A10" i="1"/>
  <c r="AK9" i="1" l="1"/>
  <c r="AJ9" i="1"/>
  <c r="AI9" i="1"/>
  <c r="AM9" i="1"/>
  <c r="D10" i="1"/>
  <c r="AL10" i="1"/>
  <c r="A11" i="1"/>
  <c r="AL11" i="1" l="1"/>
  <c r="D11" i="1"/>
  <c r="AM10" i="1"/>
  <c r="AI10" i="1"/>
  <c r="AK10" i="1"/>
  <c r="AJ10" i="1"/>
  <c r="AO10" i="1"/>
  <c r="AN11" i="1"/>
  <c r="A12" i="1"/>
  <c r="D12" i="1" l="1"/>
  <c r="AM11" i="1"/>
  <c r="AI11" i="1"/>
  <c r="AW11" i="1"/>
  <c r="AX11" i="1" s="1"/>
  <c r="AK11" i="1"/>
  <c r="AJ11" i="1"/>
  <c r="AO11" i="1"/>
  <c r="AM12" i="1"/>
  <c r="AK12" i="1"/>
  <c r="AL12" i="1"/>
  <c r="AJ12" i="1"/>
  <c r="AI12" i="1"/>
  <c r="A13" i="1"/>
  <c r="D13" i="1" l="1"/>
  <c r="AZ11" i="1"/>
  <c r="AO12" i="1"/>
  <c r="AK13" i="1"/>
  <c r="AN13" i="1"/>
  <c r="AM13" i="1"/>
  <c r="AJ13" i="1"/>
  <c r="AL13" i="1"/>
  <c r="AI13" i="1"/>
  <c r="A14" i="1"/>
  <c r="AL14" i="1" l="1"/>
  <c r="AO13" i="1"/>
  <c r="AN14" i="1"/>
  <c r="D14" i="1"/>
  <c r="A15" i="1"/>
  <c r="AO14" i="1" l="1"/>
  <c r="D15" i="1"/>
  <c r="AK14" i="1"/>
  <c r="AN15" i="1"/>
  <c r="AJ14" i="1"/>
  <c r="AI14" i="1"/>
  <c r="AL15" i="1"/>
  <c r="AM14" i="1"/>
  <c r="A16" i="1"/>
  <c r="D16" i="1" l="1"/>
  <c r="AI15" i="1"/>
  <c r="AJ15" i="1"/>
  <c r="AK15" i="1"/>
  <c r="AM15" i="1"/>
  <c r="AO15" i="1"/>
  <c r="AK16" i="1"/>
  <c r="AN16" i="1"/>
  <c r="AL16" i="1"/>
  <c r="AJ16" i="1"/>
  <c r="AI16" i="1"/>
  <c r="AM16" i="1"/>
  <c r="A17" i="1"/>
  <c r="D17" i="1" l="1"/>
  <c r="AL17" i="1"/>
  <c r="AO16" i="1"/>
  <c r="AO17" i="1" s="1"/>
  <c r="AN17" i="1"/>
  <c r="A18" i="1"/>
  <c r="AK17" i="1" l="1"/>
  <c r="AI17" i="1"/>
  <c r="AJ17" i="1"/>
  <c r="AM17" i="1"/>
  <c r="AL18" i="1"/>
  <c r="AO18" i="1" s="1"/>
  <c r="D18" i="1"/>
  <c r="A19" i="1"/>
  <c r="AL19" i="1" l="1"/>
  <c r="AK18" i="1"/>
  <c r="AM18" i="1"/>
  <c r="AO19" i="1"/>
  <c r="AN19" i="1"/>
  <c r="AJ18" i="1"/>
  <c r="D19" i="1"/>
  <c r="AI18" i="1"/>
  <c r="A20" i="1"/>
  <c r="D20" i="1" l="1"/>
  <c r="AL20" i="1"/>
  <c r="AN7" i="22"/>
  <c r="AK19" i="1"/>
  <c r="AK20" i="1"/>
  <c r="AO20" i="1"/>
  <c r="AN20" i="1"/>
  <c r="AJ19" i="1"/>
  <c r="AI20" i="1"/>
  <c r="AM19" i="1"/>
  <c r="AM20" i="1" s="1"/>
  <c r="AI19" i="1"/>
  <c r="AJ20" i="1"/>
  <c r="A21" i="1"/>
  <c r="AL21" i="1" l="1"/>
  <c r="AN8" i="22"/>
  <c r="AI7" i="22"/>
  <c r="AH7" i="22"/>
  <c r="AL7" i="22"/>
  <c r="AO21" i="1"/>
  <c r="AN21" i="1"/>
  <c r="D21" i="1"/>
  <c r="A22" i="1"/>
  <c r="AO7" i="22" l="1"/>
  <c r="D22" i="1"/>
  <c r="AK21" i="1"/>
  <c r="AK22" i="1"/>
  <c r="AN22" i="1"/>
  <c r="AL22" i="1"/>
  <c r="AM21" i="1"/>
  <c r="AJ21" i="1"/>
  <c r="AI22" i="1"/>
  <c r="AI21" i="1"/>
  <c r="AM22" i="1"/>
  <c r="AJ22" i="1"/>
  <c r="A23" i="1"/>
  <c r="D23" i="1" l="1"/>
  <c r="AL23" i="1"/>
  <c r="AH9" i="22"/>
  <c r="AI9" i="22"/>
  <c r="AI8" i="22"/>
  <c r="AH8" i="22"/>
  <c r="AN9" i="22"/>
  <c r="AL8" i="22"/>
  <c r="AG7" i="22" s="1"/>
  <c r="AL9" i="22"/>
  <c r="AO22" i="1"/>
  <c r="AO23" i="1" s="1"/>
  <c r="AN23" i="1"/>
  <c r="D24" i="1"/>
  <c r="A24" i="1"/>
  <c r="AO9" i="22" l="1"/>
  <c r="AG8" i="22"/>
  <c r="AK23" i="1"/>
  <c r="AJ23" i="1"/>
  <c r="AI23" i="1"/>
  <c r="AM23" i="1"/>
  <c r="AY24" i="1"/>
  <c r="AO8" i="22"/>
  <c r="AK24" i="1"/>
  <c r="AM24" i="1"/>
  <c r="AL24" i="1"/>
  <c r="AJ24" i="1"/>
  <c r="AI24" i="1"/>
  <c r="A25" i="1"/>
  <c r="AL25" i="1" l="1"/>
  <c r="D25" i="1"/>
  <c r="AO24" i="1"/>
  <c r="AO25" i="1"/>
  <c r="A26" i="1"/>
  <c r="AI25" i="1" l="1"/>
  <c r="AK25" i="1"/>
  <c r="AJ25" i="1"/>
  <c r="AM25" i="1"/>
  <c r="D26" i="1"/>
  <c r="AN26" i="1"/>
  <c r="AL26" i="1"/>
  <c r="D27" i="1"/>
  <c r="AY27" i="1" s="1"/>
  <c r="A27" i="1"/>
  <c r="AK26" i="1" l="1"/>
  <c r="AM26" i="1"/>
  <c r="AJ26" i="1"/>
  <c r="AI26" i="1"/>
  <c r="AO26" i="1"/>
  <c r="AK27" i="1"/>
  <c r="AN27" i="1"/>
  <c r="AL27" i="1"/>
  <c r="AJ27" i="1"/>
  <c r="AM27" i="1"/>
  <c r="AI27" i="1"/>
  <c r="A28" i="1"/>
  <c r="D28" i="1" l="1"/>
  <c r="AO27" i="1"/>
  <c r="AK28" i="1"/>
  <c r="AL28" i="1"/>
  <c r="AI28" i="1"/>
  <c r="AJ28" i="1"/>
  <c r="AM28" i="1"/>
  <c r="A29" i="1"/>
  <c r="D29" i="1" l="1"/>
  <c r="AL29" i="1"/>
  <c r="AO28" i="1"/>
  <c r="AO29" i="1" s="1"/>
  <c r="AN29" i="1"/>
  <c r="D30" i="1"/>
  <c r="A30" i="1"/>
  <c r="AK29" i="1" l="1"/>
  <c r="AJ29" i="1"/>
  <c r="AI29" i="1"/>
  <c r="AM29" i="1"/>
  <c r="AY30" i="1"/>
  <c r="AL30" i="1"/>
  <c r="AO30" i="1" s="1"/>
  <c r="AK30" i="1"/>
  <c r="AW30" i="1"/>
  <c r="AM30" i="1"/>
  <c r="AI30" i="1"/>
  <c r="AJ30" i="1"/>
  <c r="A31" i="1"/>
  <c r="D31" i="1" l="1"/>
  <c r="AX30" i="1"/>
  <c r="AL31" i="1"/>
  <c r="A32" i="1"/>
  <c r="AL32" i="1" l="1"/>
  <c r="D32" i="1"/>
  <c r="AK31" i="1"/>
  <c r="AJ31" i="1"/>
  <c r="AI31" i="1"/>
  <c r="AM31" i="1"/>
  <c r="AO31" i="1"/>
  <c r="AO32" i="1" s="1"/>
  <c r="AK32" i="1"/>
  <c r="AZ30" i="1"/>
  <c r="AN32" i="1"/>
  <c r="AI32" i="1"/>
  <c r="AJ32" i="1"/>
  <c r="AM32" i="1"/>
  <c r="A33" i="1"/>
  <c r="D33" i="1" l="1"/>
  <c r="AK33" i="1"/>
  <c r="AL24" i="22" s="1"/>
  <c r="AN33" i="1"/>
  <c r="AL33" i="1"/>
  <c r="AJ33" i="1"/>
  <c r="AI33" i="1"/>
  <c r="AM33" i="1"/>
  <c r="A34" i="1"/>
  <c r="AO24" i="22" l="1"/>
  <c r="AH24" i="22"/>
  <c r="AI24" i="22"/>
  <c r="AN24" i="22"/>
  <c r="D34" i="1"/>
  <c r="AO33" i="1"/>
  <c r="AK34" i="1"/>
  <c r="AN34" i="1"/>
  <c r="AL34" i="1"/>
  <c r="AI34" i="1"/>
  <c r="AJ34" i="1"/>
  <c r="AM34" i="1"/>
  <c r="A35" i="1"/>
  <c r="D35" i="1" l="1"/>
  <c r="AO34" i="1"/>
  <c r="AK35" i="1"/>
  <c r="AL25" i="22" s="1"/>
  <c r="AN35" i="1"/>
  <c r="AI35" i="1"/>
  <c r="AM35" i="1"/>
  <c r="AL35" i="1"/>
  <c r="AJ35" i="1"/>
  <c r="A36" i="1"/>
  <c r="AO25" i="22" l="1"/>
  <c r="AI25" i="22"/>
  <c r="AN25" i="22"/>
  <c r="AH25" i="22"/>
  <c r="D36" i="1"/>
  <c r="AO35" i="1"/>
  <c r="AK36" i="1"/>
  <c r="AN36" i="1"/>
  <c r="AI36" i="1"/>
  <c r="AL36" i="1"/>
  <c r="AM36" i="1"/>
  <c r="AJ36" i="1"/>
  <c r="D37" i="1"/>
  <c r="AL37" i="1"/>
  <c r="AN26" i="22" s="1"/>
  <c r="A37" i="1"/>
  <c r="AY37" i="1" l="1"/>
  <c r="AO36" i="1"/>
  <c r="AK37" i="1"/>
  <c r="AO37" i="1"/>
  <c r="AN37" i="1"/>
  <c r="AM37" i="1"/>
  <c r="AJ37" i="1"/>
  <c r="AI26" i="22" s="1"/>
  <c r="AI37" i="1"/>
  <c r="AH26" i="22" s="1"/>
  <c r="A38" i="1"/>
  <c r="AL26" i="22" l="1"/>
  <c r="AL38" i="1"/>
  <c r="D38" i="1"/>
  <c r="AK38" i="1"/>
  <c r="AL27" i="22" s="1"/>
  <c r="AO38" i="1"/>
  <c r="A39" i="1"/>
  <c r="AO27" i="22" l="1"/>
  <c r="AO26" i="22"/>
  <c r="AG25" i="22"/>
  <c r="AN27" i="22"/>
  <c r="AL39" i="1"/>
  <c r="AJ38" i="1"/>
  <c r="AI38" i="1"/>
  <c r="AM38" i="1"/>
  <c r="D39" i="1"/>
  <c r="AK39" i="1"/>
  <c r="AL28" i="22" s="1"/>
  <c r="AO39" i="1"/>
  <c r="AN39" i="1"/>
  <c r="A40" i="1"/>
  <c r="AO28" i="22" l="1"/>
  <c r="AG27" i="22"/>
  <c r="AH27" i="22"/>
  <c r="AI27" i="22"/>
  <c r="AN28" i="22"/>
  <c r="AL40" i="1"/>
  <c r="AN29" i="22" s="1"/>
  <c r="D40" i="1"/>
  <c r="AM39" i="1"/>
  <c r="AJ39" i="1"/>
  <c r="AI39" i="1"/>
  <c r="AN40" i="1"/>
  <c r="A41" i="1"/>
  <c r="AH28" i="22" l="1"/>
  <c r="AI28" i="22"/>
  <c r="AO40" i="1"/>
  <c r="AJ40" i="1"/>
  <c r="AK40" i="1"/>
  <c r="AM40" i="1"/>
  <c r="AI40" i="1"/>
  <c r="AW40" i="1"/>
  <c r="AX40" i="1" s="1"/>
  <c r="AL41" i="1"/>
  <c r="AN30" i="22" s="1"/>
  <c r="D41" i="1"/>
  <c r="A42" i="1"/>
  <c r="AH29" i="22" l="1"/>
  <c r="AL29" i="22"/>
  <c r="AI29" i="22"/>
  <c r="AO41" i="1"/>
  <c r="D42" i="1"/>
  <c r="AL42" i="1"/>
  <c r="AZ40" i="1"/>
  <c r="AM41" i="1"/>
  <c r="AK41" i="1"/>
  <c r="AL30" i="22" s="1"/>
  <c r="AK42" i="1"/>
  <c r="AL31" i="22" s="1"/>
  <c r="AO42" i="1"/>
  <c r="AN42" i="1"/>
  <c r="AI42" i="1"/>
  <c r="AI41" i="1"/>
  <c r="AJ42" i="1"/>
  <c r="AM42" i="1"/>
  <c r="AJ41" i="1"/>
  <c r="A43" i="1"/>
  <c r="AO31" i="22" l="1"/>
  <c r="AG30" i="22"/>
  <c r="AO30" i="22"/>
  <c r="AG29" i="22"/>
  <c r="AO29" i="22"/>
  <c r="AG28" i="22"/>
  <c r="AI30" i="22"/>
  <c r="AI31" i="22"/>
  <c r="AH30" i="22"/>
  <c r="AH31" i="22"/>
  <c r="AN31" i="22"/>
  <c r="AL43" i="1"/>
  <c r="AN32" i="22" s="1"/>
  <c r="AN43" i="1"/>
  <c r="D43" i="1"/>
  <c r="A44" i="1"/>
  <c r="D44" i="1" l="1"/>
  <c r="AO43" i="1"/>
  <c r="AK43" i="1"/>
  <c r="AL32" i="22" s="1"/>
  <c r="AK44" i="1"/>
  <c r="AL33" i="22" s="1"/>
  <c r="AN44" i="1"/>
  <c r="AL44" i="1"/>
  <c r="AI43" i="1"/>
  <c r="AJ43" i="1"/>
  <c r="AJ44" i="1"/>
  <c r="AM43" i="1"/>
  <c r="AM44" i="1" s="1"/>
  <c r="AI44" i="1"/>
  <c r="AO33" i="22" l="1"/>
  <c r="AO32" i="22"/>
  <c r="AG31" i="22"/>
  <c r="AH33" i="22"/>
  <c r="AI33" i="22"/>
  <c r="AI32" i="22"/>
  <c r="AH32" i="22"/>
  <c r="AN33" i="22"/>
  <c r="AO44" i="1"/>
  <c r="AH5" i="22" l="1"/>
  <c r="AI5" i="22"/>
  <c r="AL5" i="22"/>
  <c r="AN5" i="22"/>
  <c r="A45" i="1"/>
  <c r="AO5" i="22" l="1"/>
  <c r="AI6" i="22"/>
  <c r="AH6" i="22"/>
  <c r="AL6" i="22"/>
  <c r="AN6" i="22"/>
  <c r="D45" i="1"/>
  <c r="AN45" i="1"/>
  <c r="AL45" i="1"/>
  <c r="AN34" i="22" s="1"/>
  <c r="A46" i="1"/>
  <c r="AO6" i="22" l="1"/>
  <c r="D46" i="1"/>
  <c r="AL46" i="1"/>
  <c r="AN35" i="22" s="1"/>
  <c r="AY45" i="1"/>
  <c r="AK45" i="1"/>
  <c r="AI45" i="1"/>
  <c r="AH34" i="22" s="1"/>
  <c r="AW45" i="1"/>
  <c r="AJ45" i="1"/>
  <c r="AI34" i="22" s="1"/>
  <c r="AM45" i="1"/>
  <c r="AO45" i="1"/>
  <c r="A47" i="1"/>
  <c r="AL34" i="22" l="1"/>
  <c r="AK46" i="1"/>
  <c r="AL35" i="22" s="1"/>
  <c r="AM46" i="1"/>
  <c r="AI46" i="1"/>
  <c r="AJ46" i="1"/>
  <c r="AI35" i="22" s="1"/>
  <c r="AX45" i="1"/>
  <c r="AZ45" i="1" s="1"/>
  <c r="D47" i="1"/>
  <c r="AL47" i="1"/>
  <c r="A48" i="1"/>
  <c r="AH35" i="22" l="1"/>
  <c r="A49" i="1"/>
  <c r="AN49" i="1"/>
  <c r="A50" i="1"/>
  <c r="A51" i="1" s="1"/>
  <c r="AO35" i="22"/>
  <c r="AG34" i="22"/>
  <c r="AO34" i="22"/>
  <c r="AG33" i="22"/>
  <c r="D48" i="1"/>
  <c r="AL48" i="1"/>
  <c r="AN36" i="22" s="1"/>
  <c r="AM47" i="1"/>
  <c r="AI47" i="1"/>
  <c r="AJ47" i="1"/>
  <c r="AK47" i="1"/>
  <c r="AO47" i="1"/>
  <c r="AO48" i="1"/>
  <c r="AK48" i="1"/>
  <c r="AN48" i="1"/>
  <c r="AI48" i="1"/>
  <c r="AJ48" i="1"/>
  <c r="AM48" i="1"/>
  <c r="AN51" i="1" l="1"/>
  <c r="A52" i="1"/>
  <c r="D51" i="1"/>
  <c r="AL51" i="1"/>
  <c r="D50" i="1"/>
  <c r="AL50" i="1"/>
  <c r="AN43" i="22" s="1"/>
  <c r="AL36" i="22"/>
  <c r="AN38" i="22"/>
  <c r="AI36" i="22"/>
  <c r="AH36" i="22"/>
  <c r="AN37" i="22"/>
  <c r="AI37" i="22"/>
  <c r="AH37" i="22"/>
  <c r="AO51" i="1" l="1"/>
  <c r="AN44" i="22"/>
  <c r="AN52" i="1"/>
  <c r="A53" i="1"/>
  <c r="AI51" i="1"/>
  <c r="AH44" i="22" s="1"/>
  <c r="AJ51" i="1"/>
  <c r="AI44" i="22" s="1"/>
  <c r="AK51" i="1"/>
  <c r="AL44" i="22" s="1"/>
  <c r="AW51" i="1"/>
  <c r="AI50" i="1"/>
  <c r="AH43" i="22" s="1"/>
  <c r="AJ50" i="1"/>
  <c r="AI43" i="22" s="1"/>
  <c r="AK50" i="1"/>
  <c r="AL43" i="22" s="1"/>
  <c r="AO43" i="22" s="1"/>
  <c r="AM50" i="1"/>
  <c r="AM51" i="1" s="1"/>
  <c r="AW50" i="1"/>
  <c r="AX50" i="1" s="1"/>
  <c r="AZ50" i="1" s="1"/>
  <c r="AO36" i="22"/>
  <c r="AG35" i="22"/>
  <c r="AL38" i="22"/>
  <c r="AL37" i="22"/>
  <c r="AH38" i="22"/>
  <c r="AI38" i="22"/>
  <c r="AG43" i="22" l="1"/>
  <c r="AO44" i="22"/>
  <c r="A54" i="1"/>
  <c r="D54" i="1"/>
  <c r="AL54" i="1"/>
  <c r="D53" i="1"/>
  <c r="AL53" i="1"/>
  <c r="AN45" i="22" s="1"/>
  <c r="AX51" i="1"/>
  <c r="AO37" i="22"/>
  <c r="AG36" i="22"/>
  <c r="AO38" i="22"/>
  <c r="AG37" i="22"/>
  <c r="AL39" i="22"/>
  <c r="AG38" i="22" s="1"/>
  <c r="AN39" i="22"/>
  <c r="AH39" i="22"/>
  <c r="AI39" i="22"/>
  <c r="AO54" i="1" l="1"/>
  <c r="AN46" i="22"/>
  <c r="AN54" i="1"/>
  <c r="A55" i="1"/>
  <c r="D55" i="1"/>
  <c r="AL55" i="1"/>
  <c r="AI54" i="1"/>
  <c r="AH46" i="22" s="1"/>
  <c r="AJ54" i="1"/>
  <c r="AI46" i="22" s="1"/>
  <c r="AK54" i="1"/>
  <c r="AL46" i="22" s="1"/>
  <c r="AW54" i="1"/>
  <c r="AI53" i="1"/>
  <c r="AH45" i="22" s="1"/>
  <c r="AJ53" i="1"/>
  <c r="AI45" i="22" s="1"/>
  <c r="AK53" i="1"/>
  <c r="AL45" i="22" s="1"/>
  <c r="AM53" i="1"/>
  <c r="AM54" i="1" s="1"/>
  <c r="AW53" i="1"/>
  <c r="AX53" i="1" s="1"/>
  <c r="AZ53" i="1" s="1"/>
  <c r="AZ51" i="1"/>
  <c r="AO39" i="22"/>
  <c r="AI10" i="22"/>
  <c r="AH10" i="22"/>
  <c r="AN10" i="22"/>
  <c r="AL10" i="22"/>
  <c r="AL40" i="22"/>
  <c r="AN40" i="22"/>
  <c r="AI40" i="22"/>
  <c r="AH40" i="22"/>
  <c r="AO45" i="22" l="1"/>
  <c r="AG45" i="22"/>
  <c r="AO46" i="22"/>
  <c r="AO55" i="1"/>
  <c r="AN47" i="22"/>
  <c r="AN55" i="1"/>
  <c r="A56" i="1"/>
  <c r="AI55" i="1"/>
  <c r="AH47" i="22" s="1"/>
  <c r="AJ55" i="1"/>
  <c r="AI47" i="22" s="1"/>
  <c r="AK55" i="1"/>
  <c r="AL47" i="22" s="1"/>
  <c r="AM55" i="1"/>
  <c r="AW55" i="1"/>
  <c r="AX55" i="1" s="1"/>
  <c r="AZ55" i="1" s="1"/>
  <c r="AX54" i="1"/>
  <c r="AO40" i="22"/>
  <c r="AG9" i="22"/>
  <c r="AH41" i="22"/>
  <c r="AI41" i="22"/>
  <c r="AN41" i="22"/>
  <c r="AL41" i="22"/>
  <c r="AO10" i="22"/>
  <c r="AI11" i="22"/>
  <c r="AH11" i="22"/>
  <c r="AN11" i="22"/>
  <c r="AL11" i="22"/>
  <c r="AN42" i="22"/>
  <c r="AG46" i="22" l="1"/>
  <c r="AO47" i="22"/>
  <c r="AN56" i="1"/>
  <c r="A57" i="1"/>
  <c r="AZ54" i="1"/>
  <c r="AG10" i="22"/>
  <c r="AO41" i="22"/>
  <c r="AG40" i="22"/>
  <c r="AO11" i="22"/>
  <c r="AN12" i="22"/>
  <c r="A58" i="1" l="1"/>
  <c r="AN58" i="1"/>
  <c r="A59" i="1"/>
  <c r="A60" i="1" s="1"/>
  <c r="D57" i="1"/>
  <c r="AL57" i="1"/>
  <c r="AN48" i="22" s="1"/>
  <c r="AL42" i="22"/>
  <c r="AH42" i="22"/>
  <c r="AI42" i="22"/>
  <c r="A61" i="1" l="1"/>
  <c r="AN60" i="1"/>
  <c r="D59" i="1"/>
  <c r="AL59" i="1"/>
  <c r="AN49" i="22" s="1"/>
  <c r="AI57" i="1"/>
  <c r="AH48" i="22" s="1"/>
  <c r="AJ57" i="1"/>
  <c r="AI48" i="22" s="1"/>
  <c r="AK57" i="1"/>
  <c r="AL48" i="22" s="1"/>
  <c r="AM57" i="1"/>
  <c r="AW57" i="1"/>
  <c r="AX57" i="1" s="1"/>
  <c r="AZ57" i="1" s="1"/>
  <c r="AO42" i="22"/>
  <c r="AG41" i="22"/>
  <c r="AH12" i="22"/>
  <c r="AI12" i="22"/>
  <c r="AL12" i="22"/>
  <c r="AO48" i="22" l="1"/>
  <c r="D61" i="1"/>
  <c r="AL61" i="1"/>
  <c r="A62" i="1"/>
  <c r="AI59" i="1"/>
  <c r="AH49" i="22" s="1"/>
  <c r="AJ59" i="1"/>
  <c r="AI49" i="22" s="1"/>
  <c r="AK59" i="1"/>
  <c r="AL49" i="22" s="1"/>
  <c r="AM59" i="1"/>
  <c r="AG11" i="22"/>
  <c r="AO12" i="22"/>
  <c r="AH13" i="22"/>
  <c r="AI13" i="22"/>
  <c r="AN13" i="22"/>
  <c r="AL13" i="22"/>
  <c r="AO49" i="22" l="1"/>
  <c r="AI61" i="1"/>
  <c r="AJ61" i="1"/>
  <c r="AK61" i="1"/>
  <c r="AM61" i="1"/>
  <c r="A63" i="1"/>
  <c r="AN62" i="1"/>
  <c r="AG12" i="22"/>
  <c r="AO13" i="22"/>
  <c r="D63" i="1" l="1"/>
  <c r="AL63" i="1"/>
  <c r="AN50" i="22" s="1"/>
  <c r="A64" i="1"/>
  <c r="AN14" i="22"/>
  <c r="AI63" i="1" l="1"/>
  <c r="AH50" i="22" s="1"/>
  <c r="AJ63" i="1"/>
  <c r="AI50" i="22" s="1"/>
  <c r="AK63" i="1"/>
  <c r="AL50" i="22" s="1"/>
  <c r="AM63" i="1"/>
  <c r="AW63" i="1"/>
  <c r="AX63" i="1" s="1"/>
  <c r="AZ63" i="1" s="1"/>
  <c r="A65" i="1"/>
  <c r="AN64" i="1"/>
  <c r="AN15" i="22"/>
  <c r="AH14" i="22"/>
  <c r="AI14" i="22"/>
  <c r="AL14" i="22"/>
  <c r="AO50" i="22" l="1"/>
  <c r="D65" i="1"/>
  <c r="AL65" i="1"/>
  <c r="AN51" i="22" s="1"/>
  <c r="A66" i="1"/>
  <c r="AG13" i="22"/>
  <c r="AN16" i="22"/>
  <c r="AI15" i="22"/>
  <c r="AH15" i="22"/>
  <c r="AO14" i="22"/>
  <c r="AL15" i="22"/>
  <c r="D66" i="1" l="1"/>
  <c r="AL66" i="1"/>
  <c r="AI65" i="1"/>
  <c r="AH51" i="22" s="1"/>
  <c r="AJ65" i="1"/>
  <c r="AI51" i="22" s="1"/>
  <c r="AK65" i="1"/>
  <c r="AL51" i="22" s="1"/>
  <c r="AM65" i="1"/>
  <c r="AW65" i="1"/>
  <c r="AX65" i="1" s="1"/>
  <c r="AZ65" i="1" s="1"/>
  <c r="A67" i="1"/>
  <c r="AN66" i="1"/>
  <c r="AG14" i="22"/>
  <c r="AO15" i="22"/>
  <c r="AN17" i="22"/>
  <c r="AI16" i="22"/>
  <c r="AH16" i="22"/>
  <c r="AL16" i="22"/>
  <c r="AO51" i="22" l="1"/>
  <c r="AO66" i="1"/>
  <c r="AN52" i="22"/>
  <c r="D67" i="1"/>
  <c r="AL67" i="1"/>
  <c r="AI66" i="1"/>
  <c r="AH52" i="22" s="1"/>
  <c r="AJ66" i="1"/>
  <c r="AI52" i="22" s="1"/>
  <c r="AK66" i="1"/>
  <c r="AL52" i="22" s="1"/>
  <c r="AM66" i="1"/>
  <c r="AW66" i="1"/>
  <c r="AX66" i="1" s="1"/>
  <c r="AZ66" i="1" s="1"/>
  <c r="A68" i="1"/>
  <c r="AN67" i="1"/>
  <c r="AG15" i="22"/>
  <c r="AO16" i="22"/>
  <c r="AN18" i="22"/>
  <c r="AI17" i="22"/>
  <c r="AH17" i="22"/>
  <c r="AL17" i="22"/>
  <c r="AO52" i="22" l="1"/>
  <c r="AO67" i="1"/>
  <c r="AN53" i="22"/>
  <c r="A69" i="1"/>
  <c r="D69" i="1"/>
  <c r="AL69" i="1"/>
  <c r="AN54" i="22" s="1"/>
  <c r="A70" i="1"/>
  <c r="AI67" i="1"/>
  <c r="AH53" i="22" s="1"/>
  <c r="AJ67" i="1"/>
  <c r="AI53" i="22" s="1"/>
  <c r="AK67" i="1"/>
  <c r="AL53" i="22" s="1"/>
  <c r="AM67" i="1"/>
  <c r="AW67" i="1"/>
  <c r="AX67" i="1" s="1"/>
  <c r="AZ67" i="1" s="1"/>
  <c r="AN68" i="1"/>
  <c r="AG16" i="22"/>
  <c r="AN19" i="22"/>
  <c r="AH18" i="22"/>
  <c r="AI18" i="22"/>
  <c r="AL18" i="22"/>
  <c r="AO17" i="22"/>
  <c r="AG52" i="22" l="1"/>
  <c r="AO53" i="22"/>
  <c r="D70" i="1"/>
  <c r="AL70" i="1"/>
  <c r="AI69" i="1"/>
  <c r="AH54" i="22" s="1"/>
  <c r="AJ69" i="1"/>
  <c r="AI54" i="22" s="1"/>
  <c r="AK69" i="1"/>
  <c r="AL54" i="22" s="1"/>
  <c r="AM69" i="1"/>
  <c r="AW69" i="1"/>
  <c r="AX69" i="1" s="1"/>
  <c r="AZ69" i="1" s="1"/>
  <c r="A71" i="1"/>
  <c r="AN70" i="1"/>
  <c r="AG17" i="22"/>
  <c r="AO18" i="22"/>
  <c r="AN20" i="22"/>
  <c r="AI19" i="22"/>
  <c r="AH19" i="22"/>
  <c r="AL19" i="22"/>
  <c r="AO54" i="22" l="1"/>
  <c r="AO70" i="1"/>
  <c r="AN55" i="22"/>
  <c r="D71" i="1"/>
  <c r="AL71" i="1"/>
  <c r="AI70" i="1"/>
  <c r="AH55" i="22" s="1"/>
  <c r="AJ70" i="1"/>
  <c r="AI55" i="22" s="1"/>
  <c r="AK70" i="1"/>
  <c r="AL55" i="22" s="1"/>
  <c r="AM70" i="1"/>
  <c r="AW70" i="1"/>
  <c r="AX70" i="1" s="1"/>
  <c r="AZ70" i="1" s="1"/>
  <c r="AN71" i="1"/>
  <c r="AG18" i="22"/>
  <c r="AN21" i="22"/>
  <c r="AH20" i="22"/>
  <c r="AI20" i="22"/>
  <c r="AL20" i="22"/>
  <c r="AO19" i="22"/>
  <c r="AO55" i="22" l="1"/>
  <c r="AO71" i="1"/>
  <c r="AN56" i="22"/>
  <c r="AI71" i="1"/>
  <c r="AH56" i="22" s="1"/>
  <c r="AJ71" i="1"/>
  <c r="AI56" i="22" s="1"/>
  <c r="AK71" i="1"/>
  <c r="AL56" i="22" s="1"/>
  <c r="AM71" i="1"/>
  <c r="AW71" i="1"/>
  <c r="AX71" i="1" s="1"/>
  <c r="AZ71" i="1" s="1"/>
  <c r="AG19" i="22"/>
  <c r="AO20" i="22"/>
  <c r="AN22" i="22"/>
  <c r="AI21" i="22"/>
  <c r="AH21" i="22"/>
  <c r="AL21" i="22"/>
  <c r="AG55" i="22" l="1"/>
  <c r="AO56" i="22"/>
  <c r="A72" i="1"/>
  <c r="AG20" i="22"/>
  <c r="AN23" i="22"/>
  <c r="AH22" i="22"/>
  <c r="AI22" i="22"/>
  <c r="AL22" i="22"/>
  <c r="AO21" i="22"/>
  <c r="AN47" i="1"/>
  <c r="K2" i="2"/>
  <c r="L2" i="2"/>
  <c r="AN18" i="1"/>
  <c r="AN30" i="1"/>
  <c r="AN12" i="1"/>
  <c r="AN10" i="1"/>
  <c r="E2" i="2"/>
  <c r="AN41" i="1"/>
  <c r="AN24" i="1"/>
  <c r="AE5" i="1"/>
  <c r="AE30" i="1"/>
  <c r="AE3" i="1"/>
  <c r="AF45" i="1"/>
  <c r="AF27" i="1"/>
  <c r="AF3" i="1"/>
  <c r="AF37" i="1"/>
  <c r="AE7" i="1"/>
  <c r="AF5" i="1"/>
  <c r="AF30" i="1"/>
  <c r="AF7" i="1"/>
  <c r="J3" i="4"/>
  <c r="N2" i="2"/>
  <c r="AE37" i="1"/>
  <c r="AF24" i="1"/>
  <c r="AE27" i="1"/>
  <c r="AE24" i="1"/>
  <c r="AE45" i="1"/>
  <c r="C2" i="2"/>
  <c r="I3" i="4"/>
  <c r="A73" i="1" l="1"/>
  <c r="D73" i="1"/>
  <c r="AL73" i="1"/>
  <c r="AN57" i="22" s="1"/>
  <c r="A74" i="1"/>
  <c r="A75" i="1" s="1"/>
  <c r="AN72" i="1"/>
  <c r="AG21" i="22"/>
  <c r="AO22" i="22"/>
  <c r="M2" i="2"/>
  <c r="O2" i="2" s="1"/>
  <c r="P2" i="2" s="1"/>
  <c r="Q2" i="2" s="1"/>
  <c r="AH23" i="22"/>
  <c r="AI23" i="22"/>
  <c r="AL23" i="22"/>
  <c r="K3" i="4"/>
  <c r="L3" i="4" s="1"/>
  <c r="M3" i="4" s="1"/>
  <c r="N3" i="4"/>
  <c r="D75" i="1" l="1"/>
  <c r="AL75" i="1"/>
  <c r="AN58" i="22" s="1"/>
  <c r="A76" i="1"/>
  <c r="AI73" i="1"/>
  <c r="AH57" i="22" s="1"/>
  <c r="AJ73" i="1"/>
  <c r="AI57" i="22" s="1"/>
  <c r="AK73" i="1"/>
  <c r="AL57" i="22" s="1"/>
  <c r="AM73" i="1"/>
  <c r="AW73" i="1"/>
  <c r="AX73" i="1" s="1"/>
  <c r="AZ73" i="1" s="1"/>
  <c r="A77" i="1"/>
  <c r="AN74" i="1"/>
  <c r="AG23" i="22"/>
  <c r="AO23" i="22"/>
  <c r="AO57" i="22" l="1"/>
  <c r="AN76" i="1"/>
  <c r="D76" i="1"/>
  <c r="AL76" i="1"/>
  <c r="AI75" i="1"/>
  <c r="AH58" i="22" s="1"/>
  <c r="AJ75" i="1"/>
  <c r="AI58" i="22" s="1"/>
  <c r="AK75" i="1"/>
  <c r="AL58" i="22" s="1"/>
  <c r="AM75" i="1"/>
  <c r="AW75" i="1"/>
  <c r="AX75" i="1" s="1"/>
  <c r="AZ75" i="1" s="1"/>
  <c r="AN77" i="1"/>
  <c r="A78" i="1"/>
  <c r="D78" i="1"/>
  <c r="AL78" i="1"/>
  <c r="AN60" i="22" s="1"/>
  <c r="B3" i="12"/>
  <c r="AO58" i="22" l="1"/>
  <c r="AO76" i="1"/>
  <c r="AN59" i="22"/>
  <c r="AI76" i="1"/>
  <c r="AH59" i="22" s="1"/>
  <c r="AJ76" i="1"/>
  <c r="AI59" i="22" s="1"/>
  <c r="AK76" i="1"/>
  <c r="AL59" i="22" s="1"/>
  <c r="AM76" i="1"/>
  <c r="AW76" i="1"/>
  <c r="AX76" i="1" s="1"/>
  <c r="AZ76" i="1" s="1"/>
  <c r="AI78" i="1"/>
  <c r="AH60" i="22" s="1"/>
  <c r="AJ78" i="1"/>
  <c r="AI60" i="22" s="1"/>
  <c r="AK78" i="1"/>
  <c r="AL60" i="22" s="1"/>
  <c r="AM78" i="1"/>
  <c r="AW78" i="1"/>
  <c r="AX78" i="1" s="1"/>
  <c r="AZ78" i="1" s="1"/>
  <c r="A79" i="1"/>
  <c r="D79" i="1"/>
  <c r="AL79" i="1"/>
  <c r="C3" i="12"/>
  <c r="E3" i="12"/>
  <c r="H3" i="12"/>
  <c r="G3" i="12"/>
  <c r="F3" i="12"/>
  <c r="D3" i="12"/>
  <c r="B3" i="11"/>
  <c r="B3" i="9"/>
  <c r="AO79" i="1" l="1"/>
  <c r="AN61" i="22"/>
  <c r="AO60" i="22"/>
  <c r="AO59" i="22"/>
  <c r="AI79" i="1"/>
  <c r="AH61" i="22" s="1"/>
  <c r="AJ79" i="1"/>
  <c r="AI61" i="22" s="1"/>
  <c r="AK79" i="1"/>
  <c r="AL61" i="22" s="1"/>
  <c r="AM79" i="1"/>
  <c r="AW79" i="1"/>
  <c r="AX79" i="1" s="1"/>
  <c r="AZ79" i="1" s="1"/>
  <c r="A80" i="1"/>
  <c r="AN79" i="1"/>
  <c r="J3" i="12"/>
  <c r="A3" i="12"/>
  <c r="I3" i="12"/>
  <c r="K3" i="12" s="1"/>
  <c r="L3" i="12" s="1"/>
  <c r="M3" i="12" s="1"/>
  <c r="J3" i="9"/>
  <c r="E3" i="9"/>
  <c r="I3" i="9"/>
  <c r="F3" i="9"/>
  <c r="H3" i="11"/>
  <c r="F3" i="11"/>
  <c r="G3" i="11"/>
  <c r="H3" i="9"/>
  <c r="G3" i="9"/>
  <c r="D3" i="9"/>
  <c r="C3" i="9"/>
  <c r="D3" i="11"/>
  <c r="E3" i="11"/>
  <c r="C3" i="11"/>
  <c r="AO61" i="22" l="1"/>
  <c r="A81" i="1"/>
  <c r="AN80" i="1"/>
  <c r="D81" i="1"/>
  <c r="AL81" i="1"/>
  <c r="AN62" i="22" s="1"/>
  <c r="A3" i="11"/>
  <c r="A3" i="9"/>
  <c r="J3" i="11"/>
  <c r="K3" i="9"/>
  <c r="L3" i="9" s="1"/>
  <c r="M3" i="9" s="1"/>
  <c r="I3" i="11"/>
  <c r="AI81" i="1" l="1"/>
  <c r="AH62" i="22" s="1"/>
  <c r="AJ81" i="1"/>
  <c r="AI62" i="22" s="1"/>
  <c r="AK81" i="1"/>
  <c r="AL62" i="22" s="1"/>
  <c r="AM81" i="1"/>
  <c r="AW81" i="1"/>
  <c r="AX81" i="1" s="1"/>
  <c r="AZ81" i="1" s="1"/>
  <c r="A82" i="1"/>
  <c r="D82" i="1"/>
  <c r="AL82" i="1"/>
  <c r="K3" i="11"/>
  <c r="L3" i="11" s="1"/>
  <c r="M3" i="11" s="1"/>
  <c r="B8" i="5"/>
  <c r="B9" i="5"/>
  <c r="AO82" i="1" l="1"/>
  <c r="AN63" i="22"/>
  <c r="AO62" i="22"/>
  <c r="AI82" i="1"/>
  <c r="AH63" i="22" s="1"/>
  <c r="AJ82" i="1"/>
  <c r="AI63" i="22" s="1"/>
  <c r="AK82" i="1"/>
  <c r="AL63" i="22" s="1"/>
  <c r="AM82" i="1"/>
  <c r="AW82" i="1"/>
  <c r="AX82" i="1" s="1"/>
  <c r="AZ82" i="1" s="1"/>
  <c r="A83" i="1"/>
  <c r="AN82" i="1"/>
  <c r="H9" i="5"/>
  <c r="F9" i="5"/>
  <c r="G9" i="5"/>
  <c r="H8" i="5"/>
  <c r="E8" i="5"/>
  <c r="D8" i="5"/>
  <c r="G8" i="5"/>
  <c r="E9" i="5"/>
  <c r="C9" i="5"/>
  <c r="D9" i="5"/>
  <c r="C8" i="5"/>
  <c r="F8" i="5"/>
  <c r="B10" i="5"/>
  <c r="B11" i="5"/>
  <c r="AO63" i="22" l="1"/>
  <c r="A84" i="1"/>
  <c r="AN83" i="1"/>
  <c r="D84" i="1"/>
  <c r="AL84" i="1"/>
  <c r="AN64" i="22" s="1"/>
  <c r="J9" i="5"/>
  <c r="J8" i="5"/>
  <c r="A8" i="5"/>
  <c r="A9" i="5"/>
  <c r="I9" i="5"/>
  <c r="K9" i="5" s="1"/>
  <c r="L9" i="5" s="1"/>
  <c r="M9" i="5" s="1"/>
  <c r="H10" i="5"/>
  <c r="C10" i="5"/>
  <c r="A23" i="2"/>
  <c r="D11" i="5"/>
  <c r="E11" i="5"/>
  <c r="F11" i="5"/>
  <c r="D10" i="5"/>
  <c r="E10" i="5"/>
  <c r="G10" i="5"/>
  <c r="F10" i="5"/>
  <c r="C11" i="5"/>
  <c r="G11" i="5"/>
  <c r="B12" i="5"/>
  <c r="H11" i="5"/>
  <c r="A24" i="2"/>
  <c r="J23" i="2"/>
  <c r="J24" i="2"/>
  <c r="AI84" i="1" l="1"/>
  <c r="AH64" i="22" s="1"/>
  <c r="AJ84" i="1"/>
  <c r="AI64" i="22" s="1"/>
  <c r="AK84" i="1"/>
  <c r="AL64" i="22" s="1"/>
  <c r="AM84" i="1"/>
  <c r="AW84" i="1"/>
  <c r="AX84" i="1" s="1"/>
  <c r="AZ84" i="1" s="1"/>
  <c r="A85" i="1"/>
  <c r="D85" i="1"/>
  <c r="AL85" i="1"/>
  <c r="R24" i="2"/>
  <c r="G24" i="2"/>
  <c r="J11" i="5"/>
  <c r="J10" i="5"/>
  <c r="R23" i="2"/>
  <c r="G23" i="2"/>
  <c r="A10" i="5"/>
  <c r="I10" i="5"/>
  <c r="A11" i="5"/>
  <c r="A25" i="2"/>
  <c r="B24" i="2"/>
  <c r="F24" i="2"/>
  <c r="H24" i="2"/>
  <c r="I23" i="2"/>
  <c r="H23" i="2"/>
  <c r="I24" i="2"/>
  <c r="C24" i="2"/>
  <c r="F23" i="2"/>
  <c r="C23" i="2"/>
  <c r="B23" i="2"/>
  <c r="G12" i="5"/>
  <c r="E12" i="5"/>
  <c r="F12" i="5"/>
  <c r="H12" i="5"/>
  <c r="B13" i="5"/>
  <c r="C12" i="5"/>
  <c r="D12" i="5"/>
  <c r="A26" i="2"/>
  <c r="B3" i="7"/>
  <c r="J25" i="2"/>
  <c r="J26" i="2"/>
  <c r="AO85" i="1" l="1"/>
  <c r="AN65" i="22"/>
  <c r="AO64" i="22"/>
  <c r="AI85" i="1"/>
  <c r="AH65" i="22" s="1"/>
  <c r="AJ85" i="1"/>
  <c r="AI65" i="22" s="1"/>
  <c r="AK85" i="1"/>
  <c r="AL65" i="22" s="1"/>
  <c r="AM85" i="1"/>
  <c r="AW85" i="1"/>
  <c r="AX85" i="1" s="1"/>
  <c r="AZ85" i="1" s="1"/>
  <c r="A86" i="1"/>
  <c r="AN85" i="1"/>
  <c r="D86" i="1"/>
  <c r="AL86" i="1"/>
  <c r="K10" i="5"/>
  <c r="L10" i="5" s="1"/>
  <c r="M10" i="5" s="1"/>
  <c r="R26" i="2"/>
  <c r="G26" i="2"/>
  <c r="D23" i="2"/>
  <c r="E23" i="2"/>
  <c r="K23" i="2"/>
  <c r="L23" i="2"/>
  <c r="J12" i="5"/>
  <c r="D24" i="2"/>
  <c r="E24" i="2"/>
  <c r="K24" i="2"/>
  <c r="L24" i="2"/>
  <c r="R25" i="2"/>
  <c r="G25" i="2"/>
  <c r="I11" i="5"/>
  <c r="K11" i="5" s="1"/>
  <c r="L11" i="5" s="1"/>
  <c r="M11" i="5" s="1"/>
  <c r="A12" i="5"/>
  <c r="J13" i="5"/>
  <c r="I13" i="5"/>
  <c r="F3" i="7"/>
  <c r="E3" i="7"/>
  <c r="G3" i="7"/>
  <c r="F26" i="2"/>
  <c r="C26" i="2"/>
  <c r="N24" i="2"/>
  <c r="C3" i="7"/>
  <c r="H3" i="7"/>
  <c r="D3" i="7"/>
  <c r="A27" i="2"/>
  <c r="H26" i="2"/>
  <c r="B26" i="2"/>
  <c r="I26" i="2"/>
  <c r="N23" i="2"/>
  <c r="F25" i="2"/>
  <c r="B25" i="2"/>
  <c r="C25" i="2"/>
  <c r="H13" i="5"/>
  <c r="G13" i="5"/>
  <c r="H25" i="2"/>
  <c r="I25" i="2"/>
  <c r="D13" i="5"/>
  <c r="C13" i="5"/>
  <c r="E13" i="5"/>
  <c r="F13" i="5"/>
  <c r="A28" i="2"/>
  <c r="J27" i="2"/>
  <c r="J28" i="2"/>
  <c r="A87" i="1" l="1"/>
  <c r="D87" i="1"/>
  <c r="AL87" i="1"/>
  <c r="A88" i="1"/>
  <c r="AN87" i="1"/>
  <c r="AO86" i="1"/>
  <c r="AN66" i="22"/>
  <c r="AO65" i="22"/>
  <c r="AI86" i="1"/>
  <c r="AH66" i="22" s="1"/>
  <c r="AJ86" i="1"/>
  <c r="AI66" i="22" s="1"/>
  <c r="AK86" i="1"/>
  <c r="AL66" i="22" s="1"/>
  <c r="AM86" i="1"/>
  <c r="AW86" i="1"/>
  <c r="AX86" i="1" s="1"/>
  <c r="AZ86" i="1" s="1"/>
  <c r="AN86" i="1"/>
  <c r="M23" i="2"/>
  <c r="O23" i="2" s="1"/>
  <c r="P23" i="2" s="1"/>
  <c r="Q23" i="2" s="1"/>
  <c r="R28" i="2"/>
  <c r="G28" i="2"/>
  <c r="D25" i="2"/>
  <c r="E25" i="2"/>
  <c r="K25" i="2"/>
  <c r="L25" i="2"/>
  <c r="J3" i="7"/>
  <c r="D26" i="2"/>
  <c r="E26" i="2"/>
  <c r="K26" i="2"/>
  <c r="L26" i="2"/>
  <c r="R27" i="2"/>
  <c r="G27" i="2"/>
  <c r="A3" i="7"/>
  <c r="I12" i="5"/>
  <c r="K12" i="5" s="1"/>
  <c r="L12" i="5" s="1"/>
  <c r="M12" i="5" s="1"/>
  <c r="M24" i="2"/>
  <c r="O24" i="2" s="1"/>
  <c r="P24" i="2" s="1"/>
  <c r="Q24" i="2" s="1"/>
  <c r="K13" i="5"/>
  <c r="L13" i="5" s="1"/>
  <c r="M13" i="5" s="1"/>
  <c r="A13" i="5"/>
  <c r="A29" i="2"/>
  <c r="I28" i="2"/>
  <c r="H28" i="2"/>
  <c r="B28" i="2"/>
  <c r="N25" i="2"/>
  <c r="F28" i="2"/>
  <c r="C28" i="2"/>
  <c r="N26" i="2"/>
  <c r="F27" i="2"/>
  <c r="I27" i="2"/>
  <c r="B27" i="2"/>
  <c r="H27" i="2"/>
  <c r="C27" i="2"/>
  <c r="A30" i="2"/>
  <c r="J29" i="2"/>
  <c r="J30" i="2"/>
  <c r="D88" i="1" l="1"/>
  <c r="AL88" i="1"/>
  <c r="AO87" i="1"/>
  <c r="AI87" i="1"/>
  <c r="AJ87" i="1"/>
  <c r="AK87" i="1"/>
  <c r="AM87" i="1"/>
  <c r="A89" i="1"/>
  <c r="AN88" i="1"/>
  <c r="AN67" i="22"/>
  <c r="AO66" i="22"/>
  <c r="M26" i="2"/>
  <c r="O26" i="2" s="1"/>
  <c r="P26" i="2" s="1"/>
  <c r="Q26" i="2" s="1"/>
  <c r="G30" i="2"/>
  <c r="R30" i="2"/>
  <c r="D27" i="2"/>
  <c r="E27" i="2"/>
  <c r="L27" i="2"/>
  <c r="K27" i="2"/>
  <c r="D28" i="2"/>
  <c r="E28" i="2"/>
  <c r="L28" i="2"/>
  <c r="K28" i="2"/>
  <c r="G29" i="2"/>
  <c r="R29" i="2"/>
  <c r="M25" i="2"/>
  <c r="O25" i="2" s="1"/>
  <c r="P25" i="2" s="1"/>
  <c r="Q25" i="2" s="1"/>
  <c r="A31" i="2"/>
  <c r="F30" i="2"/>
  <c r="H30" i="2"/>
  <c r="B30" i="2"/>
  <c r="N27" i="2"/>
  <c r="I30" i="2"/>
  <c r="C30" i="2"/>
  <c r="N28" i="2"/>
  <c r="B29" i="2"/>
  <c r="C29" i="2"/>
  <c r="H29" i="2"/>
  <c r="F29" i="2"/>
  <c r="I29" i="2"/>
  <c r="A32" i="2"/>
  <c r="J31" i="2"/>
  <c r="J32" i="2"/>
  <c r="D89" i="1" l="1"/>
  <c r="AL89" i="1"/>
  <c r="AO88" i="1"/>
  <c r="AI88" i="1"/>
  <c r="AJ88" i="1"/>
  <c r="AK88" i="1"/>
  <c r="AM88" i="1"/>
  <c r="AN89" i="1"/>
  <c r="AN68" i="22"/>
  <c r="M27" i="2"/>
  <c r="O27" i="2" s="1"/>
  <c r="P27" i="2" s="1"/>
  <c r="Q27" i="2" s="1"/>
  <c r="R32" i="2"/>
  <c r="G32" i="2"/>
  <c r="D29" i="2"/>
  <c r="E29" i="2"/>
  <c r="L29" i="2"/>
  <c r="K29" i="2"/>
  <c r="D30" i="2"/>
  <c r="E30" i="2"/>
  <c r="L30" i="2"/>
  <c r="K30" i="2"/>
  <c r="R31" i="2"/>
  <c r="G31" i="2"/>
  <c r="M28" i="2"/>
  <c r="O28" i="2" s="1"/>
  <c r="P28" i="2" s="1"/>
  <c r="Q28" i="2" s="1"/>
  <c r="A33" i="2"/>
  <c r="F32" i="2"/>
  <c r="H32" i="2"/>
  <c r="N29" i="2"/>
  <c r="B32" i="2"/>
  <c r="I32" i="2"/>
  <c r="C32" i="2"/>
  <c r="C31" i="2"/>
  <c r="H31" i="2"/>
  <c r="N30" i="2"/>
  <c r="B31" i="2"/>
  <c r="I31" i="2"/>
  <c r="F31" i="2"/>
  <c r="A34" i="2"/>
  <c r="B14" i="5"/>
  <c r="B15" i="5"/>
  <c r="J33" i="2"/>
  <c r="J34" i="2"/>
  <c r="AO89" i="1" l="1"/>
  <c r="AI89" i="1"/>
  <c r="AJ89" i="1"/>
  <c r="AK89" i="1"/>
  <c r="AM89" i="1"/>
  <c r="AH67" i="22"/>
  <c r="AI67" i="22"/>
  <c r="AL67" i="22"/>
  <c r="A90" i="1"/>
  <c r="D90" i="1"/>
  <c r="AL90" i="1"/>
  <c r="AO90" i="1" s="1"/>
  <c r="AN69" i="22"/>
  <c r="M30" i="2"/>
  <c r="M29" i="2"/>
  <c r="R34" i="2"/>
  <c r="G34" i="2"/>
  <c r="D31" i="2"/>
  <c r="E31" i="2"/>
  <c r="L31" i="2"/>
  <c r="K31" i="2"/>
  <c r="D32" i="2"/>
  <c r="E32" i="2"/>
  <c r="K32" i="2"/>
  <c r="L32" i="2"/>
  <c r="R33" i="2"/>
  <c r="G33" i="2"/>
  <c r="O29" i="2"/>
  <c r="P29" i="2" s="1"/>
  <c r="Q29" i="2" s="1"/>
  <c r="O30" i="2"/>
  <c r="P30" i="2" s="1"/>
  <c r="Q30" i="2" s="1"/>
  <c r="F15" i="5"/>
  <c r="G15" i="5"/>
  <c r="E15" i="5"/>
  <c r="F14" i="5"/>
  <c r="D14" i="5"/>
  <c r="A35" i="2"/>
  <c r="H34" i="2"/>
  <c r="B34" i="2"/>
  <c r="N31" i="2"/>
  <c r="D15" i="5"/>
  <c r="C15" i="5"/>
  <c r="H15" i="5"/>
  <c r="G14" i="5"/>
  <c r="E14" i="5"/>
  <c r="C14" i="5"/>
  <c r="H14" i="5"/>
  <c r="C34" i="2"/>
  <c r="F34" i="2"/>
  <c r="I34" i="2"/>
  <c r="B33" i="2"/>
  <c r="H33" i="2"/>
  <c r="F33" i="2"/>
  <c r="N32" i="2"/>
  <c r="I33" i="2"/>
  <c r="C33" i="2"/>
  <c r="A36" i="2"/>
  <c r="B16" i="5"/>
  <c r="J35" i="2"/>
  <c r="J36" i="2"/>
  <c r="AI90" i="1" l="1"/>
  <c r="AH68" i="22" s="1"/>
  <c r="AJ90" i="1"/>
  <c r="AI68" i="22" s="1"/>
  <c r="AK90" i="1"/>
  <c r="AL68" i="22" s="1"/>
  <c r="AM90" i="1"/>
  <c r="AW90" i="1"/>
  <c r="AX90" i="1" s="1"/>
  <c r="AZ90" i="1" s="1"/>
  <c r="A91" i="1"/>
  <c r="AN90" i="1"/>
  <c r="D91" i="1"/>
  <c r="AL91" i="1"/>
  <c r="AO91" i="1" s="1"/>
  <c r="AO67" i="22"/>
  <c r="AN70" i="22"/>
  <c r="M31" i="2"/>
  <c r="O31" i="2" s="1"/>
  <c r="P31" i="2" s="1"/>
  <c r="Q31" i="2" s="1"/>
  <c r="G36" i="2"/>
  <c r="R36" i="2"/>
  <c r="J15" i="5"/>
  <c r="D33" i="2"/>
  <c r="E33" i="2"/>
  <c r="L33" i="2"/>
  <c r="K33" i="2"/>
  <c r="A14" i="5"/>
  <c r="A15" i="5"/>
  <c r="J14" i="5"/>
  <c r="D34" i="2"/>
  <c r="E34" i="2"/>
  <c r="K34" i="2"/>
  <c r="L34" i="2"/>
  <c r="R35" i="2"/>
  <c r="G35" i="2"/>
  <c r="M32" i="2"/>
  <c r="I14" i="5"/>
  <c r="G16" i="5"/>
  <c r="E16" i="5"/>
  <c r="A37" i="2"/>
  <c r="H36" i="2"/>
  <c r="F36" i="2"/>
  <c r="N34" i="2"/>
  <c r="B35" i="2"/>
  <c r="C35" i="2"/>
  <c r="I35" i="2"/>
  <c r="H16" i="5"/>
  <c r="F16" i="5"/>
  <c r="D16" i="5"/>
  <c r="C16" i="5"/>
  <c r="B36" i="2"/>
  <c r="I36" i="2"/>
  <c r="C36" i="2"/>
  <c r="N33" i="2"/>
  <c r="F35" i="2"/>
  <c r="H35" i="2"/>
  <c r="A38" i="2"/>
  <c r="B17" i="4"/>
  <c r="A39" i="2"/>
  <c r="B18" i="4"/>
  <c r="A40" i="2"/>
  <c r="A41" i="2"/>
  <c r="A42" i="2"/>
  <c r="A43" i="2"/>
  <c r="A44" i="2"/>
  <c r="A45" i="2"/>
  <c r="A46" i="2"/>
  <c r="A47" i="2"/>
  <c r="A48" i="2"/>
  <c r="A49" i="2"/>
  <c r="A50" i="2"/>
  <c r="J46" i="2"/>
  <c r="J37" i="2"/>
  <c r="J43" i="2"/>
  <c r="J38" i="2"/>
  <c r="J39" i="2"/>
  <c r="J40" i="2"/>
  <c r="J45" i="2"/>
  <c r="J42" i="2"/>
  <c r="J44" i="2"/>
  <c r="J49" i="2"/>
  <c r="J50" i="2"/>
  <c r="J48" i="2"/>
  <c r="J41" i="2"/>
  <c r="J47" i="2"/>
  <c r="AI91" i="1" l="1"/>
  <c r="AH69" i="22" s="1"/>
  <c r="AJ91" i="1"/>
  <c r="AI69" i="22" s="1"/>
  <c r="AK91" i="1"/>
  <c r="AL69" i="22" s="1"/>
  <c r="AM91" i="1"/>
  <c r="AW91" i="1"/>
  <c r="AX91" i="1" s="1"/>
  <c r="AZ91" i="1" s="1"/>
  <c r="A92" i="1"/>
  <c r="AN91" i="1"/>
  <c r="D92" i="1"/>
  <c r="AL92" i="1"/>
  <c r="AO92" i="1" s="1"/>
  <c r="AG67" i="22"/>
  <c r="AO68" i="22"/>
  <c r="AN71" i="22"/>
  <c r="K14" i="5"/>
  <c r="L14" i="5" s="1"/>
  <c r="M14" i="5" s="1"/>
  <c r="R50" i="2"/>
  <c r="G50" i="2"/>
  <c r="R49" i="2"/>
  <c r="G49" i="2"/>
  <c r="G48" i="2"/>
  <c r="R48" i="2"/>
  <c r="R47" i="2"/>
  <c r="G47" i="2"/>
  <c r="G46" i="2"/>
  <c r="R46" i="2"/>
  <c r="G45" i="2"/>
  <c r="R45" i="2"/>
  <c r="R44" i="2"/>
  <c r="G44" i="2"/>
  <c r="G43" i="2"/>
  <c r="R43" i="2"/>
  <c r="G42" i="2"/>
  <c r="R42" i="2"/>
  <c r="G41" i="2"/>
  <c r="R41" i="2"/>
  <c r="G40" i="2"/>
  <c r="R40" i="2"/>
  <c r="G39" i="2"/>
  <c r="R39" i="2"/>
  <c r="G38" i="2"/>
  <c r="R38" i="2"/>
  <c r="J16" i="5"/>
  <c r="D36" i="2"/>
  <c r="E36" i="2"/>
  <c r="K36" i="2"/>
  <c r="L36" i="2"/>
  <c r="A16" i="5"/>
  <c r="D35" i="2"/>
  <c r="E35" i="2"/>
  <c r="L35" i="2"/>
  <c r="K35" i="2"/>
  <c r="G37" i="2"/>
  <c r="R37" i="2"/>
  <c r="O32" i="2"/>
  <c r="P32" i="2" s="1"/>
  <c r="Q32" i="2" s="1"/>
  <c r="I15" i="5"/>
  <c r="K15" i="5" s="1"/>
  <c r="L15" i="5" s="1"/>
  <c r="M15" i="5" s="1"/>
  <c r="M34" i="2"/>
  <c r="O34" i="2" s="1"/>
  <c r="P34" i="2" s="1"/>
  <c r="Q34" i="2" s="1"/>
  <c r="M33" i="2"/>
  <c r="A51" i="2"/>
  <c r="C50" i="2"/>
  <c r="B50" i="2"/>
  <c r="C49" i="2"/>
  <c r="C48" i="2"/>
  <c r="H48" i="2"/>
  <c r="F48" i="2"/>
  <c r="H47" i="2"/>
  <c r="I47" i="2"/>
  <c r="F46" i="2"/>
  <c r="I46" i="2"/>
  <c r="F45" i="2"/>
  <c r="I45" i="2"/>
  <c r="C44" i="2"/>
  <c r="H44" i="2"/>
  <c r="I43" i="2"/>
  <c r="I42" i="2"/>
  <c r="H42" i="2"/>
  <c r="B41" i="2"/>
  <c r="C41" i="2"/>
  <c r="F40" i="2"/>
  <c r="C40" i="2"/>
  <c r="H18" i="4"/>
  <c r="F18" i="4"/>
  <c r="J18" i="4"/>
  <c r="D18" i="4"/>
  <c r="F39" i="2"/>
  <c r="C39" i="2"/>
  <c r="J17" i="4"/>
  <c r="F17" i="4"/>
  <c r="G17" i="4"/>
  <c r="D17" i="4"/>
  <c r="B38" i="2"/>
  <c r="F38" i="2"/>
  <c r="N35" i="2"/>
  <c r="F50" i="2"/>
  <c r="I50" i="2"/>
  <c r="H50" i="2"/>
  <c r="F49" i="2"/>
  <c r="H49" i="2"/>
  <c r="I49" i="2"/>
  <c r="B49" i="2"/>
  <c r="I48" i="2"/>
  <c r="B48" i="2"/>
  <c r="B47" i="2"/>
  <c r="C47" i="2"/>
  <c r="F47" i="2"/>
  <c r="C46" i="2"/>
  <c r="H46" i="2"/>
  <c r="B46" i="2"/>
  <c r="C45" i="2"/>
  <c r="B45" i="2"/>
  <c r="H45" i="2"/>
  <c r="B44" i="2"/>
  <c r="I44" i="2"/>
  <c r="F44" i="2"/>
  <c r="C43" i="2"/>
  <c r="B43" i="2"/>
  <c r="F43" i="2"/>
  <c r="H43" i="2"/>
  <c r="B42" i="2"/>
  <c r="F42" i="2"/>
  <c r="C42" i="2"/>
  <c r="I41" i="2"/>
  <c r="H41" i="2"/>
  <c r="F41" i="2"/>
  <c r="I40" i="2"/>
  <c r="H40" i="2"/>
  <c r="B40" i="2"/>
  <c r="C18" i="4"/>
  <c r="E18" i="4"/>
  <c r="G18" i="4"/>
  <c r="I18" i="4"/>
  <c r="B39" i="2"/>
  <c r="H39" i="2"/>
  <c r="I39" i="2"/>
  <c r="I17" i="4"/>
  <c r="E17" i="4"/>
  <c r="C17" i="4"/>
  <c r="H17" i="4"/>
  <c r="I38" i="2"/>
  <c r="C38" i="2"/>
  <c r="H38" i="2"/>
  <c r="N36" i="2"/>
  <c r="F37" i="2"/>
  <c r="C37" i="2"/>
  <c r="B37" i="2"/>
  <c r="H37" i="2"/>
  <c r="I37" i="2"/>
  <c r="A52" i="2"/>
  <c r="B19" i="4"/>
  <c r="B3" i="14"/>
  <c r="B17" i="5"/>
  <c r="A53" i="2"/>
  <c r="B20" i="4"/>
  <c r="B18" i="5"/>
  <c r="A54" i="2"/>
  <c r="B21" i="4"/>
  <c r="B19" i="5"/>
  <c r="A55" i="2"/>
  <c r="B22" i="4"/>
  <c r="B20" i="5"/>
  <c r="A56" i="2"/>
  <c r="B23" i="4"/>
  <c r="J55" i="2"/>
  <c r="J52" i="2"/>
  <c r="J54" i="2"/>
  <c r="J51" i="2"/>
  <c r="J53" i="2"/>
  <c r="AI92" i="1" l="1"/>
  <c r="AH70" i="22" s="1"/>
  <c r="AJ92" i="1"/>
  <c r="AI70" i="22" s="1"/>
  <c r="AK92" i="1"/>
  <c r="AL70" i="22" s="1"/>
  <c r="AM92" i="1"/>
  <c r="AW92" i="1"/>
  <c r="AX92" i="1" s="1"/>
  <c r="AZ92" i="1" s="1"/>
  <c r="A93" i="1"/>
  <c r="AN92" i="1"/>
  <c r="D93" i="1"/>
  <c r="AL93" i="1"/>
  <c r="AG68" i="22"/>
  <c r="AO69" i="22"/>
  <c r="M35" i="2"/>
  <c r="R55" i="2"/>
  <c r="G55" i="2"/>
  <c r="G54" i="2"/>
  <c r="R54" i="2"/>
  <c r="G53" i="2"/>
  <c r="R53" i="2"/>
  <c r="G52" i="2"/>
  <c r="R52" i="2"/>
  <c r="D37" i="2"/>
  <c r="E37" i="2"/>
  <c r="K37" i="2"/>
  <c r="L37" i="2"/>
  <c r="A17" i="4"/>
  <c r="K17" i="4"/>
  <c r="L17" i="4" s="1"/>
  <c r="M17" i="4" s="1"/>
  <c r="D39" i="2"/>
  <c r="E39" i="2"/>
  <c r="L39" i="2"/>
  <c r="K39" i="2"/>
  <c r="K18" i="4"/>
  <c r="L18" i="4" s="1"/>
  <c r="M18" i="4" s="1"/>
  <c r="A18" i="4"/>
  <c r="D40" i="2"/>
  <c r="E40" i="2"/>
  <c r="K40" i="2"/>
  <c r="L40" i="2"/>
  <c r="E42" i="2"/>
  <c r="D42" i="2"/>
  <c r="L42" i="2"/>
  <c r="K42" i="2"/>
  <c r="D43" i="2"/>
  <c r="E43" i="2"/>
  <c r="L43" i="2"/>
  <c r="K43" i="2"/>
  <c r="E44" i="2"/>
  <c r="D44" i="2"/>
  <c r="L44" i="2"/>
  <c r="K44" i="2"/>
  <c r="D45" i="2"/>
  <c r="E45" i="2"/>
  <c r="L45" i="2"/>
  <c r="K45" i="2"/>
  <c r="E46" i="2"/>
  <c r="D46" i="2"/>
  <c r="L46" i="2"/>
  <c r="K46" i="2"/>
  <c r="E47" i="2"/>
  <c r="D47" i="2"/>
  <c r="K47" i="2"/>
  <c r="L47" i="2"/>
  <c r="D48" i="2"/>
  <c r="E48" i="2"/>
  <c r="K48" i="2"/>
  <c r="L48" i="2"/>
  <c r="E49" i="2"/>
  <c r="D49" i="2"/>
  <c r="K49" i="2"/>
  <c r="L49" i="2"/>
  <c r="D38" i="2"/>
  <c r="E38" i="2"/>
  <c r="L38" i="2"/>
  <c r="K38" i="2"/>
  <c r="D41" i="2"/>
  <c r="E41" i="2"/>
  <c r="L41" i="2"/>
  <c r="K41" i="2"/>
  <c r="E50" i="2"/>
  <c r="D50" i="2"/>
  <c r="K50" i="2"/>
  <c r="L50" i="2"/>
  <c r="R51" i="2"/>
  <c r="G51" i="2"/>
  <c r="O33" i="2"/>
  <c r="P33" i="2" s="1"/>
  <c r="Q33" i="2" s="1"/>
  <c r="I16" i="5"/>
  <c r="K16" i="5" s="1"/>
  <c r="L16" i="5" s="1"/>
  <c r="M16" i="5" s="1"/>
  <c r="O35" i="2"/>
  <c r="P35" i="2" s="1"/>
  <c r="Q35" i="2" s="1"/>
  <c r="M36" i="2"/>
  <c r="O36" i="2" s="1"/>
  <c r="P36" i="2" s="1"/>
  <c r="Q36" i="2" s="1"/>
  <c r="I20" i="5"/>
  <c r="R56" i="2"/>
  <c r="G56" i="2"/>
  <c r="G22" i="4"/>
  <c r="E22" i="4"/>
  <c r="F22" i="4"/>
  <c r="H22" i="4"/>
  <c r="B55" i="2"/>
  <c r="C55" i="2"/>
  <c r="F55" i="2"/>
  <c r="H55" i="2"/>
  <c r="D19" i="5"/>
  <c r="G19" i="5"/>
  <c r="H19" i="5"/>
  <c r="C21" i="4"/>
  <c r="I21" i="4"/>
  <c r="E21" i="4"/>
  <c r="F21" i="4"/>
  <c r="C54" i="2"/>
  <c r="B54" i="2"/>
  <c r="F54" i="2"/>
  <c r="G18" i="5"/>
  <c r="D18" i="5"/>
  <c r="H18" i="5"/>
  <c r="E18" i="5"/>
  <c r="J20" i="4"/>
  <c r="D20" i="4"/>
  <c r="I20" i="4"/>
  <c r="F20" i="4"/>
  <c r="H53" i="2"/>
  <c r="C53" i="2"/>
  <c r="I53" i="2"/>
  <c r="D17" i="5"/>
  <c r="C17" i="5"/>
  <c r="E17" i="5"/>
  <c r="G3" i="14"/>
  <c r="H3" i="14"/>
  <c r="C3" i="14"/>
  <c r="D19" i="4"/>
  <c r="C19" i="4"/>
  <c r="F19" i="4"/>
  <c r="I19" i="4"/>
  <c r="B52" i="2"/>
  <c r="F52" i="2"/>
  <c r="N37" i="2"/>
  <c r="N40" i="2"/>
  <c r="N43" i="2"/>
  <c r="N45" i="2"/>
  <c r="N48" i="2"/>
  <c r="N38" i="2"/>
  <c r="N41" i="2"/>
  <c r="I23" i="4"/>
  <c r="I56" i="2"/>
  <c r="D22" i="4"/>
  <c r="C22" i="4"/>
  <c r="I22" i="4"/>
  <c r="J22" i="4"/>
  <c r="I55" i="2"/>
  <c r="C19" i="5"/>
  <c r="E19" i="5"/>
  <c r="F19" i="5"/>
  <c r="G21" i="4"/>
  <c r="H21" i="4"/>
  <c r="J21" i="4"/>
  <c r="D21" i="4"/>
  <c r="H54" i="2"/>
  <c r="I54" i="2"/>
  <c r="C18" i="5"/>
  <c r="F18" i="5"/>
  <c r="E20" i="4"/>
  <c r="C20" i="4"/>
  <c r="H20" i="4"/>
  <c r="G20" i="4"/>
  <c r="F53" i="2"/>
  <c r="B53" i="2"/>
  <c r="F17" i="5"/>
  <c r="H17" i="5"/>
  <c r="G17" i="5"/>
  <c r="F3" i="14"/>
  <c r="E3" i="14"/>
  <c r="D3" i="14"/>
  <c r="J19" i="4"/>
  <c r="E19" i="4"/>
  <c r="G19" i="4"/>
  <c r="H19" i="4"/>
  <c r="I52" i="2"/>
  <c r="C52" i="2"/>
  <c r="H52" i="2"/>
  <c r="N39" i="2"/>
  <c r="N42" i="2"/>
  <c r="N44" i="2"/>
  <c r="N46" i="2"/>
  <c r="N47" i="2"/>
  <c r="N49" i="2"/>
  <c r="N50" i="2"/>
  <c r="F51" i="2"/>
  <c r="B51" i="2"/>
  <c r="E20" i="5"/>
  <c r="J23" i="4"/>
  <c r="C20" i="5"/>
  <c r="G23" i="4"/>
  <c r="A57" i="2"/>
  <c r="F56" i="2"/>
  <c r="D20" i="5"/>
  <c r="H23" i="4"/>
  <c r="B21" i="5"/>
  <c r="C23" i="4"/>
  <c r="H56" i="2"/>
  <c r="G20" i="5"/>
  <c r="B56" i="2"/>
  <c r="H51" i="2"/>
  <c r="C51" i="2"/>
  <c r="I51" i="2"/>
  <c r="B24" i="4"/>
  <c r="F23" i="4"/>
  <c r="F20" i="5"/>
  <c r="D23" i="4"/>
  <c r="C56" i="2"/>
  <c r="B4" i="14"/>
  <c r="H20" i="5"/>
  <c r="E23" i="4"/>
  <c r="A58" i="2"/>
  <c r="A59" i="2"/>
  <c r="J56" i="2"/>
  <c r="AO93" i="1" l="1"/>
  <c r="AN74" i="22"/>
  <c r="AI93" i="1"/>
  <c r="AJ93" i="1"/>
  <c r="AK93" i="1"/>
  <c r="AM93" i="1"/>
  <c r="AW93" i="1"/>
  <c r="AX93" i="1" s="1"/>
  <c r="AZ93" i="1" s="1"/>
  <c r="A94" i="1"/>
  <c r="AN93" i="1"/>
  <c r="AO70" i="22"/>
  <c r="M41" i="2"/>
  <c r="O41" i="2" s="1"/>
  <c r="P41" i="2" s="1"/>
  <c r="Q41" i="2" s="1"/>
  <c r="M38" i="2"/>
  <c r="O38" i="2" s="1"/>
  <c r="P38" i="2" s="1"/>
  <c r="Q38" i="2" s="1"/>
  <c r="M46" i="2"/>
  <c r="M45" i="2"/>
  <c r="O45" i="2" s="1"/>
  <c r="P45" i="2" s="1"/>
  <c r="Q45" i="2" s="1"/>
  <c r="M44" i="2"/>
  <c r="O44" i="2" s="1"/>
  <c r="P44" i="2" s="1"/>
  <c r="Q44" i="2" s="1"/>
  <c r="M43" i="2"/>
  <c r="O43" i="2" s="1"/>
  <c r="P43" i="2" s="1"/>
  <c r="Q43" i="2" s="1"/>
  <c r="M42" i="2"/>
  <c r="I18" i="5" s="1"/>
  <c r="D51" i="2"/>
  <c r="E51" i="2"/>
  <c r="K51" i="2"/>
  <c r="L51" i="2"/>
  <c r="J20" i="5"/>
  <c r="K20" i="5" s="1"/>
  <c r="L20" i="5" s="1"/>
  <c r="M20" i="5" s="1"/>
  <c r="J18" i="5"/>
  <c r="D53" i="2"/>
  <c r="E53" i="2"/>
  <c r="L53" i="2"/>
  <c r="K53" i="2"/>
  <c r="A20" i="4"/>
  <c r="A18" i="5"/>
  <c r="A19" i="5"/>
  <c r="K22" i="4"/>
  <c r="L22" i="4" s="1"/>
  <c r="M22" i="4" s="1"/>
  <c r="A22" i="4"/>
  <c r="J17" i="5"/>
  <c r="J3" i="14"/>
  <c r="J19" i="5"/>
  <c r="E52" i="2"/>
  <c r="D52" i="2"/>
  <c r="K52" i="2"/>
  <c r="L52" i="2"/>
  <c r="K19" i="4"/>
  <c r="L19" i="4" s="1"/>
  <c r="M19" i="4" s="1"/>
  <c r="A19" i="4"/>
  <c r="A3" i="14"/>
  <c r="A17" i="5"/>
  <c r="K20" i="4"/>
  <c r="L20" i="4" s="1"/>
  <c r="M20" i="4" s="1"/>
  <c r="E54" i="2"/>
  <c r="D54" i="2"/>
  <c r="L54" i="2"/>
  <c r="K54" i="2"/>
  <c r="K21" i="4"/>
  <c r="L21" i="4" s="1"/>
  <c r="M21" i="4" s="1"/>
  <c r="A21" i="4"/>
  <c r="E55" i="2"/>
  <c r="K55" i="2"/>
  <c r="D55" i="2"/>
  <c r="L55" i="2"/>
  <c r="M50" i="2"/>
  <c r="O50" i="2" s="1"/>
  <c r="P50" i="2" s="1"/>
  <c r="Q50" i="2" s="1"/>
  <c r="M49" i="2"/>
  <c r="O49" i="2" s="1"/>
  <c r="P49" i="2" s="1"/>
  <c r="Q49" i="2" s="1"/>
  <c r="M48" i="2"/>
  <c r="O48" i="2" s="1"/>
  <c r="P48" i="2" s="1"/>
  <c r="Q48" i="2" s="1"/>
  <c r="M47" i="2"/>
  <c r="O47" i="2" s="1"/>
  <c r="P47" i="2" s="1"/>
  <c r="Q47" i="2" s="1"/>
  <c r="M40" i="2"/>
  <c r="O40" i="2" s="1"/>
  <c r="P40" i="2" s="1"/>
  <c r="Q40" i="2" s="1"/>
  <c r="M39" i="2"/>
  <c r="O39" i="2" s="1"/>
  <c r="P39" i="2" s="1"/>
  <c r="Q39" i="2" s="1"/>
  <c r="M37" i="2"/>
  <c r="O46" i="2"/>
  <c r="P46" i="2" s="1"/>
  <c r="Q46" i="2" s="1"/>
  <c r="I3" i="14"/>
  <c r="I17" i="5"/>
  <c r="I19" i="5"/>
  <c r="A66" i="2"/>
  <c r="R59" i="2"/>
  <c r="G59" i="2"/>
  <c r="R58" i="2"/>
  <c r="G58" i="2"/>
  <c r="E56" i="2"/>
  <c r="D56" i="2"/>
  <c r="K56" i="2"/>
  <c r="L56" i="2"/>
  <c r="R57" i="2"/>
  <c r="G57" i="2"/>
  <c r="A23" i="4"/>
  <c r="A20" i="5"/>
  <c r="J21" i="5"/>
  <c r="I21" i="5"/>
  <c r="K23" i="4"/>
  <c r="L23" i="4" s="1"/>
  <c r="M23" i="4" s="1"/>
  <c r="N54" i="2"/>
  <c r="B59" i="2"/>
  <c r="F4" i="14"/>
  <c r="C58" i="2"/>
  <c r="G4" i="14"/>
  <c r="N56" i="2"/>
  <c r="B25" i="4"/>
  <c r="H57" i="2"/>
  <c r="F21" i="5"/>
  <c r="C4" i="14"/>
  <c r="N51" i="2"/>
  <c r="N53" i="2"/>
  <c r="N52" i="2"/>
  <c r="N55" i="2"/>
  <c r="E4" i="14"/>
  <c r="F58" i="2"/>
  <c r="B57" i="2"/>
  <c r="H59" i="2"/>
  <c r="H58" i="2"/>
  <c r="F57" i="2"/>
  <c r="E21" i="5"/>
  <c r="F24" i="4"/>
  <c r="C21" i="5"/>
  <c r="G24" i="4"/>
  <c r="B58" i="2"/>
  <c r="F59" i="2"/>
  <c r="I58" i="2"/>
  <c r="C24" i="4"/>
  <c r="D24" i="4"/>
  <c r="I57" i="2"/>
  <c r="C57" i="2"/>
  <c r="H24" i="4"/>
  <c r="E24" i="4"/>
  <c r="C59" i="2"/>
  <c r="B22" i="5"/>
  <c r="J24" i="4"/>
  <c r="I24" i="4"/>
  <c r="I59" i="2"/>
  <c r="H4" i="14"/>
  <c r="D21" i="5"/>
  <c r="D4" i="14"/>
  <c r="H21" i="5"/>
  <c r="G21" i="5"/>
  <c r="J59" i="2"/>
  <c r="J57" i="2"/>
  <c r="J58" i="2"/>
  <c r="AL71" i="22" l="1"/>
  <c r="AL74" i="22"/>
  <c r="AO74" i="22" s="1"/>
  <c r="AI71" i="22"/>
  <c r="AI74" i="22"/>
  <c r="AH71" i="22"/>
  <c r="AH74" i="22"/>
  <c r="A95" i="1"/>
  <c r="AN94" i="1"/>
  <c r="D95" i="1"/>
  <c r="AL95" i="1"/>
  <c r="AG70" i="22"/>
  <c r="AO71" i="22"/>
  <c r="AN73" i="22"/>
  <c r="O42" i="2"/>
  <c r="P42" i="2" s="1"/>
  <c r="Q42" i="2" s="1"/>
  <c r="M55" i="2"/>
  <c r="K18" i="5"/>
  <c r="L18" i="5" s="1"/>
  <c r="M18" i="5" s="1"/>
  <c r="K3" i="14"/>
  <c r="L3" i="14" s="1"/>
  <c r="M3" i="14" s="1"/>
  <c r="K17" i="5"/>
  <c r="L17" i="5" s="1"/>
  <c r="M17" i="5" s="1"/>
  <c r="K19" i="5"/>
  <c r="L19" i="5" s="1"/>
  <c r="M19" i="5" s="1"/>
  <c r="M51" i="2"/>
  <c r="M52" i="2"/>
  <c r="M53" i="2"/>
  <c r="M54" i="2"/>
  <c r="O54" i="2" s="1"/>
  <c r="P54" i="2" s="1"/>
  <c r="Q54" i="2" s="1"/>
  <c r="O52" i="2"/>
  <c r="P52" i="2" s="1"/>
  <c r="Q52" i="2" s="1"/>
  <c r="O53" i="2"/>
  <c r="P53" i="2" s="1"/>
  <c r="Q53" i="2" s="1"/>
  <c r="O55" i="2"/>
  <c r="P55" i="2" s="1"/>
  <c r="Q55" i="2" s="1"/>
  <c r="O37" i="2"/>
  <c r="P37" i="2" s="1"/>
  <c r="Q37" i="2" s="1"/>
  <c r="O51" i="2"/>
  <c r="P51" i="2" s="1"/>
  <c r="Q51" i="2" s="1"/>
  <c r="M56" i="2"/>
  <c r="I4" i="14" s="1"/>
  <c r="K24" i="4"/>
  <c r="L24" i="4" s="1"/>
  <c r="M24" i="4" s="1"/>
  <c r="A21" i="5"/>
  <c r="A24" i="4"/>
  <c r="J22" i="5"/>
  <c r="I22" i="5"/>
  <c r="J4" i="14"/>
  <c r="A4" i="14"/>
  <c r="E57" i="2"/>
  <c r="D57" i="2"/>
  <c r="K57" i="2"/>
  <c r="L57" i="2"/>
  <c r="E58" i="2"/>
  <c r="D58" i="2"/>
  <c r="K58" i="2"/>
  <c r="L58" i="2"/>
  <c r="E59" i="2"/>
  <c r="D59" i="2"/>
  <c r="K59" i="2"/>
  <c r="L59" i="2"/>
  <c r="K21" i="5"/>
  <c r="L21" i="5" s="1"/>
  <c r="M21" i="5" s="1"/>
  <c r="R66" i="2"/>
  <c r="H66" i="2"/>
  <c r="C66" i="2"/>
  <c r="I66" i="2"/>
  <c r="G66" i="2"/>
  <c r="F66" i="2"/>
  <c r="B66" i="2"/>
  <c r="K66" i="2"/>
  <c r="N66" i="2"/>
  <c r="L66" i="2"/>
  <c r="B26" i="4"/>
  <c r="J25" i="4"/>
  <c r="N57" i="2"/>
  <c r="I25" i="4"/>
  <c r="E22" i="5"/>
  <c r="B4" i="19"/>
  <c r="C25" i="4"/>
  <c r="H25" i="4"/>
  <c r="G22" i="5"/>
  <c r="G25" i="4"/>
  <c r="E25" i="4"/>
  <c r="F22" i="5"/>
  <c r="N59" i="2"/>
  <c r="D25" i="4"/>
  <c r="H22" i="5"/>
  <c r="D22" i="5"/>
  <c r="C22" i="5"/>
  <c r="F25" i="4"/>
  <c r="N58" i="2"/>
  <c r="B23" i="5"/>
  <c r="J66" i="2"/>
  <c r="AN72" i="22" l="1"/>
  <c r="AN75" i="22"/>
  <c r="AI95" i="1"/>
  <c r="AJ95" i="1"/>
  <c r="AK95" i="1"/>
  <c r="AM95" i="1"/>
  <c r="AW95" i="1"/>
  <c r="AX95" i="1" s="1"/>
  <c r="AZ95" i="1" s="1"/>
  <c r="A96" i="1"/>
  <c r="D96" i="1"/>
  <c r="AL96" i="1"/>
  <c r="K4" i="14"/>
  <c r="L4" i="14" s="1"/>
  <c r="M4" i="14" s="1"/>
  <c r="O56" i="2"/>
  <c r="P56" i="2" s="1"/>
  <c r="Q56" i="2" s="1"/>
  <c r="M59" i="2"/>
  <c r="M58" i="2"/>
  <c r="O58" i="2" s="1"/>
  <c r="P58" i="2" s="1"/>
  <c r="Q58" i="2" s="1"/>
  <c r="M57" i="2"/>
  <c r="K22" i="5"/>
  <c r="L22" i="5" s="1"/>
  <c r="M22" i="5" s="1"/>
  <c r="G4" i="19"/>
  <c r="F4" i="19"/>
  <c r="I4" i="19"/>
  <c r="J4" i="19"/>
  <c r="C4" i="19"/>
  <c r="A4" i="19" s="1"/>
  <c r="D4" i="19"/>
  <c r="E4" i="19"/>
  <c r="H4" i="19"/>
  <c r="A22" i="5"/>
  <c r="J23" i="5"/>
  <c r="I23" i="5"/>
  <c r="K25" i="4"/>
  <c r="L25" i="4" s="1"/>
  <c r="M25" i="4" s="1"/>
  <c r="A25" i="4"/>
  <c r="I3" i="7"/>
  <c r="K3" i="7" s="1"/>
  <c r="L3" i="7" s="1"/>
  <c r="M3" i="7" s="1"/>
  <c r="O59" i="2"/>
  <c r="P59" i="2" s="1"/>
  <c r="Q59" i="2" s="1"/>
  <c r="M66" i="2"/>
  <c r="O66" i="2" s="1"/>
  <c r="P66" i="2" s="1"/>
  <c r="Q66" i="2" s="1"/>
  <c r="E66" i="2"/>
  <c r="D66" i="2"/>
  <c r="O57" i="2"/>
  <c r="P57" i="2" s="1"/>
  <c r="Q57" i="2" s="1"/>
  <c r="C26" i="4"/>
  <c r="B27" i="4"/>
  <c r="E26" i="4"/>
  <c r="G23" i="5"/>
  <c r="H26" i="4"/>
  <c r="D23" i="5"/>
  <c r="F23" i="5"/>
  <c r="G26" i="4"/>
  <c r="I26" i="4"/>
  <c r="C23" i="5"/>
  <c r="B24" i="5"/>
  <c r="J26" i="4"/>
  <c r="D26" i="4"/>
  <c r="F26" i="4"/>
  <c r="H23" i="5"/>
  <c r="E23" i="5"/>
  <c r="AO96" i="1" l="1"/>
  <c r="AN76" i="22"/>
  <c r="AL72" i="22"/>
  <c r="AL75" i="22"/>
  <c r="AI72" i="22"/>
  <c r="AI75" i="22"/>
  <c r="AH72" i="22"/>
  <c r="AH75" i="22"/>
  <c r="AO72" i="22"/>
  <c r="AI96" i="1"/>
  <c r="AJ96" i="1"/>
  <c r="AK96" i="1"/>
  <c r="AM96" i="1"/>
  <c r="AW96" i="1"/>
  <c r="AX96" i="1" s="1"/>
  <c r="AZ96" i="1" s="1"/>
  <c r="A97" i="1"/>
  <c r="AN96" i="1"/>
  <c r="K4" i="19"/>
  <c r="L4" i="19" s="1"/>
  <c r="M4" i="19" s="1"/>
  <c r="A23" i="5"/>
  <c r="J24" i="5"/>
  <c r="I24" i="5"/>
  <c r="K26" i="4"/>
  <c r="L26" i="4" s="1"/>
  <c r="M26" i="4" s="1"/>
  <c r="A26" i="4"/>
  <c r="K23" i="5"/>
  <c r="L23" i="5" s="1"/>
  <c r="M23" i="5" s="1"/>
  <c r="D27" i="4"/>
  <c r="C24" i="5"/>
  <c r="G27" i="4"/>
  <c r="F27" i="4"/>
  <c r="F24" i="5"/>
  <c r="H24" i="5"/>
  <c r="B28" i="4"/>
  <c r="H27" i="4"/>
  <c r="D24" i="5"/>
  <c r="I27" i="4"/>
  <c r="E24" i="5"/>
  <c r="J27" i="4"/>
  <c r="C27" i="4"/>
  <c r="G24" i="5"/>
  <c r="E27" i="4"/>
  <c r="AL73" i="22" l="1"/>
  <c r="AL76" i="22"/>
  <c r="AI73" i="22"/>
  <c r="AI76" i="22"/>
  <c r="AH73" i="22"/>
  <c r="AH76" i="22"/>
  <c r="AO75" i="22"/>
  <c r="A98" i="1"/>
  <c r="AN97" i="1"/>
  <c r="AO73" i="22"/>
  <c r="AG63" i="22"/>
  <c r="AG61" i="22"/>
  <c r="AG59" i="22"/>
  <c r="AG56" i="22"/>
  <c r="AG53" i="22"/>
  <c r="K27" i="4"/>
  <c r="L27" i="4" s="1"/>
  <c r="M27" i="4" s="1"/>
  <c r="A27" i="4"/>
  <c r="A24" i="5"/>
  <c r="K24" i="5"/>
  <c r="L24" i="5" s="1"/>
  <c r="M24" i="5" s="1"/>
  <c r="E28" i="4"/>
  <c r="I28" i="4"/>
  <c r="C28" i="4"/>
  <c r="B29" i="4"/>
  <c r="J28" i="4"/>
  <c r="G28" i="4"/>
  <c r="F28" i="4"/>
  <c r="H28" i="4"/>
  <c r="D28" i="4"/>
  <c r="D98" i="1" l="1"/>
  <c r="AL98" i="1"/>
  <c r="AN77" i="22" s="1"/>
  <c r="AG75" i="22"/>
  <c r="AO76" i="22"/>
  <c r="A99" i="1"/>
  <c r="A28" i="4"/>
  <c r="K28" i="4"/>
  <c r="L28" i="4" s="1"/>
  <c r="M28" i="4" s="1"/>
  <c r="F29" i="4"/>
  <c r="G29" i="4"/>
  <c r="D29" i="4"/>
  <c r="E29" i="4"/>
  <c r="I29" i="4"/>
  <c r="H29" i="4"/>
  <c r="C29" i="4"/>
  <c r="B30" i="4"/>
  <c r="J29" i="4"/>
  <c r="D99" i="1" l="1"/>
  <c r="AL99" i="1"/>
  <c r="AI98" i="1"/>
  <c r="AH77" i="22" s="1"/>
  <c r="AJ98" i="1"/>
  <c r="AI77" i="22" s="1"/>
  <c r="AK98" i="1"/>
  <c r="AL77" i="22" s="1"/>
  <c r="AM98" i="1"/>
  <c r="AW98" i="1"/>
  <c r="AX98" i="1" s="1"/>
  <c r="AZ98" i="1" s="1"/>
  <c r="A100" i="1"/>
  <c r="AN99" i="1"/>
  <c r="K29" i="4"/>
  <c r="L29" i="4" s="1"/>
  <c r="M29" i="4" s="1"/>
  <c r="A29" i="4"/>
  <c r="C30" i="4"/>
  <c r="J30" i="4"/>
  <c r="I30" i="4"/>
  <c r="H30" i="4"/>
  <c r="E30" i="4"/>
  <c r="D30" i="4"/>
  <c r="F30" i="4"/>
  <c r="G30" i="4"/>
  <c r="AO77" i="22" l="1"/>
  <c r="AO99" i="1"/>
  <c r="AN78" i="22"/>
  <c r="D100" i="1"/>
  <c r="AL100" i="1"/>
  <c r="AI99" i="1"/>
  <c r="AH78" i="22" s="1"/>
  <c r="AJ99" i="1"/>
  <c r="AI78" i="22" s="1"/>
  <c r="AK99" i="1"/>
  <c r="AL78" i="22" s="1"/>
  <c r="AM99" i="1"/>
  <c r="AW99" i="1"/>
  <c r="AX99" i="1" s="1"/>
  <c r="AZ99" i="1" s="1"/>
  <c r="A101" i="1"/>
  <c r="AN100" i="1"/>
  <c r="K30" i="4"/>
  <c r="L30" i="4" s="1"/>
  <c r="M30" i="4" s="1"/>
  <c r="A30" i="4"/>
  <c r="AG77" i="22" l="1"/>
  <c r="AO78" i="22"/>
  <c r="AO100" i="1"/>
  <c r="AN79" i="22"/>
  <c r="D101" i="1"/>
  <c r="AL101" i="1"/>
  <c r="AI100" i="1"/>
  <c r="AH79" i="22" s="1"/>
  <c r="AJ100" i="1"/>
  <c r="AI79" i="22" s="1"/>
  <c r="AK100" i="1"/>
  <c r="AL79" i="22" s="1"/>
  <c r="AM100" i="1"/>
  <c r="AW100" i="1"/>
  <c r="AX100" i="1" s="1"/>
  <c r="AZ100" i="1" s="1"/>
  <c r="A102" i="1"/>
  <c r="AN101" i="1"/>
  <c r="AW46" i="1"/>
  <c r="AX46" i="1" s="1"/>
  <c r="AW37" i="1"/>
  <c r="AX37" i="1" s="1"/>
  <c r="AW27" i="1"/>
  <c r="AX27" i="1" s="1"/>
  <c r="AW17" i="1"/>
  <c r="AX17" i="1" s="1"/>
  <c r="AW9" i="1"/>
  <c r="AX9" i="1" s="1"/>
  <c r="AW29" i="1"/>
  <c r="AX29" i="1" s="1"/>
  <c r="AW23" i="1"/>
  <c r="AX23" i="1" s="1"/>
  <c r="AW24" i="1"/>
  <c r="AX24" i="1" s="1"/>
  <c r="AG78" i="22" l="1"/>
  <c r="AO79" i="22"/>
  <c r="AO101" i="1"/>
  <c r="AN80" i="22"/>
  <c r="AI101" i="1"/>
  <c r="AH80" i="22" s="1"/>
  <c r="AJ101" i="1"/>
  <c r="AI80" i="22" s="1"/>
  <c r="AK101" i="1"/>
  <c r="AL80" i="22" s="1"/>
  <c r="AM101" i="1"/>
  <c r="A103" i="1"/>
  <c r="AN102" i="1"/>
  <c r="AZ29" i="1"/>
  <c r="AZ17" i="1"/>
  <c r="AZ37" i="1"/>
  <c r="AZ24" i="1"/>
  <c r="AZ23" i="1"/>
  <c r="AZ9" i="1"/>
  <c r="AZ27" i="1"/>
  <c r="AZ46" i="1"/>
  <c r="AG79" i="22" l="1"/>
  <c r="AO80" i="22"/>
  <c r="D103" i="1"/>
  <c r="AL103" i="1"/>
  <c r="AN81" i="22" s="1"/>
  <c r="A104" i="1"/>
  <c r="A3" i="2"/>
  <c r="A4" i="2"/>
  <c r="A5" i="2" s="1"/>
  <c r="AI103" i="1" l="1"/>
  <c r="AH81" i="22" s="1"/>
  <c r="AJ103" i="1"/>
  <c r="AI81" i="22" s="1"/>
  <c r="AK103" i="1"/>
  <c r="AL81" i="22" s="1"/>
  <c r="AM103" i="1"/>
  <c r="A105" i="1"/>
  <c r="AN104" i="1"/>
  <c r="G4" i="2"/>
  <c r="R4" i="2"/>
  <c r="R3" i="2"/>
  <c r="G3" i="2"/>
  <c r="G5" i="2"/>
  <c r="R5" i="2"/>
  <c r="A6" i="2"/>
  <c r="H4" i="2"/>
  <c r="H3" i="2"/>
  <c r="C3" i="2"/>
  <c r="B5" i="2"/>
  <c r="I5" i="2"/>
  <c r="F3" i="2"/>
  <c r="I4" i="2"/>
  <c r="I3" i="2"/>
  <c r="C5" i="2"/>
  <c r="H5" i="2"/>
  <c r="A7" i="2"/>
  <c r="A8" i="2" s="1"/>
  <c r="C4" i="2"/>
  <c r="F4" i="2"/>
  <c r="B4" i="2"/>
  <c r="B3" i="2"/>
  <c r="F5" i="2"/>
  <c r="J4" i="2"/>
  <c r="J5" i="2"/>
  <c r="J3" i="2"/>
  <c r="AO81" i="22" l="1"/>
  <c r="D105" i="1"/>
  <c r="AL105" i="1"/>
  <c r="A106" i="1"/>
  <c r="R6" i="2"/>
  <c r="G6" i="2"/>
  <c r="D3" i="2"/>
  <c r="K3" i="2"/>
  <c r="E3" i="2"/>
  <c r="L3" i="2"/>
  <c r="D4" i="2"/>
  <c r="L4" i="2"/>
  <c r="E4" i="2"/>
  <c r="K4" i="2"/>
  <c r="R8" i="2"/>
  <c r="G8" i="2"/>
  <c r="E5" i="2"/>
  <c r="K5" i="2"/>
  <c r="D5" i="2"/>
  <c r="L5" i="2"/>
  <c r="G7" i="2"/>
  <c r="R7" i="2"/>
  <c r="B4" i="4"/>
  <c r="F6" i="2"/>
  <c r="B6" i="2"/>
  <c r="H6" i="2"/>
  <c r="C6" i="2"/>
  <c r="F8" i="2"/>
  <c r="I6" i="2"/>
  <c r="N3" i="2"/>
  <c r="N5" i="2"/>
  <c r="C8" i="2"/>
  <c r="C7" i="2"/>
  <c r="I8" i="2"/>
  <c r="B7" i="2"/>
  <c r="H7" i="2"/>
  <c r="N4" i="2"/>
  <c r="F7" i="2"/>
  <c r="I7" i="2"/>
  <c r="B8" i="2"/>
  <c r="A9" i="2"/>
  <c r="H8" i="2"/>
  <c r="B5" i="4"/>
  <c r="J8" i="2"/>
  <c r="J6" i="2"/>
  <c r="J7" i="2"/>
  <c r="D106" i="1" l="1"/>
  <c r="AL106" i="1"/>
  <c r="AO106" i="1" s="1"/>
  <c r="AI105" i="1"/>
  <c r="AJ105" i="1"/>
  <c r="AK105" i="1"/>
  <c r="AM105" i="1"/>
  <c r="A107" i="1"/>
  <c r="AN106" i="1"/>
  <c r="D6" i="2"/>
  <c r="E6" i="2"/>
  <c r="K6" i="2"/>
  <c r="L6" i="2"/>
  <c r="M4" i="2"/>
  <c r="O4" i="2" s="1"/>
  <c r="P4" i="2" s="1"/>
  <c r="Q4" i="2" s="1"/>
  <c r="M3" i="2"/>
  <c r="O3" i="2" s="1"/>
  <c r="P3" i="2" s="1"/>
  <c r="Q3" i="2" s="1"/>
  <c r="M5" i="2"/>
  <c r="O5" i="2" s="1"/>
  <c r="P5" i="2" s="1"/>
  <c r="Q5" i="2" s="1"/>
  <c r="E7" i="2"/>
  <c r="D7" i="2"/>
  <c r="K7" i="2"/>
  <c r="L7" i="2"/>
  <c r="D8" i="2"/>
  <c r="E8" i="2"/>
  <c r="L8" i="2"/>
  <c r="K8" i="2"/>
  <c r="R9" i="2"/>
  <c r="G9" i="2"/>
  <c r="I8" i="5"/>
  <c r="K8" i="5" s="1"/>
  <c r="L8" i="5" s="1"/>
  <c r="M8" i="5" s="1"/>
  <c r="B6" i="4"/>
  <c r="I5" i="4"/>
  <c r="D5" i="4"/>
  <c r="E5" i="4"/>
  <c r="F5" i="4"/>
  <c r="N6" i="2"/>
  <c r="D4" i="4"/>
  <c r="F4" i="4"/>
  <c r="H4" i="4"/>
  <c r="E4" i="4"/>
  <c r="G5" i="4"/>
  <c r="C5" i="4"/>
  <c r="H5" i="4"/>
  <c r="J5" i="4"/>
  <c r="G4" i="4"/>
  <c r="J4" i="4"/>
  <c r="I4" i="4"/>
  <c r="C4" i="4"/>
  <c r="N7" i="2"/>
  <c r="I9" i="2"/>
  <c r="B9" i="2"/>
  <c r="C9" i="2"/>
  <c r="B3" i="5"/>
  <c r="H9" i="2"/>
  <c r="F9" i="2"/>
  <c r="N8" i="2"/>
  <c r="A10" i="2"/>
  <c r="A11" i="2"/>
  <c r="B7" i="4"/>
  <c r="B8" i="4"/>
  <c r="J9" i="2"/>
  <c r="AI106" i="1" l="1"/>
  <c r="AJ106" i="1"/>
  <c r="AK106" i="1"/>
  <c r="AM106" i="1"/>
  <c r="A108" i="1"/>
  <c r="AN107" i="1"/>
  <c r="M6" i="2"/>
  <c r="N4" i="4"/>
  <c r="A4" i="4"/>
  <c r="K4" i="4"/>
  <c r="L4" i="4" s="1"/>
  <c r="M4" i="4" s="1"/>
  <c r="A5" i="4"/>
  <c r="N5" i="4"/>
  <c r="O6" i="2"/>
  <c r="P6" i="2" s="1"/>
  <c r="Q6" i="2" s="1"/>
  <c r="K5" i="4"/>
  <c r="L5" i="4" s="1"/>
  <c r="M5" i="4" s="1"/>
  <c r="G10" i="2"/>
  <c r="R10" i="2"/>
  <c r="M8" i="2"/>
  <c r="O8" i="2" s="1"/>
  <c r="P8" i="2" s="1"/>
  <c r="Q8" i="2" s="1"/>
  <c r="M7" i="2"/>
  <c r="O7" i="2" s="1"/>
  <c r="P7" i="2" s="1"/>
  <c r="Q7" i="2" s="1"/>
  <c r="D9" i="2"/>
  <c r="E9" i="2"/>
  <c r="K9" i="2"/>
  <c r="L9" i="2"/>
  <c r="R11" i="2"/>
  <c r="G11" i="2"/>
  <c r="I7" i="4"/>
  <c r="F7" i="4"/>
  <c r="J7" i="4"/>
  <c r="H7" i="4"/>
  <c r="A12" i="2"/>
  <c r="C6" i="4"/>
  <c r="E6" i="4"/>
  <c r="F6" i="4"/>
  <c r="J6" i="4"/>
  <c r="B10" i="2"/>
  <c r="J8" i="4"/>
  <c r="F3" i="5"/>
  <c r="I8" i="4"/>
  <c r="F11" i="2"/>
  <c r="I10" i="2"/>
  <c r="G7" i="4"/>
  <c r="C7" i="4"/>
  <c r="E7" i="4"/>
  <c r="D7" i="4"/>
  <c r="G6" i="4"/>
  <c r="D6" i="4"/>
  <c r="I6" i="4"/>
  <c r="H6" i="4"/>
  <c r="F10" i="2"/>
  <c r="H8" i="4"/>
  <c r="F8" i="4"/>
  <c r="B9" i="4"/>
  <c r="C11" i="2"/>
  <c r="B11" i="2"/>
  <c r="A13" i="2"/>
  <c r="I11" i="2"/>
  <c r="N9" i="2"/>
  <c r="G3" i="5"/>
  <c r="C3" i="5"/>
  <c r="E3" i="5"/>
  <c r="H11" i="2"/>
  <c r="E8" i="4"/>
  <c r="H10" i="2"/>
  <c r="C10" i="2"/>
  <c r="H3" i="5"/>
  <c r="B4" i="5"/>
  <c r="D3" i="5"/>
  <c r="C8" i="4"/>
  <c r="G8" i="4"/>
  <c r="D8" i="4"/>
  <c r="J11" i="2"/>
  <c r="J10" i="2"/>
  <c r="D108" i="1" l="1"/>
  <c r="AL108" i="1"/>
  <c r="AN82" i="22" s="1"/>
  <c r="A109" i="1"/>
  <c r="K6" i="4"/>
  <c r="L6" i="4" s="1"/>
  <c r="M6" i="4" s="1"/>
  <c r="N7" i="4"/>
  <c r="A7" i="4"/>
  <c r="A6" i="4"/>
  <c r="N6" i="4"/>
  <c r="G12" i="2"/>
  <c r="R12" i="2"/>
  <c r="K7" i="4"/>
  <c r="L7" i="4" s="1"/>
  <c r="M7" i="4" s="1"/>
  <c r="E10" i="2"/>
  <c r="K10" i="2"/>
  <c r="D10" i="2"/>
  <c r="L10" i="2"/>
  <c r="M9" i="2"/>
  <c r="O9" i="2" s="1"/>
  <c r="P9" i="2" s="1"/>
  <c r="Q9" i="2" s="1"/>
  <c r="E11" i="2"/>
  <c r="D11" i="2"/>
  <c r="K11" i="2"/>
  <c r="L11" i="2"/>
  <c r="J3" i="5"/>
  <c r="K8" i="4"/>
  <c r="L8" i="4" s="1"/>
  <c r="M8" i="4" s="1"/>
  <c r="G13" i="2"/>
  <c r="R13" i="2"/>
  <c r="A3" i="5"/>
  <c r="A8" i="4"/>
  <c r="N8" i="4"/>
  <c r="I12" i="2"/>
  <c r="C12" i="2"/>
  <c r="N10" i="2"/>
  <c r="C4" i="5"/>
  <c r="B13" i="2"/>
  <c r="N11" i="2"/>
  <c r="I13" i="2"/>
  <c r="D9" i="4"/>
  <c r="C9" i="4"/>
  <c r="D4" i="5"/>
  <c r="F9" i="4"/>
  <c r="H9" i="4"/>
  <c r="E4" i="5"/>
  <c r="A14" i="2"/>
  <c r="G9" i="4"/>
  <c r="G4" i="5"/>
  <c r="B5" i="5"/>
  <c r="H4" i="5"/>
  <c r="H13" i="2"/>
  <c r="J9" i="4"/>
  <c r="B12" i="2"/>
  <c r="F12" i="2"/>
  <c r="H12" i="2"/>
  <c r="F13" i="2"/>
  <c r="B10" i="4" s="1"/>
  <c r="C13" i="2"/>
  <c r="F4" i="5"/>
  <c r="E9" i="4"/>
  <c r="I9" i="4"/>
  <c r="A15" i="2"/>
  <c r="J12" i="2"/>
  <c r="J13" i="2"/>
  <c r="D109" i="1" l="1"/>
  <c r="AL109" i="1"/>
  <c r="AI108" i="1"/>
  <c r="AH82" i="22" s="1"/>
  <c r="AJ108" i="1"/>
  <c r="AI82" i="22" s="1"/>
  <c r="AK108" i="1"/>
  <c r="AL82" i="22" s="1"/>
  <c r="AM108" i="1"/>
  <c r="A110" i="1"/>
  <c r="AN109" i="1"/>
  <c r="E12" i="2"/>
  <c r="K12" i="2"/>
  <c r="D12" i="2"/>
  <c r="L12" i="2"/>
  <c r="M10" i="2"/>
  <c r="I4" i="5" s="1"/>
  <c r="J4" i="5"/>
  <c r="O10" i="2"/>
  <c r="P10" i="2" s="1"/>
  <c r="Q10" i="2" s="1"/>
  <c r="G14" i="2"/>
  <c r="R14" i="2"/>
  <c r="I3" i="5"/>
  <c r="K3" i="5" s="1"/>
  <c r="L3" i="5" s="1"/>
  <c r="M3" i="5" s="1"/>
  <c r="M11" i="2"/>
  <c r="I5" i="5" s="1"/>
  <c r="J5" i="5"/>
  <c r="A4" i="5"/>
  <c r="E13" i="2"/>
  <c r="D13" i="2"/>
  <c r="K13" i="2"/>
  <c r="L13" i="2"/>
  <c r="K9" i="4"/>
  <c r="L9" i="4" s="1"/>
  <c r="M9" i="4" s="1"/>
  <c r="A9" i="4"/>
  <c r="N9" i="4"/>
  <c r="G15" i="2"/>
  <c r="R15" i="2"/>
  <c r="N12" i="2"/>
  <c r="D10" i="4"/>
  <c r="B15" i="2"/>
  <c r="I14" i="2"/>
  <c r="H10" i="4"/>
  <c r="G5" i="5"/>
  <c r="A16" i="2"/>
  <c r="A17" i="2" s="1"/>
  <c r="G10" i="4"/>
  <c r="C14" i="2"/>
  <c r="E10" i="4"/>
  <c r="F15" i="2"/>
  <c r="E5" i="5"/>
  <c r="F5" i="5"/>
  <c r="F10" i="4"/>
  <c r="F14" i="2"/>
  <c r="H15" i="2"/>
  <c r="D5" i="5"/>
  <c r="B6" i="5"/>
  <c r="N13" i="2"/>
  <c r="H14" i="2"/>
  <c r="C10" i="4"/>
  <c r="B14" i="2"/>
  <c r="J10" i="4"/>
  <c r="I15" i="2"/>
  <c r="C5" i="5"/>
  <c r="H5" i="5"/>
  <c r="I10" i="4"/>
  <c r="C15" i="2"/>
  <c r="J14" i="2"/>
  <c r="J15" i="2"/>
  <c r="AO82" i="22" l="1"/>
  <c r="AO109" i="1"/>
  <c r="AN83" i="22"/>
  <c r="D110" i="1"/>
  <c r="AL110" i="1"/>
  <c r="AN86" i="22" s="1"/>
  <c r="AI109" i="1"/>
  <c r="AH83" i="22" s="1"/>
  <c r="AJ109" i="1"/>
  <c r="AI83" i="22" s="1"/>
  <c r="AK109" i="1"/>
  <c r="AL83" i="22" s="1"/>
  <c r="AM109" i="1"/>
  <c r="A111" i="1"/>
  <c r="AN110" i="1"/>
  <c r="M12" i="2"/>
  <c r="O12" i="2" s="1"/>
  <c r="P12" i="2" s="1"/>
  <c r="Q12" i="2" s="1"/>
  <c r="O11" i="2"/>
  <c r="P11" i="2" s="1"/>
  <c r="Q11" i="2" s="1"/>
  <c r="K4" i="5"/>
  <c r="L4" i="5" s="1"/>
  <c r="M4" i="5" s="1"/>
  <c r="G17" i="2"/>
  <c r="R17" i="2"/>
  <c r="R16" i="2"/>
  <c r="G16" i="2"/>
  <c r="D14" i="2"/>
  <c r="L14" i="2"/>
  <c r="E14" i="2"/>
  <c r="K14" i="2"/>
  <c r="N10" i="4"/>
  <c r="A10" i="4"/>
  <c r="K10" i="4"/>
  <c r="L10" i="4" s="1"/>
  <c r="M10" i="4" s="1"/>
  <c r="K5" i="5"/>
  <c r="L5" i="5" s="1"/>
  <c r="M5" i="5" s="1"/>
  <c r="D15" i="2"/>
  <c r="E15" i="2"/>
  <c r="K15" i="2"/>
  <c r="L15" i="2"/>
  <c r="A5" i="5"/>
  <c r="M13" i="2"/>
  <c r="O13" i="2" s="1"/>
  <c r="P13" i="2" s="1"/>
  <c r="Q13" i="2" s="1"/>
  <c r="F17" i="2"/>
  <c r="I17" i="2"/>
  <c r="H17" i="2"/>
  <c r="H16" i="2"/>
  <c r="G6" i="5"/>
  <c r="A18" i="2"/>
  <c r="B17" i="2"/>
  <c r="F16" i="2"/>
  <c r="C17" i="2"/>
  <c r="B11" i="4"/>
  <c r="B12" i="4" s="1"/>
  <c r="B16" i="2"/>
  <c r="H6" i="5"/>
  <c r="D6" i="5"/>
  <c r="N14" i="2"/>
  <c r="N15" i="2"/>
  <c r="F6" i="5"/>
  <c r="I16" i="2"/>
  <c r="C16" i="2"/>
  <c r="C6" i="5"/>
  <c r="E6" i="5"/>
  <c r="B13" i="4"/>
  <c r="J16" i="2"/>
  <c r="J17" i="2"/>
  <c r="AG82" i="22" l="1"/>
  <c r="AO83" i="22"/>
  <c r="AO110" i="1"/>
  <c r="AN84" i="22"/>
  <c r="D111" i="1"/>
  <c r="AL111" i="1"/>
  <c r="AN87" i="22" s="1"/>
  <c r="AI110" i="1"/>
  <c r="AJ110" i="1"/>
  <c r="AK110" i="1"/>
  <c r="AM110" i="1"/>
  <c r="A112" i="1"/>
  <c r="AN111" i="1"/>
  <c r="M14" i="2"/>
  <c r="O14" i="2" s="1"/>
  <c r="P14" i="2" s="1"/>
  <c r="Q14" i="2" s="1"/>
  <c r="E16" i="2"/>
  <c r="K16" i="2"/>
  <c r="D16" i="2"/>
  <c r="L16" i="2"/>
  <c r="D17" i="2"/>
  <c r="L17" i="2"/>
  <c r="E17" i="2"/>
  <c r="K17" i="2"/>
  <c r="G18" i="2"/>
  <c r="R18" i="2"/>
  <c r="A6" i="5"/>
  <c r="J6" i="5"/>
  <c r="I6" i="5"/>
  <c r="M15" i="2"/>
  <c r="O15" i="2" s="1"/>
  <c r="P15" i="2" s="1"/>
  <c r="Q15" i="2" s="1"/>
  <c r="B18" i="2"/>
  <c r="E11" i="4"/>
  <c r="C13" i="4"/>
  <c r="F11" i="4"/>
  <c r="H11" i="4"/>
  <c r="B3" i="6"/>
  <c r="E13" i="4"/>
  <c r="C12" i="4"/>
  <c r="H13" i="4"/>
  <c r="E12" i="4"/>
  <c r="F18" i="2"/>
  <c r="D12" i="4"/>
  <c r="J11" i="4"/>
  <c r="D11" i="4"/>
  <c r="A19" i="2"/>
  <c r="J13" i="4"/>
  <c r="F12" i="4"/>
  <c r="G13" i="4"/>
  <c r="G12" i="4"/>
  <c r="A20" i="2"/>
  <c r="A21" i="2" s="1"/>
  <c r="A22" i="2"/>
  <c r="N16" i="2"/>
  <c r="G11" i="4"/>
  <c r="I11" i="4"/>
  <c r="C18" i="2"/>
  <c r="F13" i="4"/>
  <c r="J12" i="4"/>
  <c r="D13" i="4"/>
  <c r="I12" i="4"/>
  <c r="I18" i="2"/>
  <c r="C11" i="4"/>
  <c r="N17" i="2"/>
  <c r="H18" i="2"/>
  <c r="H12" i="4"/>
  <c r="I13" i="4"/>
  <c r="B7" i="5"/>
  <c r="J18" i="2"/>
  <c r="AL84" i="22" l="1"/>
  <c r="AL86" i="22"/>
  <c r="AO86" i="22" s="1"/>
  <c r="AI84" i="22"/>
  <c r="AI86" i="22"/>
  <c r="AH84" i="22"/>
  <c r="AH86" i="22"/>
  <c r="AO84" i="22"/>
  <c r="AO111" i="1"/>
  <c r="AN85" i="22"/>
  <c r="AI111" i="1"/>
  <c r="AJ111" i="1"/>
  <c r="AK111" i="1"/>
  <c r="AM111" i="1"/>
  <c r="A113" i="1"/>
  <c r="AN112" i="1"/>
  <c r="M17" i="2"/>
  <c r="M16" i="2"/>
  <c r="O16" i="2" s="1"/>
  <c r="P16" i="2" s="1"/>
  <c r="Q16" i="2" s="1"/>
  <c r="R22" i="2"/>
  <c r="G22" i="2"/>
  <c r="R21" i="2"/>
  <c r="G21" i="2"/>
  <c r="R20" i="2"/>
  <c r="G20" i="2"/>
  <c r="G19" i="2"/>
  <c r="R19" i="2"/>
  <c r="N11" i="4"/>
  <c r="A11" i="4"/>
  <c r="E18" i="2"/>
  <c r="D18" i="2"/>
  <c r="K18" i="2"/>
  <c r="L18" i="2"/>
  <c r="J3" i="6"/>
  <c r="K11" i="4"/>
  <c r="L11" i="4" s="1"/>
  <c r="M11" i="4" s="1"/>
  <c r="O17" i="2"/>
  <c r="P17" i="2" s="1"/>
  <c r="Q17" i="2" s="1"/>
  <c r="K12" i="4"/>
  <c r="L12" i="4" s="1"/>
  <c r="M12" i="4" s="1"/>
  <c r="K13" i="4"/>
  <c r="L13" i="4" s="1"/>
  <c r="M13" i="4" s="1"/>
  <c r="N12" i="4"/>
  <c r="A12" i="4"/>
  <c r="N13" i="4"/>
  <c r="A13" i="4"/>
  <c r="I3" i="6"/>
  <c r="K6" i="5"/>
  <c r="L6" i="5" s="1"/>
  <c r="M6" i="5" s="1"/>
  <c r="B20" i="2"/>
  <c r="I20" i="2"/>
  <c r="D7" i="5"/>
  <c r="H7" i="5"/>
  <c r="B19" i="2"/>
  <c r="F19" i="2"/>
  <c r="D3" i="6"/>
  <c r="E3" i="6"/>
  <c r="F22" i="2"/>
  <c r="I22" i="2"/>
  <c r="F21" i="2"/>
  <c r="I21" i="2"/>
  <c r="F20" i="2"/>
  <c r="G7" i="5"/>
  <c r="C19" i="2"/>
  <c r="C3" i="6"/>
  <c r="F3" i="6"/>
  <c r="H22" i="2"/>
  <c r="H21" i="2"/>
  <c r="H20" i="2"/>
  <c r="C20" i="2"/>
  <c r="C7" i="5"/>
  <c r="I19" i="2"/>
  <c r="H19" i="2"/>
  <c r="N18" i="2"/>
  <c r="H3" i="6"/>
  <c r="B22" i="2"/>
  <c r="C22" i="2"/>
  <c r="B21" i="2"/>
  <c r="C21" i="2"/>
  <c r="F7" i="5"/>
  <c r="E7" i="5"/>
  <c r="G3" i="6"/>
  <c r="J21" i="2"/>
  <c r="J20" i="2"/>
  <c r="J22" i="2"/>
  <c r="J19" i="2"/>
  <c r="AL85" i="22" l="1"/>
  <c r="AL87" i="22"/>
  <c r="AI85" i="22"/>
  <c r="AI87" i="22"/>
  <c r="AH85" i="22"/>
  <c r="AH87" i="22"/>
  <c r="AG84" i="22"/>
  <c r="AG85" i="22"/>
  <c r="AO85" i="22"/>
  <c r="D113" i="1"/>
  <c r="AL113" i="1"/>
  <c r="AN88" i="22" s="1"/>
  <c r="A114" i="1"/>
  <c r="B3" i="19"/>
  <c r="K3" i="6"/>
  <c r="L3" i="6" s="1"/>
  <c r="M3" i="6" s="1"/>
  <c r="M18" i="2"/>
  <c r="I7" i="5" s="1"/>
  <c r="A3" i="6"/>
  <c r="D21" i="2"/>
  <c r="E21" i="2"/>
  <c r="K21" i="2"/>
  <c r="L21" i="2"/>
  <c r="E22" i="2"/>
  <c r="L22" i="2"/>
  <c r="D22" i="2"/>
  <c r="K22" i="2"/>
  <c r="J7" i="5"/>
  <c r="E19" i="2"/>
  <c r="D19" i="2"/>
  <c r="K19" i="2"/>
  <c r="N18" i="4"/>
  <c r="N38" i="4"/>
  <c r="N34" i="4"/>
  <c r="N45" i="4"/>
  <c r="N26" i="4"/>
  <c r="N22" i="4"/>
  <c r="N20" i="4"/>
  <c r="N24" i="4"/>
  <c r="N41" i="4"/>
  <c r="N31" i="4"/>
  <c r="N42" i="4"/>
  <c r="N32" i="4"/>
  <c r="N49" i="4"/>
  <c r="N46" i="4"/>
  <c r="N40" i="4"/>
  <c r="N48" i="4"/>
  <c r="N50" i="4"/>
  <c r="N21" i="4"/>
  <c r="L19" i="2"/>
  <c r="N19" i="4"/>
  <c r="N23" i="4"/>
  <c r="N29" i="4"/>
  <c r="N44" i="4"/>
  <c r="N25" i="4"/>
  <c r="N39" i="4"/>
  <c r="N35" i="4"/>
  <c r="N28" i="4"/>
  <c r="N27" i="4"/>
  <c r="N36" i="4"/>
  <c r="N51" i="4"/>
  <c r="N43" i="4"/>
  <c r="N17" i="4"/>
  <c r="N33" i="4"/>
  <c r="N52" i="4"/>
  <c r="N30" i="4"/>
  <c r="N37" i="4"/>
  <c r="N47" i="4"/>
  <c r="A7" i="5"/>
  <c r="E20" i="2"/>
  <c r="D20" i="2"/>
  <c r="L20" i="2"/>
  <c r="K20" i="2"/>
  <c r="B14" i="4"/>
  <c r="N21" i="2"/>
  <c r="N22" i="2"/>
  <c r="N20" i="2"/>
  <c r="N19" i="2"/>
  <c r="B15" i="4"/>
  <c r="B16" i="4"/>
  <c r="AG86" i="22" l="1"/>
  <c r="AO87" i="22"/>
  <c r="D114" i="1"/>
  <c r="AL114" i="1"/>
  <c r="AI113" i="1"/>
  <c r="AH88" i="22" s="1"/>
  <c r="AJ113" i="1"/>
  <c r="AI88" i="22" s="1"/>
  <c r="AK113" i="1"/>
  <c r="AL88" i="22" s="1"/>
  <c r="AM113" i="1"/>
  <c r="A115" i="1"/>
  <c r="AN114" i="1"/>
  <c r="F3" i="19"/>
  <c r="C3" i="19"/>
  <c r="A3" i="19" s="1"/>
  <c r="D3" i="19"/>
  <c r="G3" i="19"/>
  <c r="H3" i="19"/>
  <c r="E3" i="19"/>
  <c r="J3" i="19"/>
  <c r="I3" i="19"/>
  <c r="K3" i="19" s="1"/>
  <c r="L3" i="19" s="1"/>
  <c r="M3" i="19" s="1"/>
  <c r="M22" i="2"/>
  <c r="K7" i="5"/>
  <c r="L7" i="5" s="1"/>
  <c r="M7" i="5" s="1"/>
  <c r="O18" i="2"/>
  <c r="P18" i="2" s="1"/>
  <c r="Q18" i="2" s="1"/>
  <c r="M21" i="2"/>
  <c r="O21" i="2" s="1"/>
  <c r="P21" i="2" s="1"/>
  <c r="Q21" i="2" s="1"/>
  <c r="O22" i="2"/>
  <c r="P22" i="2" s="1"/>
  <c r="Q22" i="2" s="1"/>
  <c r="M20" i="2"/>
  <c r="O20" i="2" s="1"/>
  <c r="P20" i="2" s="1"/>
  <c r="Q20" i="2" s="1"/>
  <c r="M19" i="2"/>
  <c r="O19" i="2" s="1"/>
  <c r="P19" i="2" s="1"/>
  <c r="Q19" i="2" s="1"/>
  <c r="F14" i="4"/>
  <c r="J14" i="4"/>
  <c r="I14" i="4"/>
  <c r="G14" i="4"/>
  <c r="F16" i="4"/>
  <c r="J16" i="4"/>
  <c r="E15" i="4"/>
  <c r="G15" i="4"/>
  <c r="G16" i="4"/>
  <c r="D16" i="4"/>
  <c r="C15" i="4"/>
  <c r="J15" i="4"/>
  <c r="H16" i="4"/>
  <c r="I15" i="4"/>
  <c r="D15" i="4"/>
  <c r="E16" i="4"/>
  <c r="H15" i="4"/>
  <c r="E14" i="4"/>
  <c r="H14" i="4"/>
  <c r="C14" i="4"/>
  <c r="D14" i="4"/>
  <c r="C16" i="4"/>
  <c r="I16" i="4"/>
  <c r="F15" i="4"/>
  <c r="AO88" i="22" l="1"/>
  <c r="AO114" i="1"/>
  <c r="AN89" i="22"/>
  <c r="AI114" i="1"/>
  <c r="AH89" i="22" s="1"/>
  <c r="AJ114" i="1"/>
  <c r="AI89" i="22" s="1"/>
  <c r="AK114" i="1"/>
  <c r="AL89" i="22" s="1"/>
  <c r="AM114" i="1"/>
  <c r="A116" i="1"/>
  <c r="AN115" i="1"/>
  <c r="A14" i="4"/>
  <c r="N14" i="4"/>
  <c r="K14" i="4"/>
  <c r="L14" i="4" s="1"/>
  <c r="M14" i="4" s="1"/>
  <c r="N15" i="4"/>
  <c r="A15" i="4"/>
  <c r="K16" i="4"/>
  <c r="L16" i="4" s="1"/>
  <c r="M16" i="4" s="1"/>
  <c r="K15" i="4"/>
  <c r="L15" i="4" s="1"/>
  <c r="M15" i="4" s="1"/>
  <c r="N16" i="4"/>
  <c r="A16" i="4"/>
  <c r="AG88" i="22" l="1"/>
  <c r="AO89" i="22"/>
  <c r="D116" i="1"/>
  <c r="AL116" i="1"/>
  <c r="AN90" i="22" s="1"/>
  <c r="A117" i="1"/>
  <c r="AU27" i="1"/>
  <c r="AU7" i="1"/>
  <c r="AW7" i="1" s="1"/>
  <c r="AX7" i="1" s="1"/>
  <c r="AU30" i="1"/>
  <c r="AU24" i="1"/>
  <c r="AU37" i="1"/>
  <c r="AU45" i="1"/>
  <c r="AU5" i="1"/>
  <c r="AW5" i="1" s="1"/>
  <c r="AX5" i="1" s="1"/>
  <c r="AU3" i="1"/>
  <c r="AW3" i="1" s="1"/>
  <c r="AX3" i="1" s="1"/>
  <c r="AI116" i="1" l="1"/>
  <c r="AH90" i="22" s="1"/>
  <c r="AJ116" i="1"/>
  <c r="AI90" i="22" s="1"/>
  <c r="AK116" i="1"/>
  <c r="AL90" i="22" s="1"/>
  <c r="AM116" i="1"/>
  <c r="A118" i="1"/>
  <c r="AN117" i="1"/>
  <c r="AZ3" i="1"/>
  <c r="AZ5" i="1"/>
  <c r="AW19" i="1"/>
  <c r="AX19" i="1" s="1"/>
  <c r="AZ7" i="1"/>
  <c r="AW21" i="1"/>
  <c r="AX21" i="1" s="1"/>
  <c r="AO90" i="22" l="1"/>
  <c r="D118" i="1"/>
  <c r="AL118" i="1"/>
  <c r="AN91" i="22" s="1"/>
  <c r="A119" i="1"/>
  <c r="AZ21" i="1"/>
  <c r="AZ19" i="1"/>
  <c r="AI118" i="1" l="1"/>
  <c r="AH91" i="22" s="1"/>
  <c r="AJ118" i="1"/>
  <c r="AI91" i="22" s="1"/>
  <c r="AK118" i="1"/>
  <c r="AL91" i="22" s="1"/>
  <c r="AM118" i="1"/>
  <c r="A120" i="1"/>
  <c r="AN119" i="1"/>
  <c r="S17" i="22"/>
  <c r="T17" i="22" s="1"/>
  <c r="AO91" i="22" l="1"/>
  <c r="D120" i="1"/>
  <c r="AL120" i="1"/>
  <c r="AN92" i="22" s="1"/>
  <c r="A121" i="1"/>
  <c r="S16" i="22"/>
  <c r="T16" i="22" s="1"/>
  <c r="AF17" i="22"/>
  <c r="S10" i="22"/>
  <c r="T10" i="22" s="1"/>
  <c r="S11" i="22"/>
  <c r="T11" i="22" s="1"/>
  <c r="S12" i="22"/>
  <c r="T12" i="22" s="1"/>
  <c r="D121" i="1" l="1"/>
  <c r="AL121" i="1"/>
  <c r="AI120" i="1"/>
  <c r="AH92" i="22" s="1"/>
  <c r="AJ120" i="1"/>
  <c r="AI92" i="22" s="1"/>
  <c r="AK120" i="1"/>
  <c r="AL92" i="22" s="1"/>
  <c r="AM120" i="1"/>
  <c r="A122" i="1"/>
  <c r="AN121" i="1"/>
  <c r="AF12" i="22"/>
  <c r="AF11" i="22"/>
  <c r="AF10" i="22"/>
  <c r="AF16" i="22"/>
  <c r="AO92" i="22" l="1"/>
  <c r="AO121" i="1"/>
  <c r="AN93" i="22"/>
  <c r="D122" i="1"/>
  <c r="AL122" i="1"/>
  <c r="AI121" i="1"/>
  <c r="AH93" i="22" s="1"/>
  <c r="AJ121" i="1"/>
  <c r="AI93" i="22" s="1"/>
  <c r="AK121" i="1"/>
  <c r="AL93" i="22" s="1"/>
  <c r="AM121" i="1"/>
  <c r="A123" i="1"/>
  <c r="AN122" i="1"/>
  <c r="AG92" i="22" l="1"/>
  <c r="AO93" i="22"/>
  <c r="AO122" i="1"/>
  <c r="AN94" i="22"/>
  <c r="D123" i="1"/>
  <c r="AL123" i="1"/>
  <c r="AI122" i="1"/>
  <c r="AH94" i="22" s="1"/>
  <c r="AJ122" i="1"/>
  <c r="AI94" i="22" s="1"/>
  <c r="AK122" i="1"/>
  <c r="AL94" i="22" s="1"/>
  <c r="AM122" i="1"/>
  <c r="A124" i="1"/>
  <c r="AN123" i="1"/>
  <c r="AG93" i="22" l="1"/>
  <c r="AO94" i="22"/>
  <c r="AO123" i="1"/>
  <c r="AN95" i="22"/>
  <c r="D124" i="1"/>
  <c r="AL124" i="1"/>
  <c r="AI123" i="1"/>
  <c r="AH95" i="22" s="1"/>
  <c r="AJ123" i="1"/>
  <c r="AI95" i="22" s="1"/>
  <c r="AK123" i="1"/>
  <c r="AL95" i="22" s="1"/>
  <c r="AM123" i="1"/>
  <c r="A125" i="1"/>
  <c r="AN124" i="1"/>
  <c r="AW6" i="1"/>
  <c r="AX6" i="1" s="1"/>
  <c r="AW43" i="1"/>
  <c r="AX43" i="1" s="1"/>
  <c r="AW33" i="1"/>
  <c r="AX33" i="1" s="1"/>
  <c r="AW25" i="1"/>
  <c r="AX25" i="1" s="1"/>
  <c r="AW16" i="1"/>
  <c r="AX16" i="1" s="1"/>
  <c r="AW10" i="1"/>
  <c r="AX10" i="1" s="1"/>
  <c r="AW20" i="1"/>
  <c r="AX20" i="1" s="1"/>
  <c r="AW15" i="1"/>
  <c r="AX15" i="1" s="1"/>
  <c r="AW41" i="1"/>
  <c r="AX41" i="1" s="1"/>
  <c r="AW34" i="1"/>
  <c r="AX34" i="1" s="1"/>
  <c r="AW42" i="1"/>
  <c r="AX42" i="1" s="1"/>
  <c r="AW36" i="1"/>
  <c r="AX36" i="1" s="1"/>
  <c r="AW8" i="1"/>
  <c r="AX8" i="1" s="1"/>
  <c r="AW4" i="1"/>
  <c r="AX4" i="1" s="1"/>
  <c r="AW35" i="1"/>
  <c r="AX35" i="1" s="1"/>
  <c r="AW28" i="1"/>
  <c r="AX28" i="1" s="1"/>
  <c r="AW22" i="1"/>
  <c r="AX22" i="1" s="1"/>
  <c r="AW18" i="1"/>
  <c r="AX18" i="1" s="1"/>
  <c r="AW39" i="1"/>
  <c r="AX39" i="1" s="1"/>
  <c r="AW31" i="1"/>
  <c r="AX31" i="1" s="1"/>
  <c r="AW44" i="1"/>
  <c r="AX44" i="1" s="1"/>
  <c r="AW38" i="1"/>
  <c r="AX38" i="1" s="1"/>
  <c r="AW32" i="1"/>
  <c r="AX32" i="1" s="1"/>
  <c r="AW26" i="1"/>
  <c r="AX26" i="1" s="1"/>
  <c r="AW13" i="1"/>
  <c r="AX13" i="1" s="1"/>
  <c r="AW14" i="1"/>
  <c r="AX14" i="1" s="1"/>
  <c r="AW12" i="1"/>
  <c r="AX12" i="1" s="1"/>
  <c r="AW48" i="1"/>
  <c r="AX48" i="1" s="1"/>
  <c r="AW47" i="1"/>
  <c r="AX47" i="1" s="1"/>
  <c r="AG94" i="22" l="1"/>
  <c r="AO95" i="22"/>
  <c r="AO124" i="1"/>
  <c r="AN96" i="22"/>
  <c r="AI124" i="1"/>
  <c r="AH96" i="22" s="1"/>
  <c r="AJ124" i="1"/>
  <c r="AI96" i="22" s="1"/>
  <c r="AK124" i="1"/>
  <c r="AL96" i="22" s="1"/>
  <c r="AM124" i="1"/>
  <c r="A126" i="1"/>
  <c r="AN125" i="1"/>
  <c r="AZ47" i="1"/>
  <c r="AZ48" i="1"/>
  <c r="AZ12" i="1"/>
  <c r="AZ14" i="1"/>
  <c r="AZ13" i="1"/>
  <c r="AZ26" i="1"/>
  <c r="AZ32" i="1"/>
  <c r="AZ38" i="1"/>
  <c r="AZ44" i="1"/>
  <c r="AZ31" i="1"/>
  <c r="AZ39" i="1"/>
  <c r="AZ18" i="1"/>
  <c r="AZ22" i="1"/>
  <c r="AZ28" i="1"/>
  <c r="AZ35" i="1"/>
  <c r="AZ4" i="1"/>
  <c r="AZ8" i="1"/>
  <c r="AZ36" i="1"/>
  <c r="AZ42" i="1"/>
  <c r="AZ34" i="1"/>
  <c r="AZ41" i="1"/>
  <c r="AZ15" i="1"/>
  <c r="AZ20" i="1"/>
  <c r="AZ10" i="1"/>
  <c r="AZ16" i="1"/>
  <c r="AZ25" i="1"/>
  <c r="AZ33" i="1"/>
  <c r="AZ43" i="1"/>
  <c r="AZ6" i="1"/>
  <c r="AG95" i="22" l="1"/>
  <c r="AO96" i="22"/>
  <c r="D126" i="1"/>
  <c r="AL126" i="1"/>
  <c r="AN97" i="22" s="1"/>
  <c r="A127" i="1"/>
  <c r="D127" i="1" l="1"/>
  <c r="AL127" i="1"/>
  <c r="AI126" i="1"/>
  <c r="AH97" i="22" s="1"/>
  <c r="AJ126" i="1"/>
  <c r="AI97" i="22" s="1"/>
  <c r="AK126" i="1"/>
  <c r="AL97" i="22" s="1"/>
  <c r="AM126" i="1"/>
  <c r="A128" i="1"/>
  <c r="AN127" i="1"/>
  <c r="AO97" i="22" l="1"/>
  <c r="AO127" i="1"/>
  <c r="AN98" i="22"/>
  <c r="D128" i="1"/>
  <c r="AL128" i="1"/>
  <c r="AI127" i="1"/>
  <c r="AH98" i="22" s="1"/>
  <c r="AJ127" i="1"/>
  <c r="AI98" i="22" s="1"/>
  <c r="AK127" i="1"/>
  <c r="AL98" i="22" s="1"/>
  <c r="AM127" i="1"/>
  <c r="A129" i="1"/>
  <c r="AN128" i="1"/>
  <c r="S18" i="22"/>
  <c r="T18" i="22" s="1"/>
  <c r="S20" i="22"/>
  <c r="T20" i="22" s="1"/>
  <c r="S26" i="22"/>
  <c r="T26" i="22" s="1"/>
  <c r="S22" i="22"/>
  <c r="T22" i="22" s="1"/>
  <c r="S8" i="22"/>
  <c r="T8" i="22" s="1"/>
  <c r="S35" i="22"/>
  <c r="T35" i="22" s="1"/>
  <c r="AG97" i="22" l="1"/>
  <c r="AO98" i="22"/>
  <c r="AO128" i="1"/>
  <c r="AN99" i="22"/>
  <c r="D129" i="1"/>
  <c r="AL129" i="1"/>
  <c r="AI128" i="1"/>
  <c r="AH99" i="22" s="1"/>
  <c r="AJ128" i="1"/>
  <c r="AI99" i="22" s="1"/>
  <c r="AK128" i="1"/>
  <c r="AL99" i="22" s="1"/>
  <c r="AM128" i="1"/>
  <c r="A130" i="1"/>
  <c r="AN129" i="1"/>
  <c r="S40" i="22"/>
  <c r="T40" i="22" s="1"/>
  <c r="S41" i="22"/>
  <c r="T41" i="22" s="1"/>
  <c r="S42" i="22"/>
  <c r="T42" i="22" s="1"/>
  <c r="AF35" i="22"/>
  <c r="AF8" i="22"/>
  <c r="AF22" i="22"/>
  <c r="AF26" i="22"/>
  <c r="S13" i="22"/>
  <c r="T13" i="22" s="1"/>
  <c r="S24" i="22"/>
  <c r="T24" i="22" s="1"/>
  <c r="S28" i="22"/>
  <c r="T28" i="22" s="1"/>
  <c r="S33" i="22"/>
  <c r="T33" i="22" s="1"/>
  <c r="S39" i="22"/>
  <c r="T39" i="22" s="1"/>
  <c r="S27" i="22"/>
  <c r="T27" i="22" s="1"/>
  <c r="S34" i="22"/>
  <c r="T34" i="22" s="1"/>
  <c r="S21" i="22"/>
  <c r="T21" i="22" s="1"/>
  <c r="S25" i="22"/>
  <c r="T25" i="22" s="1"/>
  <c r="AF20" i="22"/>
  <c r="S31" i="22"/>
  <c r="T31" i="22" s="1"/>
  <c r="S5" i="22"/>
  <c r="T5" i="22" s="1"/>
  <c r="S7" i="22"/>
  <c r="T7" i="22" s="1"/>
  <c r="AF18" i="22"/>
  <c r="S32" i="22"/>
  <c r="T32" i="22" s="1"/>
  <c r="S37" i="22"/>
  <c r="T37" i="22" s="1"/>
  <c r="S30" i="22"/>
  <c r="T30" i="22" s="1"/>
  <c r="S36" i="22"/>
  <c r="T36" i="22" s="1"/>
  <c r="S14" i="22"/>
  <c r="T14" i="22" s="1"/>
  <c r="S19" i="22"/>
  <c r="T19" i="22" s="1"/>
  <c r="S9" i="22"/>
  <c r="T9" i="22" s="1"/>
  <c r="S15" i="22"/>
  <c r="T15" i="22" s="1"/>
  <c r="S23" i="22"/>
  <c r="T23" i="22" s="1"/>
  <c r="S29" i="22"/>
  <c r="T29" i="22" s="1"/>
  <c r="S38" i="22"/>
  <c r="T38" i="22" s="1"/>
  <c r="S6" i="22"/>
  <c r="T6" i="22" s="1"/>
  <c r="AG98" i="22" l="1"/>
  <c r="AO99" i="22"/>
  <c r="AO129" i="1"/>
  <c r="AN100" i="22"/>
  <c r="D130" i="1"/>
  <c r="AL130" i="1"/>
  <c r="AI129" i="1"/>
  <c r="AH100" i="22" s="1"/>
  <c r="AJ129" i="1"/>
  <c r="AI100" i="22" s="1"/>
  <c r="AK129" i="1"/>
  <c r="AL100" i="22" s="1"/>
  <c r="AM129" i="1"/>
  <c r="A131" i="1"/>
  <c r="AN130" i="1"/>
  <c r="AF6" i="22"/>
  <c r="AF38" i="22"/>
  <c r="AF29" i="22"/>
  <c r="AF23" i="22"/>
  <c r="AF15" i="22"/>
  <c r="AF9" i="22"/>
  <c r="AF19" i="22"/>
  <c r="AF14" i="22"/>
  <c r="AF36" i="22"/>
  <c r="AF30" i="22"/>
  <c r="AF37" i="22"/>
  <c r="AF32" i="22"/>
  <c r="AF7" i="22"/>
  <c r="AF5" i="22"/>
  <c r="AF31" i="22"/>
  <c r="AF25" i="22"/>
  <c r="AF21" i="22"/>
  <c r="AF34" i="22"/>
  <c r="AF27" i="22"/>
  <c r="AF39" i="22"/>
  <c r="AF33" i="22"/>
  <c r="AF28" i="22"/>
  <c r="AF24" i="22"/>
  <c r="AF13" i="22"/>
  <c r="AF42" i="22"/>
  <c r="AF41" i="22"/>
  <c r="AF40" i="22"/>
  <c r="AG99" i="22" l="1"/>
  <c r="AO100" i="22"/>
  <c r="AO130" i="1"/>
  <c r="AN101" i="22"/>
  <c r="AI130" i="1"/>
  <c r="AH101" i="22" s="1"/>
  <c r="AJ130" i="1"/>
  <c r="AI101" i="22" s="1"/>
  <c r="AK130" i="1"/>
  <c r="AL101" i="22" s="1"/>
  <c r="AM130" i="1"/>
  <c r="A132" i="1"/>
  <c r="AN131" i="1"/>
  <c r="AG100" i="22" l="1"/>
  <c r="AO101" i="22"/>
  <c r="D132" i="1"/>
  <c r="AL132" i="1"/>
  <c r="AN102" i="22" s="1"/>
  <c r="A133" i="1"/>
  <c r="D133" i="1" l="1"/>
  <c r="AL133" i="1"/>
  <c r="AI132" i="1"/>
  <c r="AH102" i="22" s="1"/>
  <c r="AJ132" i="1"/>
  <c r="AI102" i="22" s="1"/>
  <c r="AK132" i="1"/>
  <c r="AL102" i="22" s="1"/>
  <c r="AM132" i="1"/>
  <c r="A134" i="1"/>
  <c r="AN133" i="1"/>
  <c r="AO102" i="22" l="1"/>
  <c r="AO133" i="1"/>
  <c r="AN103" i="22"/>
  <c r="AI133" i="1"/>
  <c r="AH103" i="22" s="1"/>
  <c r="AJ133" i="1"/>
  <c r="AI103" i="22" s="1"/>
  <c r="AK133" i="1"/>
  <c r="AL103" i="22" s="1"/>
  <c r="AM133" i="1"/>
  <c r="A135" i="1"/>
  <c r="AN134" i="1"/>
  <c r="AG102" i="22" l="1"/>
  <c r="AO103" i="22"/>
  <c r="D135" i="1"/>
  <c r="AL135" i="1"/>
  <c r="AN104" i="22" s="1"/>
  <c r="AI135" i="1"/>
  <c r="AH104" i="22" s="1"/>
  <c r="AJ135" i="1"/>
  <c r="AI104" i="22" s="1"/>
  <c r="AK135" i="1"/>
  <c r="AL104" i="22" s="1"/>
  <c r="AM135" i="1"/>
  <c r="A136" i="1"/>
  <c r="AO104" i="22" l="1"/>
  <c r="D136" i="1"/>
  <c r="AL136" i="1"/>
  <c r="A137" i="1"/>
  <c r="AN136" i="1"/>
  <c r="AO136" i="1" l="1"/>
  <c r="AN105" i="22"/>
  <c r="D137" i="1"/>
  <c r="AL137" i="1"/>
  <c r="AI136" i="1"/>
  <c r="AH105" i="22" s="1"/>
  <c r="AJ136" i="1"/>
  <c r="AI105" i="22" s="1"/>
  <c r="AK136" i="1"/>
  <c r="AL105" i="22" s="1"/>
  <c r="AM136" i="1"/>
  <c r="A138" i="1"/>
  <c r="AN137" i="1"/>
  <c r="AG104" i="22" l="1"/>
  <c r="AO105" i="22"/>
  <c r="AO137" i="1"/>
  <c r="AN106" i="22"/>
  <c r="D138" i="1"/>
  <c r="AL138" i="1"/>
  <c r="AI137" i="1"/>
  <c r="AH106" i="22" s="1"/>
  <c r="AJ137" i="1"/>
  <c r="AI106" i="22" s="1"/>
  <c r="AK137" i="1"/>
  <c r="AL106" i="22" s="1"/>
  <c r="AM137" i="1"/>
  <c r="A139" i="1"/>
  <c r="AN138" i="1"/>
  <c r="AG105" i="22" l="1"/>
  <c r="AO106" i="22"/>
  <c r="AO138" i="1"/>
  <c r="AN107" i="22"/>
  <c r="D139" i="1"/>
  <c r="AL139" i="1"/>
  <c r="AI138" i="1"/>
  <c r="AH107" i="22" s="1"/>
  <c r="AJ138" i="1"/>
  <c r="AI107" i="22" s="1"/>
  <c r="AK138" i="1"/>
  <c r="AL107" i="22" s="1"/>
  <c r="AM138" i="1"/>
  <c r="A140" i="1"/>
  <c r="AN139" i="1"/>
  <c r="AG106" i="22" l="1"/>
  <c r="AO107" i="22"/>
  <c r="AO139" i="1"/>
  <c r="AN108" i="22"/>
  <c r="D140" i="1"/>
  <c r="AL140" i="1"/>
  <c r="AI139" i="1"/>
  <c r="AH108" i="22" s="1"/>
  <c r="AJ139" i="1"/>
  <c r="AI108" i="22" s="1"/>
  <c r="AK139" i="1"/>
  <c r="AL108" i="22" s="1"/>
  <c r="AM139" i="1"/>
  <c r="A141" i="1"/>
  <c r="AN140" i="1"/>
  <c r="AG107" i="22" l="1"/>
  <c r="AO108" i="22"/>
  <c r="AO140" i="1"/>
  <c r="AN109" i="22"/>
  <c r="D141" i="1"/>
  <c r="AL141" i="1"/>
  <c r="AI140" i="1"/>
  <c r="AH109" i="22" s="1"/>
  <c r="AJ140" i="1"/>
  <c r="AI109" i="22" s="1"/>
  <c r="AK140" i="1"/>
  <c r="AL109" i="22" s="1"/>
  <c r="AM140" i="1"/>
  <c r="A142" i="1"/>
  <c r="AN141" i="1"/>
  <c r="AG108" i="22" l="1"/>
  <c r="AO109" i="22"/>
  <c r="AO141" i="1"/>
  <c r="AN110" i="22"/>
  <c r="AI141" i="1"/>
  <c r="AH110" i="22" s="1"/>
  <c r="AJ141" i="1"/>
  <c r="AI110" i="22" s="1"/>
  <c r="AK141" i="1"/>
  <c r="AL110" i="22" s="1"/>
  <c r="AM141" i="1"/>
  <c r="A143" i="1"/>
  <c r="AN142" i="1"/>
  <c r="AG109" i="22" l="1"/>
  <c r="AO110" i="22"/>
  <c r="D143" i="1"/>
  <c r="AL143" i="1"/>
  <c r="AN111" i="22" s="1"/>
  <c r="A144" i="1"/>
  <c r="D144" i="1" l="1"/>
  <c r="AL144" i="1"/>
  <c r="AI143" i="1"/>
  <c r="AH111" i="22" s="1"/>
  <c r="AJ143" i="1"/>
  <c r="AI111" i="22" s="1"/>
  <c r="AK143" i="1"/>
  <c r="AL111" i="22" s="1"/>
  <c r="AM143" i="1"/>
  <c r="AW143" i="1"/>
  <c r="AX143" i="1" s="1"/>
  <c r="AZ143" i="1" s="1"/>
  <c r="A145" i="1"/>
  <c r="AN144" i="1"/>
  <c r="AO111" i="22" l="1"/>
  <c r="AO144" i="1"/>
  <c r="AN112" i="22"/>
  <c r="D145" i="1"/>
  <c r="AL145" i="1"/>
  <c r="AI144" i="1"/>
  <c r="AH112" i="22" s="1"/>
  <c r="AJ144" i="1"/>
  <c r="AI112" i="22" s="1"/>
  <c r="AK144" i="1"/>
  <c r="AL112" i="22" s="1"/>
  <c r="AM144" i="1"/>
  <c r="AW144" i="1"/>
  <c r="AX144" i="1" s="1"/>
  <c r="AZ144" i="1" s="1"/>
  <c r="A146" i="1"/>
  <c r="AN145" i="1"/>
  <c r="AG111" i="22" l="1"/>
  <c r="AO112" i="22"/>
  <c r="AO145" i="1"/>
  <c r="AN113" i="22"/>
  <c r="AI145" i="1"/>
  <c r="AH113" i="22" s="1"/>
  <c r="AJ145" i="1"/>
  <c r="AI113" i="22" s="1"/>
  <c r="AK145" i="1"/>
  <c r="AL113" i="22" s="1"/>
  <c r="AM145" i="1"/>
  <c r="AW145" i="1"/>
  <c r="AX145" i="1" s="1"/>
  <c r="AZ145" i="1" s="1"/>
  <c r="A147" i="1"/>
  <c r="AN146" i="1"/>
  <c r="AG112" i="22" l="1"/>
  <c r="AO113" i="22"/>
  <c r="D147" i="1"/>
  <c r="AL147" i="1"/>
  <c r="AN114" i="22" s="1"/>
  <c r="A148" i="1"/>
  <c r="D148" i="1" l="1"/>
  <c r="AL148" i="1"/>
  <c r="AI147" i="1"/>
  <c r="AH114" i="22" s="1"/>
  <c r="AJ147" i="1"/>
  <c r="AI114" i="22" s="1"/>
  <c r="AK147" i="1"/>
  <c r="AL114" i="22" s="1"/>
  <c r="AM147" i="1"/>
  <c r="A149" i="1"/>
  <c r="AN148" i="1"/>
  <c r="AO114" i="22" l="1"/>
  <c r="AO148" i="1"/>
  <c r="AN115" i="22"/>
  <c r="D149" i="1"/>
  <c r="AL149" i="1"/>
  <c r="AI148" i="1"/>
  <c r="AH115" i="22" s="1"/>
  <c r="AJ148" i="1"/>
  <c r="AI115" i="22" s="1"/>
  <c r="AK148" i="1"/>
  <c r="AL115" i="22" s="1"/>
  <c r="AM148" i="1"/>
  <c r="A150" i="1"/>
  <c r="AN149" i="1"/>
  <c r="AG114" i="22" l="1"/>
  <c r="AO115" i="22"/>
  <c r="AO149" i="1"/>
  <c r="AN116" i="22"/>
  <c r="D150" i="1"/>
  <c r="AL150" i="1"/>
  <c r="AI149" i="1"/>
  <c r="AH116" i="22" s="1"/>
  <c r="AJ149" i="1"/>
  <c r="AI116" i="22" s="1"/>
  <c r="AK149" i="1"/>
  <c r="AL116" i="22" s="1"/>
  <c r="AM149" i="1"/>
  <c r="A151" i="1"/>
  <c r="AN150" i="1"/>
  <c r="AG115" i="22" l="1"/>
  <c r="AO116" i="22"/>
  <c r="AO150" i="1"/>
  <c r="AN117" i="22"/>
  <c r="AN151" i="1"/>
  <c r="AL151" i="1"/>
  <c r="D151" i="1"/>
  <c r="AI150" i="1"/>
  <c r="AH117" i="22" s="1"/>
  <c r="AJ150" i="1"/>
  <c r="AI117" i="22" s="1"/>
  <c r="AK150" i="1"/>
  <c r="AL117" i="22" s="1"/>
  <c r="AM150" i="1"/>
  <c r="A152" i="1"/>
  <c r="AG116" i="22" l="1"/>
  <c r="AO117" i="22"/>
  <c r="AO151" i="1"/>
  <c r="AN118" i="22"/>
  <c r="AI151" i="1"/>
  <c r="AH118" i="22" s="1"/>
  <c r="AJ151" i="1"/>
  <c r="AI118" i="22" s="1"/>
  <c r="AK151" i="1"/>
  <c r="AL118" i="22" s="1"/>
  <c r="AM151" i="1"/>
  <c r="D152" i="1"/>
  <c r="AL152" i="1"/>
  <c r="A153" i="1"/>
  <c r="AN152" i="1"/>
  <c r="AO152" i="1" l="1"/>
  <c r="AN119" i="22"/>
  <c r="AG117" i="22"/>
  <c r="AO118" i="22"/>
  <c r="D153" i="1"/>
  <c r="AL153" i="1"/>
  <c r="AI152" i="1"/>
  <c r="AH119" i="22" s="1"/>
  <c r="AJ152" i="1"/>
  <c r="AI119" i="22" s="1"/>
  <c r="AK152" i="1"/>
  <c r="AL119" i="22" s="1"/>
  <c r="AM152" i="1"/>
  <c r="A154" i="1"/>
  <c r="AN153" i="1"/>
  <c r="AG118" i="22" l="1"/>
  <c r="AO119" i="22"/>
  <c r="AO153" i="1"/>
  <c r="AN120" i="22"/>
  <c r="D154" i="1"/>
  <c r="AL154" i="1"/>
  <c r="AI153" i="1"/>
  <c r="AH120" i="22" s="1"/>
  <c r="AJ153" i="1"/>
  <c r="AI120" i="22" s="1"/>
  <c r="AK153" i="1"/>
  <c r="AL120" i="22" s="1"/>
  <c r="AM153" i="1"/>
  <c r="A155" i="1"/>
  <c r="AN154" i="1"/>
  <c r="AG119" i="22" l="1"/>
  <c r="AO120" i="22"/>
  <c r="AO154" i="1"/>
  <c r="AN121" i="22"/>
  <c r="D155" i="1"/>
  <c r="AL155" i="1"/>
  <c r="AI154" i="1"/>
  <c r="AH121" i="22" s="1"/>
  <c r="AJ154" i="1"/>
  <c r="AI121" i="22" s="1"/>
  <c r="AK154" i="1"/>
  <c r="AL121" i="22" s="1"/>
  <c r="AM154" i="1"/>
  <c r="A156" i="1"/>
  <c r="AN155" i="1"/>
  <c r="AG120" i="22" l="1"/>
  <c r="AO121" i="22"/>
  <c r="AO155" i="1"/>
  <c r="AN122" i="22"/>
  <c r="D156" i="1"/>
  <c r="AL156" i="1"/>
  <c r="AI155" i="1"/>
  <c r="AH122" i="22" s="1"/>
  <c r="AJ155" i="1"/>
  <c r="AI122" i="22" s="1"/>
  <c r="AK155" i="1"/>
  <c r="AL122" i="22" s="1"/>
  <c r="AM155" i="1"/>
  <c r="A157" i="1"/>
  <c r="AN156" i="1"/>
  <c r="AG121" i="22" l="1"/>
  <c r="AO122" i="22"/>
  <c r="AO156" i="1"/>
  <c r="AN123" i="22"/>
  <c r="D157" i="1"/>
  <c r="AL157" i="1"/>
  <c r="AI156" i="1"/>
  <c r="AH123" i="22" s="1"/>
  <c r="AJ156" i="1"/>
  <c r="AI123" i="22" s="1"/>
  <c r="AK156" i="1"/>
  <c r="AL123" i="22" s="1"/>
  <c r="AM156" i="1"/>
  <c r="A158" i="1"/>
  <c r="AN157" i="1"/>
  <c r="AG122" i="22" l="1"/>
  <c r="AO123" i="22"/>
  <c r="AO157" i="1"/>
  <c r="AN124" i="22"/>
  <c r="D158" i="1"/>
  <c r="AL158" i="1"/>
  <c r="AI157" i="1"/>
  <c r="AH124" i="22" s="1"/>
  <c r="AJ157" i="1"/>
  <c r="AI124" i="22" s="1"/>
  <c r="AK157" i="1"/>
  <c r="AL124" i="22" s="1"/>
  <c r="AM157" i="1"/>
  <c r="A159" i="1"/>
  <c r="AN158" i="1"/>
  <c r="AG123" i="22" l="1"/>
  <c r="AO124" i="22"/>
  <c r="AO158" i="1"/>
  <c r="AN125" i="22"/>
  <c r="AI158" i="1"/>
  <c r="AH125" i="22" s="1"/>
  <c r="AJ158" i="1"/>
  <c r="AI125" i="22" s="1"/>
  <c r="AK158" i="1"/>
  <c r="AL125" i="22" s="1"/>
  <c r="AM158" i="1"/>
  <c r="A160" i="1"/>
  <c r="AN159" i="1"/>
  <c r="AG124" i="22" l="1"/>
  <c r="AO125" i="22"/>
  <c r="D160" i="1"/>
  <c r="AL160" i="1"/>
  <c r="AN126" i="22" s="1"/>
  <c r="A161" i="1"/>
  <c r="D161" i="1" l="1"/>
  <c r="AL161" i="1"/>
  <c r="AI160" i="1"/>
  <c r="AH126" i="22" s="1"/>
  <c r="AJ160" i="1"/>
  <c r="AI126" i="22" s="1"/>
  <c r="AK160" i="1"/>
  <c r="AL126" i="22" s="1"/>
  <c r="AM160" i="1"/>
  <c r="A162" i="1"/>
  <c r="AN161" i="1"/>
  <c r="AO126" i="22" l="1"/>
  <c r="AO161" i="1"/>
  <c r="AN127" i="22"/>
  <c r="D162" i="1"/>
  <c r="AL162" i="1"/>
  <c r="AI161" i="1"/>
  <c r="AH127" i="22" s="1"/>
  <c r="AJ161" i="1"/>
  <c r="AI127" i="22" s="1"/>
  <c r="AK161" i="1"/>
  <c r="AL127" i="22" s="1"/>
  <c r="AM161" i="1"/>
  <c r="A163" i="1"/>
  <c r="AN162" i="1"/>
  <c r="AG126" i="22" l="1"/>
  <c r="AO127" i="22"/>
  <c r="AO162" i="1"/>
  <c r="AN128" i="22"/>
  <c r="D163" i="1"/>
  <c r="AL163" i="1"/>
  <c r="AI162" i="1"/>
  <c r="AH128" i="22" s="1"/>
  <c r="AJ162" i="1"/>
  <c r="AI128" i="22" s="1"/>
  <c r="AK162" i="1"/>
  <c r="AL128" i="22" s="1"/>
  <c r="AM162" i="1"/>
  <c r="A164" i="1"/>
  <c r="AN163" i="1"/>
  <c r="AG127" i="22" l="1"/>
  <c r="AO128" i="22"/>
  <c r="AO163" i="1"/>
  <c r="AN129" i="22"/>
  <c r="D164" i="1"/>
  <c r="AL164" i="1"/>
  <c r="AI163" i="1"/>
  <c r="AH129" i="22" s="1"/>
  <c r="AJ163" i="1"/>
  <c r="AI129" i="22" s="1"/>
  <c r="AK163" i="1"/>
  <c r="AL129" i="22" s="1"/>
  <c r="AM163" i="1"/>
  <c r="A165" i="1"/>
  <c r="AN164" i="1"/>
  <c r="AG128" i="22" l="1"/>
  <c r="AO129" i="22"/>
  <c r="AO164" i="1"/>
  <c r="AN130" i="22"/>
  <c r="D165" i="1"/>
  <c r="AL165" i="1"/>
  <c r="AI164" i="1"/>
  <c r="AH130" i="22" s="1"/>
  <c r="AJ164" i="1"/>
  <c r="AI130" i="22" s="1"/>
  <c r="AK164" i="1"/>
  <c r="AL130" i="22" s="1"/>
  <c r="AM164" i="1"/>
  <c r="A166" i="1"/>
  <c r="AN165" i="1"/>
  <c r="AG129" i="22" l="1"/>
  <c r="AO130" i="22"/>
  <c r="AO165" i="1"/>
  <c r="AN131" i="22"/>
  <c r="D166" i="1"/>
  <c r="AL166" i="1"/>
  <c r="AI165" i="1"/>
  <c r="AH131" i="22" s="1"/>
  <c r="AJ165" i="1"/>
  <c r="AI131" i="22" s="1"/>
  <c r="AK165" i="1"/>
  <c r="AL131" i="22" s="1"/>
  <c r="AM165" i="1"/>
  <c r="A167" i="1"/>
  <c r="AN166" i="1"/>
  <c r="AG130" i="22" l="1"/>
  <c r="AO131" i="22"/>
  <c r="AO166" i="1"/>
  <c r="AN132" i="22"/>
  <c r="D167" i="1"/>
  <c r="AL167" i="1"/>
  <c r="AI166" i="1"/>
  <c r="AH132" i="22" s="1"/>
  <c r="AJ166" i="1"/>
  <c r="AI132" i="22" s="1"/>
  <c r="AK166" i="1"/>
  <c r="AL132" i="22" s="1"/>
  <c r="AM166" i="1"/>
  <c r="A168" i="1"/>
  <c r="AN167" i="1"/>
  <c r="AG131" i="22" l="1"/>
  <c r="AO132" i="22"/>
  <c r="AO167" i="1"/>
  <c r="AN133" i="22"/>
  <c r="D168" i="1"/>
  <c r="AL168" i="1"/>
  <c r="AI167" i="1"/>
  <c r="AH133" i="22" s="1"/>
  <c r="AJ167" i="1"/>
  <c r="AI133" i="22" s="1"/>
  <c r="AK167" i="1"/>
  <c r="AL133" i="22" s="1"/>
  <c r="AM167" i="1"/>
  <c r="A169" i="1"/>
  <c r="AN168" i="1"/>
  <c r="AG132" i="22" l="1"/>
  <c r="AO133" i="22"/>
  <c r="AO168" i="1"/>
  <c r="AN134" i="22"/>
  <c r="D169" i="1"/>
  <c r="AL169" i="1"/>
  <c r="AI168" i="1"/>
  <c r="AH134" i="22" s="1"/>
  <c r="AJ168" i="1"/>
  <c r="AI134" i="22" s="1"/>
  <c r="AK168" i="1"/>
  <c r="AL134" i="22" s="1"/>
  <c r="AM168" i="1"/>
  <c r="A170" i="1"/>
  <c r="AN169" i="1"/>
  <c r="AG133" i="22" l="1"/>
  <c r="AO134" i="22"/>
  <c r="AO169" i="1"/>
  <c r="AN135" i="22"/>
  <c r="D170" i="1"/>
  <c r="AL170" i="1"/>
  <c r="AI169" i="1"/>
  <c r="AH135" i="22" s="1"/>
  <c r="AJ169" i="1"/>
  <c r="AI135" i="22" s="1"/>
  <c r="AK169" i="1"/>
  <c r="AL135" i="22" s="1"/>
  <c r="AM169" i="1"/>
  <c r="A171" i="1"/>
  <c r="AN170" i="1"/>
  <c r="AG134" i="22" l="1"/>
  <c r="AO135" i="22"/>
  <c r="AO170" i="1"/>
  <c r="AN136" i="22"/>
  <c r="D171" i="1"/>
  <c r="AL171" i="1"/>
  <c r="AI170" i="1"/>
  <c r="AH136" i="22" s="1"/>
  <c r="AJ170" i="1"/>
  <c r="AI136" i="22" s="1"/>
  <c r="AK170" i="1"/>
  <c r="AL136" i="22" s="1"/>
  <c r="AM170" i="1"/>
  <c r="A172" i="1"/>
  <c r="AN171" i="1"/>
  <c r="AG135" i="22" l="1"/>
  <c r="AO136" i="22"/>
  <c r="AO171" i="1"/>
  <c r="AN137" i="22"/>
  <c r="D172" i="1"/>
  <c r="AL172" i="1"/>
  <c r="AI171" i="1"/>
  <c r="AH137" i="22" s="1"/>
  <c r="AJ171" i="1"/>
  <c r="AI137" i="22" s="1"/>
  <c r="AK171" i="1"/>
  <c r="AL137" i="22" s="1"/>
  <c r="AM171" i="1"/>
  <c r="A173" i="1"/>
  <c r="AN172" i="1"/>
  <c r="AG136" i="22" l="1"/>
  <c r="AO137" i="22"/>
  <c r="AO172" i="1"/>
  <c r="AN138" i="22"/>
  <c r="D173" i="1"/>
  <c r="AL173" i="1"/>
  <c r="AI172" i="1"/>
  <c r="AH138" i="22" s="1"/>
  <c r="AJ172" i="1"/>
  <c r="AI138" i="22" s="1"/>
  <c r="AK172" i="1"/>
  <c r="AL138" i="22" s="1"/>
  <c r="AM172" i="1"/>
  <c r="A174" i="1"/>
  <c r="AN173" i="1"/>
  <c r="AG137" i="22" l="1"/>
  <c r="AO138" i="22"/>
  <c r="AO173" i="1"/>
  <c r="AN139" i="22"/>
  <c r="D174" i="1"/>
  <c r="AL174" i="1"/>
  <c r="AI173" i="1"/>
  <c r="AH139" i="22" s="1"/>
  <c r="AJ173" i="1"/>
  <c r="AI139" i="22" s="1"/>
  <c r="AK173" i="1"/>
  <c r="AL139" i="22" s="1"/>
  <c r="AM173" i="1"/>
  <c r="A175" i="1"/>
  <c r="AN174" i="1"/>
  <c r="AG138" i="22" l="1"/>
  <c r="AO139" i="22"/>
  <c r="AO174" i="1"/>
  <c r="AN140" i="22"/>
  <c r="AL175" i="1"/>
  <c r="AO175" i="1" s="1"/>
  <c r="AI174" i="1"/>
  <c r="AH140" i="22" s="1"/>
  <c r="AJ174" i="1"/>
  <c r="AI140" i="22" s="1"/>
  <c r="AK174" i="1"/>
  <c r="AL140" i="22" s="1"/>
  <c r="AM174" i="1"/>
  <c r="A176" i="1"/>
  <c r="AN175" i="1"/>
  <c r="AG139" i="22" l="1"/>
  <c r="AO140" i="22"/>
  <c r="D176" i="1"/>
  <c r="AL176" i="1"/>
  <c r="AN141" i="22" s="1"/>
  <c r="AE175" i="1"/>
  <c r="AF175" i="1"/>
  <c r="AI175" i="1"/>
  <c r="AJ175" i="1"/>
  <c r="AK175" i="1"/>
  <c r="AM175" i="1"/>
  <c r="AW175" i="1"/>
  <c r="AX175" i="1" s="1"/>
  <c r="AZ175" i="1" s="1"/>
  <c r="AY175" i="1"/>
  <c r="A177" i="1"/>
  <c r="D177" i="1" l="1"/>
  <c r="AL177" i="1"/>
  <c r="AI176" i="1"/>
  <c r="AH141" i="22" s="1"/>
  <c r="AJ176" i="1"/>
  <c r="AI141" i="22" s="1"/>
  <c r="AK176" i="1"/>
  <c r="AL141" i="22" s="1"/>
  <c r="AM176" i="1"/>
  <c r="A178" i="1"/>
  <c r="AN177" i="1"/>
  <c r="AO141" i="22" l="1"/>
  <c r="AO177" i="1"/>
  <c r="AN142" i="22"/>
  <c r="D178" i="1"/>
  <c r="AL178" i="1"/>
  <c r="AI177" i="1"/>
  <c r="AH142" i="22" s="1"/>
  <c r="AJ177" i="1"/>
  <c r="AI142" i="22" s="1"/>
  <c r="AK177" i="1"/>
  <c r="AL142" i="22" s="1"/>
  <c r="AM177" i="1"/>
  <c r="A179" i="1"/>
  <c r="AN178" i="1"/>
  <c r="AG141" i="22" l="1"/>
  <c r="AO142" i="22"/>
  <c r="AO178" i="1"/>
  <c r="AN143" i="22"/>
  <c r="D179" i="1"/>
  <c r="AL179" i="1"/>
  <c r="AI178" i="1"/>
  <c r="AH143" i="22" s="1"/>
  <c r="AJ178" i="1"/>
  <c r="AI143" i="22" s="1"/>
  <c r="AK178" i="1"/>
  <c r="AL143" i="22" s="1"/>
  <c r="AM178" i="1"/>
  <c r="A180" i="1"/>
  <c r="AN179" i="1"/>
  <c r="AG142" i="22" l="1"/>
  <c r="AO143" i="22"/>
  <c r="AO179" i="1"/>
  <c r="AN144" i="22"/>
  <c r="D180" i="1"/>
  <c r="AL180" i="1"/>
  <c r="AI179" i="1"/>
  <c r="AH144" i="22" s="1"/>
  <c r="AJ179" i="1"/>
  <c r="AI144" i="22" s="1"/>
  <c r="AK179" i="1"/>
  <c r="AL144" i="22" s="1"/>
  <c r="AM179" i="1"/>
  <c r="A181" i="1"/>
  <c r="AN180" i="1"/>
  <c r="AG143" i="22" l="1"/>
  <c r="AO144" i="22"/>
  <c r="AO180" i="1"/>
  <c r="AN145" i="22"/>
  <c r="D181" i="1"/>
  <c r="AL181" i="1"/>
  <c r="AI180" i="1"/>
  <c r="AH145" i="22" s="1"/>
  <c r="AJ180" i="1"/>
  <c r="AI145" i="22" s="1"/>
  <c r="AK180" i="1"/>
  <c r="AL145" i="22" s="1"/>
  <c r="AM180" i="1"/>
  <c r="A182" i="1"/>
  <c r="AN181" i="1"/>
  <c r="AG144" i="22" l="1"/>
  <c r="AO145" i="22"/>
  <c r="AO181" i="1"/>
  <c r="AN146" i="22"/>
  <c r="D182" i="1"/>
  <c r="AL182" i="1"/>
  <c r="AI181" i="1"/>
  <c r="AH146" i="22" s="1"/>
  <c r="AJ181" i="1"/>
  <c r="AI146" i="22" s="1"/>
  <c r="AK181" i="1"/>
  <c r="AL146" i="22" s="1"/>
  <c r="AM181" i="1"/>
  <c r="A183" i="1"/>
  <c r="AN182" i="1"/>
  <c r="AG145" i="22" l="1"/>
  <c r="AO146" i="22"/>
  <c r="AO182" i="1"/>
  <c r="D183" i="1"/>
  <c r="AL183" i="1"/>
  <c r="AN147" i="22" s="1"/>
  <c r="AI182" i="1"/>
  <c r="AJ182" i="1"/>
  <c r="AK182" i="1"/>
  <c r="AM182" i="1"/>
  <c r="A184" i="1"/>
  <c r="AN183" i="1"/>
  <c r="AO183" i="1" l="1"/>
  <c r="D184" i="1"/>
  <c r="AL184" i="1"/>
  <c r="AN148" i="22" s="1"/>
  <c r="AI183" i="1"/>
  <c r="AJ183" i="1"/>
  <c r="AK183" i="1"/>
  <c r="AM183" i="1"/>
  <c r="A185" i="1"/>
  <c r="AN184" i="1"/>
  <c r="AL147" i="22" l="1"/>
  <c r="AI147" i="22"/>
  <c r="AH147" i="22"/>
  <c r="AO184" i="1"/>
  <c r="D185" i="1"/>
  <c r="AL185" i="1"/>
  <c r="AN149" i="22" s="1"/>
  <c r="AI184" i="1"/>
  <c r="AJ184" i="1"/>
  <c r="AK184" i="1"/>
  <c r="AM184" i="1"/>
  <c r="A186" i="1"/>
  <c r="AN185" i="1"/>
  <c r="AL148" i="22" l="1"/>
  <c r="AI148" i="22"/>
  <c r="AH148" i="22"/>
  <c r="AG146" i="22"/>
  <c r="AO147" i="22"/>
  <c r="AO185" i="1"/>
  <c r="D186" i="1"/>
  <c r="AL186" i="1"/>
  <c r="AN150" i="22" s="1"/>
  <c r="AI185" i="1"/>
  <c r="AJ185" i="1"/>
  <c r="AK185" i="1"/>
  <c r="AM185" i="1"/>
  <c r="A187" i="1"/>
  <c r="AN186" i="1"/>
  <c r="AL149" i="22" l="1"/>
  <c r="AI149" i="22"/>
  <c r="AH149" i="22"/>
  <c r="AG147" i="22"/>
  <c r="AO148" i="22"/>
  <c r="AO186" i="1"/>
  <c r="D187" i="1"/>
  <c r="AL187" i="1"/>
  <c r="AN151" i="22" s="1"/>
  <c r="AI186" i="1"/>
  <c r="AJ186" i="1"/>
  <c r="AK186" i="1"/>
  <c r="AM186" i="1"/>
  <c r="A188" i="1"/>
  <c r="AN187" i="1"/>
  <c r="AL150" i="22" l="1"/>
  <c r="AI150" i="22"/>
  <c r="AH150" i="22"/>
  <c r="AG148" i="22"/>
  <c r="AO149" i="22"/>
  <c r="AO187" i="1"/>
  <c r="D188" i="1"/>
  <c r="AL188" i="1"/>
  <c r="AN152" i="22" s="1"/>
  <c r="AI187" i="1"/>
  <c r="AJ187" i="1"/>
  <c r="AK187" i="1"/>
  <c r="AM187" i="1"/>
  <c r="A189" i="1"/>
  <c r="AN188" i="1"/>
  <c r="AL151" i="22" l="1"/>
  <c r="AI151" i="22"/>
  <c r="AH151" i="22"/>
  <c r="AG149" i="22"/>
  <c r="AO150" i="22"/>
  <c r="AO188" i="1"/>
  <c r="D189" i="1"/>
  <c r="AL189" i="1"/>
  <c r="AN153" i="22" s="1"/>
  <c r="AI188" i="1"/>
  <c r="AJ188" i="1"/>
  <c r="AK188" i="1"/>
  <c r="AM188" i="1"/>
  <c r="A190" i="1"/>
  <c r="AN189" i="1"/>
  <c r="AL152" i="22" l="1"/>
  <c r="AI152" i="22"/>
  <c r="AH152" i="22"/>
  <c r="AG150" i="22"/>
  <c r="AO151" i="22"/>
  <c r="AO189" i="1"/>
  <c r="D190" i="1"/>
  <c r="AL190" i="1"/>
  <c r="AN154" i="22" s="1"/>
  <c r="AI189" i="1"/>
  <c r="AJ189" i="1"/>
  <c r="AK189" i="1"/>
  <c r="AM189" i="1"/>
  <c r="A191" i="1"/>
  <c r="AN190" i="1"/>
  <c r="AL153" i="22" l="1"/>
  <c r="AI153" i="22"/>
  <c r="AH153" i="22"/>
  <c r="AG151" i="22"/>
  <c r="AO152" i="22"/>
  <c r="AO190" i="1"/>
  <c r="AI190" i="1"/>
  <c r="AJ190" i="1"/>
  <c r="AK190" i="1"/>
  <c r="AM190" i="1"/>
  <c r="A192" i="1"/>
  <c r="AN191" i="1"/>
  <c r="AL154" i="22" l="1"/>
  <c r="AI154" i="22"/>
  <c r="AH154" i="22"/>
  <c r="AG152" i="22"/>
  <c r="AO153" i="22"/>
  <c r="D192" i="1"/>
  <c r="AL192" i="1"/>
  <c r="A193" i="1"/>
  <c r="AN155" i="22" l="1"/>
  <c r="AG153" i="22"/>
  <c r="AO154" i="22"/>
  <c r="D193" i="1"/>
  <c r="AL193" i="1"/>
  <c r="AN156" i="22" s="1"/>
  <c r="AI192" i="1"/>
  <c r="AJ192" i="1"/>
  <c r="AK192" i="1"/>
  <c r="AM192" i="1"/>
  <c r="A194" i="1"/>
  <c r="AN193" i="1"/>
  <c r="AL155" i="22" l="1"/>
  <c r="AI155" i="22"/>
  <c r="AH155" i="22"/>
  <c r="AO193" i="1"/>
  <c r="D194" i="1"/>
  <c r="AL194" i="1"/>
  <c r="AN157" i="22" s="1"/>
  <c r="AI193" i="1"/>
  <c r="AJ193" i="1"/>
  <c r="AK193" i="1"/>
  <c r="AM193" i="1"/>
  <c r="A195" i="1"/>
  <c r="AN194" i="1"/>
  <c r="AL156" i="22" l="1"/>
  <c r="AO156" i="22" s="1"/>
  <c r="AI156" i="22"/>
  <c r="AH156" i="22"/>
  <c r="AO155" i="22"/>
  <c r="AO194" i="1"/>
  <c r="D195" i="1"/>
  <c r="AL195" i="1"/>
  <c r="AN158" i="22" s="1"/>
  <c r="AI194" i="1"/>
  <c r="AJ194" i="1"/>
  <c r="AK194" i="1"/>
  <c r="AM194" i="1"/>
  <c r="A196" i="1"/>
  <c r="AN195" i="1"/>
  <c r="AL157" i="22" l="1"/>
  <c r="AI157" i="22"/>
  <c r="AH157" i="22"/>
  <c r="AO195" i="1"/>
  <c r="D196" i="1"/>
  <c r="AL196" i="1"/>
  <c r="AN159" i="22" s="1"/>
  <c r="AI195" i="1"/>
  <c r="AJ195" i="1"/>
  <c r="AK195" i="1"/>
  <c r="AM195" i="1"/>
  <c r="A197" i="1"/>
  <c r="AN196" i="1"/>
  <c r="AL158" i="22" l="1"/>
  <c r="AI158" i="22"/>
  <c r="AH158" i="22"/>
  <c r="AG156" i="22"/>
  <c r="AO157" i="22"/>
  <c r="AO196" i="1"/>
  <c r="D197" i="1"/>
  <c r="AL197" i="1"/>
  <c r="AN160" i="22" s="1"/>
  <c r="AI196" i="1"/>
  <c r="AJ196" i="1"/>
  <c r="AK196" i="1"/>
  <c r="AM196" i="1"/>
  <c r="A198" i="1"/>
  <c r="AN197" i="1"/>
  <c r="AL159" i="22" l="1"/>
  <c r="AI159" i="22"/>
  <c r="AH159" i="22"/>
  <c r="AG157" i="22"/>
  <c r="AO158" i="22"/>
  <c r="AO197" i="1"/>
  <c r="D198" i="1"/>
  <c r="AL198" i="1"/>
  <c r="AN161" i="22" s="1"/>
  <c r="AI197" i="1"/>
  <c r="AJ197" i="1"/>
  <c r="AK197" i="1"/>
  <c r="AM197" i="1"/>
  <c r="A199" i="1"/>
  <c r="AN198" i="1"/>
  <c r="AL160" i="22" l="1"/>
  <c r="AI160" i="22"/>
  <c r="AH160" i="22"/>
  <c r="AG158" i="22"/>
  <c r="AO159" i="22"/>
  <c r="AO198" i="1"/>
  <c r="D199" i="1"/>
  <c r="AL199" i="1"/>
  <c r="AN162" i="22" s="1"/>
  <c r="AI198" i="1"/>
  <c r="AJ198" i="1"/>
  <c r="AK198" i="1"/>
  <c r="AM198" i="1"/>
  <c r="A200" i="1"/>
  <c r="AN199" i="1"/>
  <c r="AL161" i="22" l="1"/>
  <c r="AI161" i="22"/>
  <c r="AH161" i="22"/>
  <c r="AG159" i="22"/>
  <c r="AO160" i="22"/>
  <c r="AO199" i="1"/>
  <c r="D200" i="1"/>
  <c r="AL200" i="1"/>
  <c r="AN163" i="22" s="1"/>
  <c r="AI199" i="1"/>
  <c r="AJ199" i="1"/>
  <c r="AK199" i="1"/>
  <c r="AM199" i="1"/>
  <c r="A201" i="1"/>
  <c r="AN200" i="1"/>
  <c r="AL162" i="22" l="1"/>
  <c r="AI162" i="22"/>
  <c r="AH162" i="22"/>
  <c r="AG160" i="22"/>
  <c r="AO161" i="22"/>
  <c r="AO200" i="1"/>
  <c r="D201" i="1"/>
  <c r="AL201" i="1"/>
  <c r="AN164" i="22" s="1"/>
  <c r="AI200" i="1"/>
  <c r="AJ200" i="1"/>
  <c r="AK200" i="1"/>
  <c r="AM200" i="1"/>
  <c r="A202" i="1"/>
  <c r="AN201" i="1"/>
  <c r="AL163" i="22" l="1"/>
  <c r="AI163" i="22"/>
  <c r="AH163" i="22"/>
  <c r="AG161" i="22"/>
  <c r="AO162" i="22"/>
  <c r="AO201" i="1"/>
  <c r="D202" i="1"/>
  <c r="AL202" i="1"/>
  <c r="AN165" i="22" s="1"/>
  <c r="AI201" i="1"/>
  <c r="AJ201" i="1"/>
  <c r="AK201" i="1"/>
  <c r="AM201" i="1"/>
  <c r="A203" i="1"/>
  <c r="AN202" i="1"/>
  <c r="M72" i="22"/>
  <c r="N72" i="22" s="1"/>
  <c r="M70" i="22"/>
  <c r="N70" i="22" s="1"/>
  <c r="M68" i="22"/>
  <c r="N68" i="22" s="1"/>
  <c r="AL164" i="22" l="1"/>
  <c r="AI164" i="22"/>
  <c r="AH164" i="22"/>
  <c r="AG162" i="22"/>
  <c r="AO163" i="22"/>
  <c r="AO202" i="1"/>
  <c r="D203" i="1"/>
  <c r="AL203" i="1"/>
  <c r="AN166" i="22" s="1"/>
  <c r="AI202" i="1"/>
  <c r="AJ202" i="1"/>
  <c r="AK202" i="1"/>
  <c r="AM202" i="1"/>
  <c r="A204" i="1"/>
  <c r="AN203" i="1"/>
  <c r="AL165" i="22" l="1"/>
  <c r="AI165" i="22"/>
  <c r="AH165" i="22"/>
  <c r="AG163" i="22"/>
  <c r="AO164" i="22"/>
  <c r="AO203" i="1"/>
  <c r="D204" i="1"/>
  <c r="AL204" i="1"/>
  <c r="AN167" i="22" s="1"/>
  <c r="AI203" i="1"/>
  <c r="AJ203" i="1"/>
  <c r="AK203" i="1"/>
  <c r="AM203" i="1"/>
  <c r="AG69" i="22"/>
  <c r="A205" i="1"/>
  <c r="AN204" i="1"/>
  <c r="S71" i="22"/>
  <c r="T71" i="22" s="1"/>
  <c r="AL166" i="22" l="1"/>
  <c r="AI166" i="22"/>
  <c r="AH166" i="22"/>
  <c r="AG164" i="22"/>
  <c r="AO165" i="22"/>
  <c r="AO204" i="1"/>
  <c r="D205" i="1"/>
  <c r="AL205" i="1"/>
  <c r="AN168" i="22" s="1"/>
  <c r="AI204" i="1"/>
  <c r="AJ204" i="1"/>
  <c r="AK204" i="1"/>
  <c r="AM204" i="1"/>
  <c r="A206" i="1"/>
  <c r="AN205" i="1"/>
  <c r="AF71" i="22"/>
  <c r="AL167" i="22" l="1"/>
  <c r="AI167" i="22"/>
  <c r="AH167" i="22"/>
  <c r="AG165" i="22"/>
  <c r="AO166" i="22"/>
  <c r="AO205" i="1"/>
  <c r="D206" i="1"/>
  <c r="AL206" i="1"/>
  <c r="AN169" i="22" s="1"/>
  <c r="AI205" i="1"/>
  <c r="AJ205" i="1"/>
  <c r="AK205" i="1"/>
  <c r="AM205" i="1"/>
  <c r="AG65" i="22"/>
  <c r="AG72" i="22"/>
  <c r="AG66" i="22"/>
  <c r="AG73" i="22"/>
  <c r="A207" i="1"/>
  <c r="AN206" i="1"/>
  <c r="AG71" i="22"/>
  <c r="AL168" i="22" l="1"/>
  <c r="AI168" i="22"/>
  <c r="AH168" i="22"/>
  <c r="AG166" i="22"/>
  <c r="AO167" i="22"/>
  <c r="AO206" i="1"/>
  <c r="D207" i="1"/>
  <c r="AL207" i="1"/>
  <c r="AN170" i="22" s="1"/>
  <c r="AI206" i="1"/>
  <c r="AJ206" i="1"/>
  <c r="AK206" i="1"/>
  <c r="AM206" i="1"/>
  <c r="A208" i="1"/>
  <c r="AN207" i="1"/>
  <c r="AL169" i="22" l="1"/>
  <c r="AI169" i="22"/>
  <c r="AH169" i="22"/>
  <c r="AG167" i="22"/>
  <c r="AO168" i="22"/>
  <c r="AO207" i="1"/>
  <c r="AI207" i="1"/>
  <c r="AJ207" i="1"/>
  <c r="AK207" i="1"/>
  <c r="AM207" i="1"/>
  <c r="A209" i="1"/>
  <c r="AN208" i="1"/>
  <c r="AL170" i="22" l="1"/>
  <c r="AI170" i="22"/>
  <c r="AH170" i="22"/>
  <c r="AG168" i="22"/>
  <c r="AO169" i="22"/>
  <c r="D209" i="1"/>
  <c r="AL209" i="1"/>
  <c r="A210" i="1"/>
  <c r="AN171" i="22" l="1"/>
  <c r="AG169" i="22"/>
  <c r="AO170" i="22"/>
  <c r="D210" i="1"/>
  <c r="AL210" i="1"/>
  <c r="AN172" i="22" s="1"/>
  <c r="AI209" i="1"/>
  <c r="AJ209" i="1"/>
  <c r="AK209" i="1"/>
  <c r="AM209" i="1"/>
  <c r="A211" i="1"/>
  <c r="AN210" i="1"/>
  <c r="AL171" i="22" l="1"/>
  <c r="AI171" i="22"/>
  <c r="AH171" i="22"/>
  <c r="AO210" i="1"/>
  <c r="D211" i="1"/>
  <c r="AL211" i="1"/>
  <c r="AN173" i="22" s="1"/>
  <c r="AI210" i="1"/>
  <c r="AJ210" i="1"/>
  <c r="AK210" i="1"/>
  <c r="AM210" i="1"/>
  <c r="A212" i="1"/>
  <c r="AN211" i="1"/>
  <c r="AL172" i="22" l="1"/>
  <c r="AO172" i="22" s="1"/>
  <c r="AI172" i="22"/>
  <c r="AH172" i="22"/>
  <c r="AO171" i="22"/>
  <c r="AO211" i="1"/>
  <c r="AI211" i="1"/>
  <c r="AJ211" i="1"/>
  <c r="AK211" i="1"/>
  <c r="AM211" i="1"/>
  <c r="A213" i="1"/>
  <c r="AN212" i="1"/>
  <c r="AL173" i="22" l="1"/>
  <c r="AI173" i="22"/>
  <c r="AH173" i="22"/>
  <c r="D213" i="1"/>
  <c r="AL213" i="1"/>
  <c r="A214" i="1"/>
  <c r="AN174" i="22" l="1"/>
  <c r="AG172" i="22"/>
  <c r="AO173" i="22"/>
  <c r="D214" i="1"/>
  <c r="AL214" i="1"/>
  <c r="AN175" i="22" s="1"/>
  <c r="AI213" i="1"/>
  <c r="AJ213" i="1"/>
  <c r="AK213" i="1"/>
  <c r="AM213" i="1"/>
  <c r="A215" i="1"/>
  <c r="AN214" i="1"/>
  <c r="AL174" i="22" l="1"/>
  <c r="AI174" i="22"/>
  <c r="AH174" i="22"/>
  <c r="AO214" i="1"/>
  <c r="AI214" i="1"/>
  <c r="AJ214" i="1"/>
  <c r="AK214" i="1"/>
  <c r="AM214" i="1"/>
  <c r="A216" i="1"/>
  <c r="AN215" i="1"/>
  <c r="AL175" i="22" l="1"/>
  <c r="AO175" i="22" s="1"/>
  <c r="AI175" i="22"/>
  <c r="AH175" i="22"/>
  <c r="AO174" i="22"/>
  <c r="D216" i="1"/>
  <c r="AL216" i="1"/>
  <c r="AN176" i="22" s="1"/>
  <c r="A217" i="1"/>
  <c r="AO216" i="1" l="1"/>
  <c r="D217" i="1"/>
  <c r="AL217" i="1"/>
  <c r="AN177" i="22" s="1"/>
  <c r="AI216" i="1"/>
  <c r="AJ216" i="1"/>
  <c r="AK216" i="1"/>
  <c r="AM216" i="1"/>
  <c r="A218" i="1"/>
  <c r="AN217" i="1"/>
  <c r="AL176" i="22" l="1"/>
  <c r="AI176" i="22"/>
  <c r="AH176" i="22"/>
  <c r="AO217" i="1"/>
  <c r="D218" i="1"/>
  <c r="AL218" i="1"/>
  <c r="AN178" i="22" s="1"/>
  <c r="AI217" i="1"/>
  <c r="AJ217" i="1"/>
  <c r="AK217" i="1"/>
  <c r="AM217" i="1"/>
  <c r="A219" i="1"/>
  <c r="AN218" i="1"/>
  <c r="AL177" i="22" l="1"/>
  <c r="AO177" i="22" s="1"/>
  <c r="AI177" i="22"/>
  <c r="AH177" i="22"/>
  <c r="AO176" i="22"/>
  <c r="AO218" i="1"/>
  <c r="D219" i="1"/>
  <c r="AL219" i="1"/>
  <c r="AN179" i="22" s="1"/>
  <c r="AI218" i="1"/>
  <c r="AJ218" i="1"/>
  <c r="AK218" i="1"/>
  <c r="AM218" i="1"/>
  <c r="A220" i="1"/>
  <c r="AN219" i="1"/>
  <c r="AL178" i="22" l="1"/>
  <c r="AI178" i="22"/>
  <c r="AH178" i="22"/>
  <c r="AO219" i="1"/>
  <c r="D220" i="1"/>
  <c r="AL220" i="1"/>
  <c r="AN180" i="22" s="1"/>
  <c r="AI219" i="1"/>
  <c r="AJ219" i="1"/>
  <c r="AK219" i="1"/>
  <c r="AM219" i="1"/>
  <c r="A221" i="1"/>
  <c r="AN220" i="1"/>
  <c r="AL179" i="22" l="1"/>
  <c r="AI179" i="22"/>
  <c r="AH179" i="22"/>
  <c r="AG177" i="22"/>
  <c r="AO178" i="22"/>
  <c r="AO220" i="1"/>
  <c r="D221" i="1"/>
  <c r="AL221" i="1"/>
  <c r="AN181" i="22" s="1"/>
  <c r="AI220" i="1"/>
  <c r="AJ220" i="1"/>
  <c r="AK220" i="1"/>
  <c r="AM220" i="1"/>
  <c r="A222" i="1"/>
  <c r="AN221" i="1"/>
  <c r="AL180" i="22" l="1"/>
  <c r="AI180" i="22"/>
  <c r="AH180" i="22"/>
  <c r="AG178" i="22"/>
  <c r="AO179" i="22"/>
  <c r="AO221" i="1"/>
  <c r="D222" i="1"/>
  <c r="AL222" i="1"/>
  <c r="AN182" i="22" s="1"/>
  <c r="AI221" i="1"/>
  <c r="AJ221" i="1"/>
  <c r="AK221" i="1"/>
  <c r="AM221" i="1"/>
  <c r="A223" i="1"/>
  <c r="AN222" i="1"/>
  <c r="AL181" i="22" l="1"/>
  <c r="AI181" i="22"/>
  <c r="AH181" i="22"/>
  <c r="AG179" i="22"/>
  <c r="AO180" i="22"/>
  <c r="AO222" i="1"/>
  <c r="D223" i="1"/>
  <c r="AL223" i="1"/>
  <c r="AN183" i="22" s="1"/>
  <c r="AI222" i="1"/>
  <c r="AJ222" i="1"/>
  <c r="AK222" i="1"/>
  <c r="AM222" i="1"/>
  <c r="A224" i="1"/>
  <c r="AN223" i="1"/>
  <c r="AL182" i="22" l="1"/>
  <c r="AI182" i="22"/>
  <c r="AH182" i="22"/>
  <c r="AG180" i="22"/>
  <c r="AO181" i="22"/>
  <c r="AO223" i="1"/>
  <c r="D224" i="1"/>
  <c r="AL224" i="1"/>
  <c r="AN184" i="22" s="1"/>
  <c r="AI223" i="1"/>
  <c r="AJ223" i="1"/>
  <c r="AK223" i="1"/>
  <c r="AM223" i="1"/>
  <c r="A225" i="1"/>
  <c r="AN224" i="1"/>
  <c r="AL183" i="22" l="1"/>
  <c r="AI183" i="22"/>
  <c r="AH183" i="22"/>
  <c r="AG181" i="22"/>
  <c r="AO182" i="22"/>
  <c r="AO224" i="1"/>
  <c r="D225" i="1"/>
  <c r="AL225" i="1"/>
  <c r="AN185" i="22" s="1"/>
  <c r="AI224" i="1"/>
  <c r="AJ224" i="1"/>
  <c r="AK224" i="1"/>
  <c r="AM224" i="1"/>
  <c r="A226" i="1"/>
  <c r="AN225" i="1"/>
  <c r="AL184" i="22" l="1"/>
  <c r="AI184" i="22"/>
  <c r="AH184" i="22"/>
  <c r="AG182" i="22"/>
  <c r="AO183" i="22"/>
  <c r="AO225" i="1"/>
  <c r="AI225" i="1"/>
  <c r="AJ225" i="1"/>
  <c r="AK225" i="1"/>
  <c r="AM225" i="1"/>
  <c r="A227" i="1"/>
  <c r="AN226" i="1"/>
  <c r="AL185" i="22" l="1"/>
  <c r="AI185" i="22"/>
  <c r="AH185" i="22"/>
  <c r="AG183" i="22"/>
  <c r="AO184" i="22"/>
  <c r="D227" i="1"/>
  <c r="AL227" i="1"/>
  <c r="A228" i="1"/>
  <c r="AN186" i="22" l="1"/>
  <c r="AG184" i="22"/>
  <c r="AO185" i="22"/>
  <c r="D228" i="1"/>
  <c r="AL228" i="1"/>
  <c r="AN187" i="22" s="1"/>
  <c r="AI227" i="1"/>
  <c r="AJ227" i="1"/>
  <c r="AK227" i="1"/>
  <c r="AM227" i="1"/>
  <c r="A229" i="1"/>
  <c r="AN228" i="1"/>
  <c r="AL186" i="22" l="1"/>
  <c r="AI186" i="22"/>
  <c r="AH186" i="22"/>
  <c r="AO228" i="1"/>
  <c r="D229" i="1"/>
  <c r="AL229" i="1"/>
  <c r="AN188" i="22" s="1"/>
  <c r="AI228" i="1"/>
  <c r="AJ228" i="1"/>
  <c r="AK228" i="1"/>
  <c r="AM228" i="1"/>
  <c r="A230" i="1"/>
  <c r="AN229" i="1"/>
  <c r="AL187" i="22" l="1"/>
  <c r="AO187" i="22" s="1"/>
  <c r="AI187" i="22"/>
  <c r="AH187" i="22"/>
  <c r="AO186" i="22"/>
  <c r="AO229" i="1"/>
  <c r="D230" i="1"/>
  <c r="AL230" i="1"/>
  <c r="AN189" i="22" s="1"/>
  <c r="AI229" i="1"/>
  <c r="AJ229" i="1"/>
  <c r="AK229" i="1"/>
  <c r="AM229" i="1"/>
  <c r="A231" i="1"/>
  <c r="AN230" i="1"/>
  <c r="AL188" i="22" l="1"/>
  <c r="AI188" i="22"/>
  <c r="AH188" i="22"/>
  <c r="AO230" i="1"/>
  <c r="AI230" i="1"/>
  <c r="AJ230" i="1"/>
  <c r="AK230" i="1"/>
  <c r="AM230" i="1"/>
  <c r="A232" i="1"/>
  <c r="AN231" i="1"/>
  <c r="AL189" i="22" l="1"/>
  <c r="AI189" i="22"/>
  <c r="AH189" i="22"/>
  <c r="AG187" i="22"/>
  <c r="AO188" i="22"/>
  <c r="D232" i="1"/>
  <c r="AL232" i="1"/>
  <c r="AI232" i="1"/>
  <c r="AJ232" i="1"/>
  <c r="AK232" i="1"/>
  <c r="AM232" i="1"/>
  <c r="A233" i="1"/>
  <c r="AL190" i="22" l="1"/>
  <c r="AI190" i="22"/>
  <c r="AH190" i="22"/>
  <c r="AN190" i="22"/>
  <c r="AG188" i="22"/>
  <c r="AO189" i="22"/>
  <c r="A234" i="1"/>
  <c r="AN233" i="1"/>
  <c r="AG189" i="22" l="1"/>
  <c r="AO190" i="22"/>
  <c r="D234" i="1"/>
  <c r="AL234" i="1"/>
  <c r="A235" i="1"/>
  <c r="AN191" i="22" l="1"/>
  <c r="D235" i="1"/>
  <c r="AL235" i="1"/>
  <c r="AN192" i="22" s="1"/>
  <c r="AI234" i="1"/>
  <c r="AJ234" i="1"/>
  <c r="AK234" i="1"/>
  <c r="AM234" i="1"/>
  <c r="AW234" i="1"/>
  <c r="AX234" i="1" s="1"/>
  <c r="AZ234" i="1" s="1"/>
  <c r="A236" i="1"/>
  <c r="AN235" i="1"/>
  <c r="AL191" i="22" l="1"/>
  <c r="AI191" i="22"/>
  <c r="AH191" i="22"/>
  <c r="AO235" i="1"/>
  <c r="D236" i="1"/>
  <c r="AL236" i="1"/>
  <c r="AN193" i="22" s="1"/>
  <c r="AI235" i="1"/>
  <c r="AJ235" i="1"/>
  <c r="AK235" i="1"/>
  <c r="AM235" i="1"/>
  <c r="AW235" i="1"/>
  <c r="AX235" i="1" s="1"/>
  <c r="AZ235" i="1" s="1"/>
  <c r="A237" i="1"/>
  <c r="AN236" i="1"/>
  <c r="AL192" i="22" l="1"/>
  <c r="AO192" i="22" s="1"/>
  <c r="AI192" i="22"/>
  <c r="AH192" i="22"/>
  <c r="AO191" i="22"/>
  <c r="AO236" i="1"/>
  <c r="D237" i="1"/>
  <c r="AL237" i="1"/>
  <c r="AN194" i="22" s="1"/>
  <c r="AI236" i="1"/>
  <c r="AJ236" i="1"/>
  <c r="AK236" i="1"/>
  <c r="AM236" i="1"/>
  <c r="AW236" i="1"/>
  <c r="AX236" i="1" s="1"/>
  <c r="AZ236" i="1" s="1"/>
  <c r="A238" i="1"/>
  <c r="AN237" i="1"/>
  <c r="AL193" i="22" l="1"/>
  <c r="AI193" i="22"/>
  <c r="AH193" i="22"/>
  <c r="AO237" i="1"/>
  <c r="D238" i="1"/>
  <c r="AL238" i="1"/>
  <c r="AN195" i="22" s="1"/>
  <c r="AI237" i="1"/>
  <c r="AJ237" i="1"/>
  <c r="AK237" i="1"/>
  <c r="AM237" i="1"/>
  <c r="AW237" i="1"/>
  <c r="AX237" i="1" s="1"/>
  <c r="AZ237" i="1" s="1"/>
  <c r="A239" i="1"/>
  <c r="AN238" i="1"/>
  <c r="AL194" i="22" l="1"/>
  <c r="AI194" i="22"/>
  <c r="AH194" i="22"/>
  <c r="AG192" i="22"/>
  <c r="AO193" i="22"/>
  <c r="AO238" i="1"/>
  <c r="D239" i="1"/>
  <c r="AL239" i="1"/>
  <c r="AN196" i="22" s="1"/>
  <c r="AI238" i="1"/>
  <c r="AJ238" i="1"/>
  <c r="AK238" i="1"/>
  <c r="AM238" i="1"/>
  <c r="AW238" i="1"/>
  <c r="AX238" i="1" s="1"/>
  <c r="AZ238" i="1" s="1"/>
  <c r="A240" i="1"/>
  <c r="AN239" i="1"/>
  <c r="AL195" i="22" l="1"/>
  <c r="AI195" i="22"/>
  <c r="AH195" i="22"/>
  <c r="AG193" i="22"/>
  <c r="AO194" i="22"/>
  <c r="AO239" i="1"/>
  <c r="D240" i="1"/>
  <c r="AL240" i="1"/>
  <c r="AN197" i="22" s="1"/>
  <c r="AI239" i="1"/>
  <c r="AJ239" i="1"/>
  <c r="AK239" i="1"/>
  <c r="AM239" i="1"/>
  <c r="AW239" i="1"/>
  <c r="AX239" i="1" s="1"/>
  <c r="AZ239" i="1" s="1"/>
  <c r="A241" i="1"/>
  <c r="AN240" i="1"/>
  <c r="AL196" i="22" l="1"/>
  <c r="AI196" i="22"/>
  <c r="AH196" i="22"/>
  <c r="AG194" i="22"/>
  <c r="AO195" i="22"/>
  <c r="AO240" i="1"/>
  <c r="D241" i="1"/>
  <c r="AL241" i="1"/>
  <c r="AN198" i="22" s="1"/>
  <c r="AI240" i="1"/>
  <c r="AJ240" i="1"/>
  <c r="AK240" i="1"/>
  <c r="AM240" i="1"/>
  <c r="AW240" i="1"/>
  <c r="AX240" i="1" s="1"/>
  <c r="AZ240" i="1" s="1"/>
  <c r="A242" i="1"/>
  <c r="AN241" i="1"/>
  <c r="AL197" i="22" l="1"/>
  <c r="AI197" i="22"/>
  <c r="AH197" i="22"/>
  <c r="AG195" i="22"/>
  <c r="AO196" i="22"/>
  <c r="AO241" i="1"/>
  <c r="D242" i="1"/>
  <c r="AL242" i="1"/>
  <c r="AN199" i="22" s="1"/>
  <c r="AI241" i="1"/>
  <c r="AJ241" i="1"/>
  <c r="AK241" i="1"/>
  <c r="AM241" i="1"/>
  <c r="AW241" i="1"/>
  <c r="AX241" i="1" s="1"/>
  <c r="AZ241" i="1" s="1"/>
  <c r="A243" i="1"/>
  <c r="AN242" i="1"/>
  <c r="AL198" i="22" l="1"/>
  <c r="AI198" i="22"/>
  <c r="AH198" i="22"/>
  <c r="AG196" i="22"/>
  <c r="AO197" i="22"/>
  <c r="AO242" i="1"/>
  <c r="AI242" i="1"/>
  <c r="AJ242" i="1"/>
  <c r="AK242" i="1"/>
  <c r="AM242" i="1"/>
  <c r="AW242" i="1"/>
  <c r="AX242" i="1" s="1"/>
  <c r="AZ242" i="1" s="1"/>
  <c r="A244" i="1"/>
  <c r="AN243" i="1"/>
  <c r="AL199" i="22" l="1"/>
  <c r="AI199" i="22"/>
  <c r="AH199" i="22"/>
  <c r="AG197" i="22"/>
  <c r="AO198" i="22"/>
  <c r="D244" i="1"/>
  <c r="AL244" i="1"/>
  <c r="AN200" i="22" s="1"/>
  <c r="A245" i="1"/>
  <c r="AG198" i="22" l="1"/>
  <c r="AO199" i="22"/>
  <c r="AO244" i="1"/>
  <c r="D245" i="1"/>
  <c r="AL245" i="1"/>
  <c r="AN201" i="22" s="1"/>
  <c r="AI244" i="1"/>
  <c r="AJ244" i="1"/>
  <c r="AK244" i="1"/>
  <c r="AM244" i="1"/>
  <c r="A246" i="1"/>
  <c r="AN245" i="1"/>
  <c r="AL200" i="22" l="1"/>
  <c r="AI200" i="22"/>
  <c r="AH200" i="22"/>
  <c r="AO245" i="1"/>
  <c r="D246" i="1"/>
  <c r="AL246" i="1"/>
  <c r="AN202" i="22" s="1"/>
  <c r="AI245" i="1"/>
  <c r="AJ245" i="1"/>
  <c r="AK245" i="1"/>
  <c r="AM245" i="1"/>
  <c r="A247" i="1"/>
  <c r="AN246" i="1"/>
  <c r="AL201" i="22" l="1"/>
  <c r="AO201" i="22" s="1"/>
  <c r="AI201" i="22"/>
  <c r="AH201" i="22"/>
  <c r="AO200" i="22"/>
  <c r="AO246" i="1"/>
  <c r="D247" i="1"/>
  <c r="AL247" i="1"/>
  <c r="AN203" i="22" s="1"/>
  <c r="AI246" i="1"/>
  <c r="AJ246" i="1"/>
  <c r="AK246" i="1"/>
  <c r="AM246" i="1"/>
  <c r="A248" i="1"/>
  <c r="AN247" i="1"/>
  <c r="AL202" i="22" l="1"/>
  <c r="AI202" i="22"/>
  <c r="AH202" i="22"/>
  <c r="AO247" i="1"/>
  <c r="AI247" i="1"/>
  <c r="AJ247" i="1"/>
  <c r="AK247" i="1"/>
  <c r="AM247" i="1"/>
  <c r="A249" i="1"/>
  <c r="AN248" i="1"/>
  <c r="AL203" i="22" l="1"/>
  <c r="AI203" i="22"/>
  <c r="AH203" i="22"/>
  <c r="AG201" i="22"/>
  <c r="AO202" i="22"/>
  <c r="D249" i="1"/>
  <c r="AL249" i="1"/>
  <c r="A250" i="1"/>
  <c r="AN204" i="22" l="1"/>
  <c r="AG202" i="22"/>
  <c r="AO203" i="22"/>
  <c r="D250" i="1"/>
  <c r="AL250" i="1"/>
  <c r="AN205" i="22" s="1"/>
  <c r="AI249" i="1"/>
  <c r="AJ249" i="1"/>
  <c r="AK249" i="1"/>
  <c r="AM249" i="1"/>
  <c r="A251" i="1"/>
  <c r="AN250" i="1"/>
  <c r="AL204" i="22" l="1"/>
  <c r="AI204" i="22"/>
  <c r="AH204" i="22"/>
  <c r="AO250" i="1"/>
  <c r="AI250" i="1"/>
  <c r="AJ250" i="1"/>
  <c r="AK250" i="1"/>
  <c r="AM250" i="1"/>
  <c r="A252" i="1"/>
  <c r="AN251" i="1"/>
  <c r="AL205" i="22" l="1"/>
  <c r="AO205" i="22" s="1"/>
  <c r="AI205" i="22"/>
  <c r="AH205" i="22"/>
  <c r="AO204" i="22"/>
  <c r="D252" i="1"/>
  <c r="AL252" i="1"/>
  <c r="A253" i="1"/>
  <c r="AN206" i="22" l="1"/>
  <c r="D253" i="1"/>
  <c r="AL253" i="1"/>
  <c r="AN207" i="22" s="1"/>
  <c r="AI252" i="1"/>
  <c r="AJ252" i="1"/>
  <c r="AK252" i="1"/>
  <c r="AM252" i="1"/>
  <c r="A254" i="1"/>
  <c r="AN253" i="1"/>
  <c r="AL206" i="22" l="1"/>
  <c r="AI206" i="22"/>
  <c r="AH206" i="22"/>
  <c r="AO253" i="1"/>
  <c r="D254" i="1"/>
  <c r="AL254" i="1"/>
  <c r="AN208" i="22" s="1"/>
  <c r="AI253" i="1"/>
  <c r="AJ253" i="1"/>
  <c r="AK253" i="1"/>
  <c r="AM253" i="1"/>
  <c r="A255" i="1"/>
  <c r="AN254" i="1"/>
  <c r="AL207" i="22" l="1"/>
  <c r="AO207" i="22" s="1"/>
  <c r="AI207" i="22"/>
  <c r="AH207" i="22"/>
  <c r="AO206" i="22"/>
  <c r="AO254" i="1"/>
  <c r="D255" i="1"/>
  <c r="AL255" i="1"/>
  <c r="AN209" i="22" s="1"/>
  <c r="AI254" i="1"/>
  <c r="AJ254" i="1"/>
  <c r="AK254" i="1"/>
  <c r="AM254" i="1"/>
  <c r="A256" i="1"/>
  <c r="AN255" i="1"/>
  <c r="AL208" i="22" l="1"/>
  <c r="AI208" i="22"/>
  <c r="AH208" i="22"/>
  <c r="AO255" i="1"/>
  <c r="AI255" i="1"/>
  <c r="AJ255" i="1"/>
  <c r="AK255" i="1"/>
  <c r="AM255" i="1"/>
  <c r="A257" i="1"/>
  <c r="AN256" i="1"/>
  <c r="AL209" i="22" l="1"/>
  <c r="AI209" i="22"/>
  <c r="AH209" i="22"/>
  <c r="AG207" i="22"/>
  <c r="AO208" i="22"/>
  <c r="D257" i="1"/>
  <c r="AL257" i="1"/>
  <c r="A258" i="1"/>
  <c r="AN210" i="22" l="1"/>
  <c r="AG208" i="22"/>
  <c r="AO209" i="22"/>
  <c r="AI257" i="1"/>
  <c r="AJ257" i="1"/>
  <c r="AK257" i="1"/>
  <c r="AM257" i="1"/>
  <c r="A259" i="1"/>
  <c r="AN258" i="1"/>
  <c r="AL210" i="22" l="1"/>
  <c r="AI210" i="22"/>
  <c r="AH210" i="22"/>
  <c r="D259" i="1"/>
  <c r="AL259" i="1"/>
  <c r="A260" i="1"/>
  <c r="AN211" i="22" l="1"/>
  <c r="AO210" i="22"/>
  <c r="AI259" i="1"/>
  <c r="AJ259" i="1"/>
  <c r="AK259" i="1"/>
  <c r="AM259" i="1"/>
  <c r="A261" i="1"/>
  <c r="AN260" i="1"/>
  <c r="AL211" i="22" l="1"/>
  <c r="AI211" i="22"/>
  <c r="AH211" i="22"/>
  <c r="D261" i="1"/>
  <c r="AL261" i="1"/>
  <c r="A262" i="1"/>
  <c r="AN212" i="22" l="1"/>
  <c r="AO211" i="22"/>
  <c r="D262" i="1"/>
  <c r="AL262" i="1"/>
  <c r="AN213" i="22" s="1"/>
  <c r="AI261" i="1"/>
  <c r="AJ261" i="1"/>
  <c r="AK261" i="1"/>
  <c r="AM261" i="1"/>
  <c r="A263" i="1"/>
  <c r="AN262" i="1"/>
  <c r="AL212" i="22" l="1"/>
  <c r="AI212" i="22"/>
  <c r="AH212" i="22"/>
  <c r="AO262" i="1"/>
  <c r="D263" i="1"/>
  <c r="AL263" i="1"/>
  <c r="AN214" i="22" s="1"/>
  <c r="AI262" i="1"/>
  <c r="AJ262" i="1"/>
  <c r="AK262" i="1"/>
  <c r="AM262" i="1"/>
  <c r="A264" i="1"/>
  <c r="AN263" i="1"/>
  <c r="AL213" i="22" l="1"/>
  <c r="AO213" i="22" s="1"/>
  <c r="AI213" i="22"/>
  <c r="AH213" i="22"/>
  <c r="AO212" i="22"/>
  <c r="AO263" i="1"/>
  <c r="AI263" i="1"/>
  <c r="AJ263" i="1"/>
  <c r="AK263" i="1"/>
  <c r="AM263" i="1"/>
  <c r="A265" i="1"/>
  <c r="AN264" i="1"/>
  <c r="AL214" i="22" l="1"/>
  <c r="AI214" i="22"/>
  <c r="AH214" i="22"/>
  <c r="D265" i="1"/>
  <c r="AL265" i="1"/>
  <c r="AN215" i="22" s="1"/>
  <c r="AG212" i="22"/>
  <c r="AG204" i="22"/>
  <c r="AG200" i="22"/>
  <c r="AG171" i="22"/>
  <c r="AG155" i="22"/>
  <c r="A266" i="1"/>
  <c r="AG213" i="22" l="1"/>
  <c r="AO214" i="22"/>
  <c r="AI265" i="1"/>
  <c r="AH215" i="22" s="1"/>
  <c r="AJ265" i="1"/>
  <c r="AI215" i="22" s="1"/>
  <c r="AK265" i="1"/>
  <c r="AL215" i="22" s="1"/>
  <c r="AM265" i="1"/>
  <c r="A267" i="1"/>
  <c r="AN266" i="1"/>
  <c r="AO215" i="22" l="1"/>
  <c r="D267" i="1"/>
  <c r="AL267" i="1"/>
  <c r="AN216" i="22" s="1"/>
  <c r="A268" i="1"/>
  <c r="D268" i="1" l="1"/>
  <c r="AL268" i="1"/>
  <c r="AI267" i="1"/>
  <c r="AH216" i="22" s="1"/>
  <c r="AJ267" i="1"/>
  <c r="AI216" i="22" s="1"/>
  <c r="AK267" i="1"/>
  <c r="AL216" i="22" s="1"/>
  <c r="AM267" i="1"/>
  <c r="AW267" i="1"/>
  <c r="AX267" i="1" s="1"/>
  <c r="AZ267" i="1" s="1"/>
  <c r="A269" i="1"/>
  <c r="AN268" i="1"/>
  <c r="AO216" i="22" l="1"/>
  <c r="AO268" i="1"/>
  <c r="AN217" i="22"/>
  <c r="D269" i="1"/>
  <c r="AL269" i="1"/>
  <c r="AI268" i="1"/>
  <c r="AH217" i="22" s="1"/>
  <c r="AJ268" i="1"/>
  <c r="AI217" i="22" s="1"/>
  <c r="AK268" i="1"/>
  <c r="AL217" i="22" s="1"/>
  <c r="AM268" i="1"/>
  <c r="A270" i="1"/>
  <c r="AN269" i="1"/>
  <c r="AG216" i="22" l="1"/>
  <c r="AO217" i="22"/>
  <c r="AO269" i="1"/>
  <c r="AN218" i="22"/>
  <c r="D270" i="1"/>
  <c r="AL270" i="1"/>
  <c r="AI269" i="1"/>
  <c r="AH218" i="22" s="1"/>
  <c r="AJ269" i="1"/>
  <c r="AI218" i="22" s="1"/>
  <c r="AK269" i="1"/>
  <c r="AL218" i="22" s="1"/>
  <c r="AM269" i="1"/>
  <c r="AW269" i="1"/>
  <c r="AX269" i="1" s="1"/>
  <c r="AZ269" i="1" s="1"/>
  <c r="A271" i="1"/>
  <c r="AN270" i="1"/>
  <c r="AG217" i="22" l="1"/>
  <c r="AO218" i="22"/>
  <c r="AO270" i="1"/>
  <c r="AN219" i="22"/>
  <c r="D271" i="1"/>
  <c r="AL271" i="1"/>
  <c r="AI270" i="1"/>
  <c r="AH219" i="22" s="1"/>
  <c r="AJ270" i="1"/>
  <c r="AI219" i="22" s="1"/>
  <c r="AK270" i="1"/>
  <c r="AL219" i="22" s="1"/>
  <c r="AM270" i="1"/>
  <c r="AW270" i="1"/>
  <c r="AX270" i="1" s="1"/>
  <c r="AZ270" i="1" s="1"/>
  <c r="A272" i="1"/>
  <c r="AN271" i="1"/>
  <c r="AG218" i="22" l="1"/>
  <c r="AO219" i="22"/>
  <c r="AO271" i="1"/>
  <c r="AN220" i="22"/>
  <c r="D272" i="1"/>
  <c r="AL272" i="1"/>
  <c r="AI271" i="1"/>
  <c r="AH220" i="22" s="1"/>
  <c r="AJ271" i="1"/>
  <c r="AI220" i="22" s="1"/>
  <c r="AK271" i="1"/>
  <c r="AL220" i="22" s="1"/>
  <c r="AM271" i="1"/>
  <c r="AW271" i="1"/>
  <c r="AX271" i="1" s="1"/>
  <c r="AZ271" i="1" s="1"/>
  <c r="A273" i="1"/>
  <c r="AN272" i="1"/>
  <c r="AG219" i="22" l="1"/>
  <c r="AO220" i="22"/>
  <c r="AO272" i="1"/>
  <c r="AN221" i="22"/>
  <c r="D273" i="1"/>
  <c r="AL273" i="1"/>
  <c r="AI272" i="1"/>
  <c r="AH221" i="22" s="1"/>
  <c r="AJ272" i="1"/>
  <c r="AI221" i="22" s="1"/>
  <c r="AK272" i="1"/>
  <c r="AL221" i="22" s="1"/>
  <c r="AM272" i="1"/>
  <c r="AW272" i="1"/>
  <c r="AX272" i="1" s="1"/>
  <c r="AZ272" i="1" s="1"/>
  <c r="A274" i="1"/>
  <c r="AN273" i="1"/>
  <c r="AG220" i="22" l="1"/>
  <c r="AO221" i="22"/>
  <c r="AO273" i="1"/>
  <c r="AN222" i="22"/>
  <c r="D274" i="1"/>
  <c r="AL274" i="1"/>
  <c r="AI273" i="1"/>
  <c r="AH222" i="22" s="1"/>
  <c r="AJ273" i="1"/>
  <c r="AI222" i="22" s="1"/>
  <c r="AK273" i="1"/>
  <c r="AL222" i="22" s="1"/>
  <c r="AM273" i="1"/>
  <c r="AW273" i="1"/>
  <c r="AX273" i="1" s="1"/>
  <c r="AZ273" i="1" s="1"/>
  <c r="A275" i="1"/>
  <c r="AN274" i="1"/>
  <c r="AG221" i="22" l="1"/>
  <c r="AO222" i="22"/>
  <c r="AO274" i="1"/>
  <c r="AN223" i="22"/>
  <c r="D275" i="1"/>
  <c r="AL275" i="1"/>
  <c r="AI274" i="1"/>
  <c r="AH223" i="22" s="1"/>
  <c r="AJ274" i="1"/>
  <c r="AI223" i="22" s="1"/>
  <c r="AK274" i="1"/>
  <c r="AL223" i="22" s="1"/>
  <c r="AM274" i="1"/>
  <c r="AW274" i="1"/>
  <c r="AX274" i="1" s="1"/>
  <c r="AZ274" i="1" s="1"/>
  <c r="A276" i="1"/>
  <c r="AN275" i="1"/>
  <c r="AG222" i="22" l="1"/>
  <c r="AO223" i="22"/>
  <c r="AO275" i="1"/>
  <c r="AN224" i="22"/>
  <c r="D276" i="1"/>
  <c r="AL276" i="1"/>
  <c r="AI275" i="1"/>
  <c r="AH224" i="22" s="1"/>
  <c r="AJ275" i="1"/>
  <c r="AI224" i="22" s="1"/>
  <c r="AK275" i="1"/>
  <c r="AL224" i="22" s="1"/>
  <c r="AM275" i="1"/>
  <c r="AW275" i="1"/>
  <c r="AX275" i="1" s="1"/>
  <c r="AZ275" i="1" s="1"/>
  <c r="A277" i="1"/>
  <c r="AN276" i="1"/>
  <c r="AG223" i="22" l="1"/>
  <c r="AO224" i="22"/>
  <c r="AO276" i="1"/>
  <c r="AN225" i="22"/>
  <c r="D277" i="1"/>
  <c r="AL277" i="1"/>
  <c r="AI276" i="1"/>
  <c r="AH225" i="22" s="1"/>
  <c r="AJ276" i="1"/>
  <c r="AI225" i="22" s="1"/>
  <c r="AK276" i="1"/>
  <c r="AL225" i="22" s="1"/>
  <c r="AM276" i="1"/>
  <c r="AW276" i="1"/>
  <c r="AX276" i="1" s="1"/>
  <c r="AZ276" i="1" s="1"/>
  <c r="A278" i="1"/>
  <c r="AN277" i="1"/>
  <c r="AG224" i="22" l="1"/>
  <c r="AO225" i="22"/>
  <c r="AO277" i="1"/>
  <c r="AN226" i="22"/>
  <c r="D278" i="1"/>
  <c r="AL278" i="1"/>
  <c r="AI277" i="1"/>
  <c r="AH226" i="22" s="1"/>
  <c r="AJ277" i="1"/>
  <c r="AI226" i="22" s="1"/>
  <c r="AK277" i="1"/>
  <c r="AL226" i="22" s="1"/>
  <c r="AM277" i="1"/>
  <c r="AW277" i="1"/>
  <c r="AX277" i="1" s="1"/>
  <c r="AZ277" i="1" s="1"/>
  <c r="A279" i="1"/>
  <c r="AN278" i="1"/>
  <c r="AG225" i="22" l="1"/>
  <c r="AO226" i="22"/>
  <c r="AO278" i="1"/>
  <c r="AN227" i="22"/>
  <c r="D279" i="1"/>
  <c r="AL279" i="1"/>
  <c r="AI278" i="1"/>
  <c r="AH227" i="22" s="1"/>
  <c r="AJ278" i="1"/>
  <c r="AI227" i="22" s="1"/>
  <c r="AK278" i="1"/>
  <c r="AL227" i="22" s="1"/>
  <c r="AM278" i="1"/>
  <c r="AW278" i="1"/>
  <c r="AX278" i="1" s="1"/>
  <c r="AZ278" i="1" s="1"/>
  <c r="A280" i="1"/>
  <c r="AN279" i="1"/>
  <c r="AG226" i="22" l="1"/>
  <c r="AO227" i="22"/>
  <c r="AO279" i="1"/>
  <c r="AN228" i="22"/>
  <c r="D280" i="1"/>
  <c r="AL280" i="1"/>
  <c r="AI279" i="1"/>
  <c r="AH228" i="22" s="1"/>
  <c r="AJ279" i="1"/>
  <c r="AI228" i="22" s="1"/>
  <c r="AK279" i="1"/>
  <c r="AL228" i="22" s="1"/>
  <c r="AM279" i="1"/>
  <c r="AW279" i="1"/>
  <c r="AX279" i="1" s="1"/>
  <c r="AZ279" i="1" s="1"/>
  <c r="A281" i="1"/>
  <c r="AN280" i="1"/>
  <c r="AG227" i="22" l="1"/>
  <c r="AO228" i="22"/>
  <c r="AO280" i="1"/>
  <c r="AN229" i="22"/>
  <c r="D281" i="1"/>
  <c r="AL281" i="1"/>
  <c r="AI280" i="1"/>
  <c r="AH229" i="22" s="1"/>
  <c r="AJ280" i="1"/>
  <c r="AI229" i="22" s="1"/>
  <c r="AK280" i="1"/>
  <c r="AL229" i="22" s="1"/>
  <c r="AM280" i="1"/>
  <c r="AW280" i="1"/>
  <c r="AX280" i="1" s="1"/>
  <c r="AZ280" i="1" s="1"/>
  <c r="A282" i="1"/>
  <c r="AN281" i="1"/>
  <c r="AG228" i="22" l="1"/>
  <c r="AO229" i="22"/>
  <c r="AO281" i="1"/>
  <c r="AN230" i="22"/>
  <c r="D282" i="1"/>
  <c r="AL282" i="1"/>
  <c r="AI281" i="1"/>
  <c r="AH230" i="22" s="1"/>
  <c r="AJ281" i="1"/>
  <c r="AI230" i="22" s="1"/>
  <c r="AK281" i="1"/>
  <c r="AL230" i="22" s="1"/>
  <c r="AM281" i="1"/>
  <c r="AW281" i="1"/>
  <c r="AX281" i="1" s="1"/>
  <c r="AZ281" i="1" s="1"/>
  <c r="A283" i="1"/>
  <c r="AN282" i="1"/>
  <c r="AG229" i="22" l="1"/>
  <c r="AO230" i="22"/>
  <c r="AO282" i="1"/>
  <c r="AN231" i="22"/>
  <c r="D283" i="1"/>
  <c r="AL283" i="1"/>
  <c r="AI282" i="1"/>
  <c r="AH231" i="22" s="1"/>
  <c r="AJ282" i="1"/>
  <c r="AI231" i="22" s="1"/>
  <c r="AK282" i="1"/>
  <c r="AL231" i="22" s="1"/>
  <c r="AM282" i="1"/>
  <c r="AW282" i="1"/>
  <c r="AX282" i="1" s="1"/>
  <c r="AZ282" i="1" s="1"/>
  <c r="A284" i="1"/>
  <c r="AN283" i="1"/>
  <c r="AG230" i="22" l="1"/>
  <c r="AO231" i="22"/>
  <c r="AO283" i="1"/>
  <c r="AN232" i="22"/>
  <c r="AI283" i="1"/>
  <c r="AH232" i="22" s="1"/>
  <c r="AJ283" i="1"/>
  <c r="AI232" i="22" s="1"/>
  <c r="AK283" i="1"/>
  <c r="AL232" i="22" s="1"/>
  <c r="AM283" i="1"/>
  <c r="AW283" i="1"/>
  <c r="AX283" i="1" s="1"/>
  <c r="AZ283" i="1" s="1"/>
  <c r="A285" i="1"/>
  <c r="AN284" i="1"/>
  <c r="AG231" i="22" l="1"/>
  <c r="AO232" i="22"/>
  <c r="D285" i="1"/>
  <c r="AL285" i="1"/>
  <c r="AN233" i="22" s="1"/>
  <c r="A286" i="1"/>
  <c r="AI285" i="1" l="1"/>
  <c r="AH233" i="22" s="1"/>
  <c r="AJ285" i="1"/>
  <c r="AI233" i="22" s="1"/>
  <c r="AK285" i="1"/>
  <c r="AL233" i="22" s="1"/>
  <c r="AM285" i="1"/>
  <c r="AW285" i="1"/>
  <c r="AX285" i="1" s="1"/>
  <c r="AZ285" i="1" s="1"/>
  <c r="A287" i="1"/>
  <c r="AN286" i="1"/>
  <c r="AO233" i="22" l="1"/>
  <c r="D287" i="1"/>
  <c r="AL287" i="1"/>
  <c r="AN234" i="22" s="1"/>
  <c r="A288" i="1"/>
  <c r="AI287" i="1" l="1"/>
  <c r="AH234" i="22" s="1"/>
  <c r="AJ287" i="1"/>
  <c r="AI234" i="22" s="1"/>
  <c r="AK287" i="1"/>
  <c r="AL234" i="22" s="1"/>
  <c r="AM287" i="1"/>
  <c r="AW287" i="1"/>
  <c r="AX287" i="1" s="1"/>
  <c r="AZ287" i="1" s="1"/>
  <c r="A289" i="1"/>
  <c r="AN288" i="1"/>
  <c r="AO234" i="22" l="1"/>
  <c r="D289" i="1"/>
  <c r="AL289" i="1"/>
  <c r="A290" i="1"/>
  <c r="AO289" i="1" l="1"/>
  <c r="AN235" i="22"/>
  <c r="D290" i="1"/>
  <c r="AL290" i="1"/>
  <c r="AI289" i="1"/>
  <c r="AH235" i="22" s="1"/>
  <c r="AJ289" i="1"/>
  <c r="AI235" i="22" s="1"/>
  <c r="AK289" i="1"/>
  <c r="AL235" i="22" s="1"/>
  <c r="AM289" i="1"/>
  <c r="AW289" i="1"/>
  <c r="AX289" i="1" s="1"/>
  <c r="AZ289" i="1" s="1"/>
  <c r="A291" i="1"/>
  <c r="AN290" i="1"/>
  <c r="AO235" i="22" l="1"/>
  <c r="AO290" i="1"/>
  <c r="AN236" i="22"/>
  <c r="D291" i="1"/>
  <c r="AL291" i="1"/>
  <c r="AO291" i="1" s="1"/>
  <c r="AI290" i="1"/>
  <c r="AH236" i="22" s="1"/>
  <c r="AJ290" i="1"/>
  <c r="AI236" i="22" s="1"/>
  <c r="AK290" i="1"/>
  <c r="AL236" i="22" s="1"/>
  <c r="AM290" i="1"/>
  <c r="AW290" i="1"/>
  <c r="AX290" i="1" s="1"/>
  <c r="AZ290" i="1" s="1"/>
  <c r="A292" i="1"/>
  <c r="AN291" i="1"/>
  <c r="AG235" i="22" l="1"/>
  <c r="AO236" i="22"/>
  <c r="D292" i="1"/>
  <c r="AL292" i="1"/>
  <c r="AI291" i="1"/>
  <c r="AJ291" i="1"/>
  <c r="AK291" i="1"/>
  <c r="AM291" i="1"/>
  <c r="AW291" i="1"/>
  <c r="AX291" i="1" s="1"/>
  <c r="AZ291" i="1" s="1"/>
  <c r="AY291" i="1"/>
  <c r="A293" i="1"/>
  <c r="AO292" i="1" l="1"/>
  <c r="AN237" i="22"/>
  <c r="D293" i="1"/>
  <c r="AL293" i="1"/>
  <c r="AI292" i="1"/>
  <c r="AH237" i="22" s="1"/>
  <c r="AJ292" i="1"/>
  <c r="AI237" i="22" s="1"/>
  <c r="AK292" i="1"/>
  <c r="AL237" i="22" s="1"/>
  <c r="AM292" i="1"/>
  <c r="AW292" i="1"/>
  <c r="AX292" i="1" s="1"/>
  <c r="AZ292" i="1" s="1"/>
  <c r="AY292" i="1"/>
  <c r="A294" i="1"/>
  <c r="AN293" i="1"/>
  <c r="AO237" i="22" l="1"/>
  <c r="AO293" i="1"/>
  <c r="AN238" i="22"/>
  <c r="D294" i="1"/>
  <c r="AL294" i="1"/>
  <c r="AO294" i="1" s="1"/>
  <c r="AI293" i="1"/>
  <c r="AH238" i="22" s="1"/>
  <c r="AJ293" i="1"/>
  <c r="AI238" i="22" s="1"/>
  <c r="AK293" i="1"/>
  <c r="AL238" i="22" s="1"/>
  <c r="AM293" i="1"/>
  <c r="AW293" i="1"/>
  <c r="AX293" i="1" s="1"/>
  <c r="AZ293" i="1" s="1"/>
  <c r="AY293" i="1"/>
  <c r="A295" i="1"/>
  <c r="AG237" i="22" l="1"/>
  <c r="AG238" i="22"/>
  <c r="AO238" i="22"/>
  <c r="AG236" i="22"/>
  <c r="AG233" i="22"/>
  <c r="AG234" i="22"/>
  <c r="AG232" i="22"/>
  <c r="AG214" i="22"/>
  <c r="AG215" i="22"/>
  <c r="AG211" i="22"/>
  <c r="AG210" i="22"/>
  <c r="AG64" i="22"/>
  <c r="AG140" i="22"/>
  <c r="AG125" i="22"/>
  <c r="AG103" i="22"/>
  <c r="AG101" i="22"/>
  <c r="AG32" i="22"/>
  <c r="AG22" i="22"/>
  <c r="AG42" i="22"/>
  <c r="AG39" i="22"/>
  <c r="AG26" i="22"/>
  <c r="AG5" i="22"/>
  <c r="AG6" i="22"/>
  <c r="AG87" i="22"/>
  <c r="AG51" i="22"/>
  <c r="AG54" i="22"/>
  <c r="AG58" i="22"/>
  <c r="AG60" i="22"/>
  <c r="AG62" i="22"/>
  <c r="AG57" i="22"/>
  <c r="AG44" i="22"/>
  <c r="AG47" i="22"/>
  <c r="AG48" i="22"/>
  <c r="AG49" i="22"/>
  <c r="AG50" i="22"/>
  <c r="AG76" i="22"/>
  <c r="AG154" i="22"/>
  <c r="AG170" i="22"/>
  <c r="AG203" i="22"/>
  <c r="D295" i="1"/>
  <c r="AL295" i="1"/>
  <c r="AO295" i="1" s="1"/>
  <c r="AI294" i="1"/>
  <c r="AJ294" i="1"/>
  <c r="AK294" i="1"/>
  <c r="AM294" i="1"/>
  <c r="AW294" i="1"/>
  <c r="AX294" i="1" s="1"/>
  <c r="AZ294" i="1" s="1"/>
  <c r="AY294" i="1"/>
  <c r="A296" i="1"/>
  <c r="AN295" i="1"/>
  <c r="D296" i="1" l="1"/>
  <c r="AL296" i="1"/>
  <c r="AO296" i="1" s="1"/>
  <c r="AI295" i="1"/>
  <c r="AJ295" i="1"/>
  <c r="AK295" i="1"/>
  <c r="AM295" i="1"/>
  <c r="AW295" i="1"/>
  <c r="AX295" i="1" s="1"/>
  <c r="AZ295" i="1" s="1"/>
  <c r="AY295" i="1"/>
  <c r="A297" i="1"/>
  <c r="AN296" i="1"/>
  <c r="D297" i="1" l="1"/>
  <c r="AL297" i="1"/>
  <c r="AO297" i="1" s="1"/>
  <c r="AI296" i="1"/>
  <c r="AJ296" i="1"/>
  <c r="AK296" i="1"/>
  <c r="AM296" i="1"/>
  <c r="AW296" i="1"/>
  <c r="AX296" i="1" s="1"/>
  <c r="AZ296" i="1" s="1"/>
  <c r="AY296" i="1"/>
  <c r="A298" i="1"/>
  <c r="AN297" i="1"/>
  <c r="AI297" i="1" l="1"/>
  <c r="AJ297" i="1"/>
  <c r="AK297" i="1"/>
  <c r="AM297" i="1"/>
  <c r="AW297" i="1"/>
  <c r="AX297" i="1" s="1"/>
  <c r="AZ297" i="1" s="1"/>
  <c r="AY297" i="1"/>
  <c r="A299" i="1"/>
  <c r="AN298" i="1"/>
  <c r="D299" i="1" l="1"/>
  <c r="AL299" i="1"/>
  <c r="AO299" i="1" s="1"/>
  <c r="A300" i="1"/>
  <c r="AI299" i="1" l="1"/>
  <c r="AJ299" i="1"/>
  <c r="AK299" i="1"/>
  <c r="AM299" i="1"/>
  <c r="AW299" i="1"/>
  <c r="AX299" i="1" s="1"/>
  <c r="AZ299" i="1" s="1"/>
  <c r="AY299" i="1"/>
  <c r="A301" i="1"/>
  <c r="AN300" i="1"/>
  <c r="D301" i="1" l="1"/>
  <c r="AL301" i="1"/>
  <c r="AO301" i="1" s="1"/>
  <c r="A302" i="1"/>
  <c r="D302" i="1" l="1"/>
  <c r="AL302" i="1"/>
  <c r="AO302" i="1" s="1"/>
  <c r="AI301" i="1"/>
  <c r="AJ301" i="1"/>
  <c r="AK301" i="1"/>
  <c r="AM301" i="1"/>
  <c r="AW301" i="1"/>
  <c r="AX301" i="1" s="1"/>
  <c r="AZ301" i="1" s="1"/>
  <c r="AY301" i="1"/>
  <c r="A303" i="1"/>
  <c r="AN302" i="1"/>
  <c r="D303" i="1" l="1"/>
  <c r="AL303" i="1"/>
  <c r="AO303" i="1" s="1"/>
  <c r="AI302" i="1"/>
  <c r="AJ302" i="1"/>
  <c r="AK302" i="1"/>
  <c r="AM302" i="1"/>
  <c r="AW302" i="1"/>
  <c r="AX302" i="1" s="1"/>
  <c r="AZ302" i="1" s="1"/>
  <c r="AY302" i="1"/>
  <c r="A304" i="1"/>
  <c r="AN303" i="1"/>
  <c r="AI303" i="1" l="1"/>
  <c r="AJ303" i="1"/>
  <c r="AK303" i="1"/>
  <c r="AM303" i="1"/>
  <c r="AW303" i="1"/>
  <c r="AX303" i="1" s="1"/>
  <c r="AZ303" i="1" s="1"/>
  <c r="AY303" i="1"/>
  <c r="A305" i="1"/>
  <c r="AN304" i="1"/>
  <c r="D305" i="1" l="1"/>
  <c r="AL305" i="1"/>
  <c r="AO305" i="1" s="1"/>
  <c r="A306" i="1"/>
  <c r="D306" i="1" l="1"/>
  <c r="AL306" i="1"/>
  <c r="AO306" i="1" s="1"/>
  <c r="AI305" i="1"/>
  <c r="AJ305" i="1"/>
  <c r="AK305" i="1"/>
  <c r="AM305" i="1"/>
  <c r="AW305" i="1"/>
  <c r="AX305" i="1" s="1"/>
  <c r="AZ305" i="1" s="1"/>
  <c r="AY305" i="1"/>
  <c r="A307" i="1"/>
  <c r="AN306" i="1"/>
  <c r="AI306" i="1" l="1"/>
  <c r="AJ306" i="1"/>
  <c r="AK306" i="1"/>
  <c r="AM306" i="1"/>
  <c r="AW306" i="1"/>
  <c r="AX306" i="1" s="1"/>
  <c r="AZ306" i="1" s="1"/>
  <c r="AY306" i="1"/>
  <c r="A308" i="1"/>
  <c r="AN307" i="1"/>
  <c r="D308" i="1" l="1"/>
  <c r="AL308" i="1"/>
  <c r="AO308" i="1" s="1"/>
  <c r="A309" i="1"/>
  <c r="D309" i="1" l="1"/>
  <c r="AL309" i="1"/>
  <c r="AO309" i="1" s="1"/>
  <c r="AI308" i="1"/>
  <c r="AJ308" i="1"/>
  <c r="AK308" i="1"/>
  <c r="AM308" i="1"/>
  <c r="AW308" i="1"/>
  <c r="AX308" i="1" s="1"/>
  <c r="AZ308" i="1" s="1"/>
  <c r="AY308" i="1"/>
  <c r="A310" i="1"/>
  <c r="AN309" i="1"/>
  <c r="AI309" i="1" l="1"/>
  <c r="AJ309" i="1"/>
  <c r="AK309" i="1"/>
  <c r="AM309" i="1"/>
  <c r="AW309" i="1"/>
  <c r="AX309" i="1" s="1"/>
  <c r="AZ309" i="1" s="1"/>
  <c r="AY309" i="1"/>
  <c r="A311" i="1"/>
  <c r="AN310" i="1"/>
  <c r="D311" i="1" l="1"/>
  <c r="AL311" i="1"/>
  <c r="AO311" i="1" s="1"/>
  <c r="A312" i="1"/>
  <c r="D312" i="1" l="1"/>
  <c r="AL312" i="1"/>
  <c r="AO312" i="1" s="1"/>
  <c r="AI311" i="1"/>
  <c r="AJ311" i="1"/>
  <c r="AK311" i="1"/>
  <c r="AM311" i="1"/>
  <c r="AW311" i="1"/>
  <c r="AX311" i="1" s="1"/>
  <c r="AZ311" i="1" s="1"/>
  <c r="AY311" i="1"/>
  <c r="A313" i="1"/>
  <c r="AN312" i="1"/>
  <c r="D313" i="1" l="1"/>
  <c r="AL313" i="1"/>
  <c r="AO313" i="1" s="1"/>
  <c r="AI312" i="1"/>
  <c r="AJ312" i="1"/>
  <c r="AK312" i="1"/>
  <c r="AM312" i="1"/>
  <c r="AW312" i="1"/>
  <c r="AX312" i="1" s="1"/>
  <c r="AZ312" i="1" s="1"/>
  <c r="AY312" i="1"/>
  <c r="A314" i="1"/>
  <c r="AN313" i="1"/>
  <c r="D314" i="1" l="1"/>
  <c r="AL314" i="1"/>
  <c r="AO314" i="1" s="1"/>
  <c r="AI313" i="1"/>
  <c r="AJ313" i="1"/>
  <c r="AK313" i="1"/>
  <c r="AM313" i="1"/>
  <c r="AW313" i="1"/>
  <c r="AX313" i="1" s="1"/>
  <c r="AZ313" i="1" s="1"/>
  <c r="AY313" i="1"/>
  <c r="A315" i="1"/>
  <c r="AN314" i="1"/>
  <c r="D315" i="1" l="1"/>
  <c r="AL315" i="1"/>
  <c r="AO315" i="1" s="1"/>
  <c r="AI314" i="1"/>
  <c r="AJ314" i="1"/>
  <c r="AK314" i="1"/>
  <c r="AM314" i="1"/>
  <c r="AW314" i="1"/>
  <c r="AX314" i="1" s="1"/>
  <c r="AZ314" i="1" s="1"/>
  <c r="AY314" i="1"/>
  <c r="A316" i="1"/>
  <c r="AN315" i="1"/>
  <c r="D316" i="1" l="1"/>
  <c r="AL316" i="1"/>
  <c r="AO316" i="1" s="1"/>
  <c r="AI315" i="1"/>
  <c r="AJ315" i="1"/>
  <c r="AK315" i="1"/>
  <c r="AM315" i="1"/>
  <c r="AW315" i="1"/>
  <c r="AX315" i="1" s="1"/>
  <c r="AZ315" i="1" s="1"/>
  <c r="AY315" i="1"/>
  <c r="A317" i="1"/>
  <c r="AN316" i="1"/>
  <c r="AI316" i="1" l="1"/>
  <c r="AJ316" i="1"/>
  <c r="AK316" i="1"/>
  <c r="AM316" i="1"/>
  <c r="AW316" i="1"/>
  <c r="AX316" i="1" s="1"/>
  <c r="AZ316" i="1" s="1"/>
  <c r="AY316" i="1"/>
  <c r="A318" i="1"/>
  <c r="AN317" i="1"/>
  <c r="D318" i="1" l="1"/>
  <c r="AL318" i="1"/>
  <c r="AO318" i="1" s="1"/>
  <c r="A319" i="1"/>
  <c r="D319" i="1" l="1"/>
  <c r="AL319" i="1"/>
  <c r="AO319" i="1" s="1"/>
  <c r="AI318" i="1"/>
  <c r="AJ318" i="1"/>
  <c r="AK318" i="1"/>
  <c r="AM318" i="1"/>
  <c r="AW318" i="1"/>
  <c r="AX318" i="1" s="1"/>
  <c r="AZ318" i="1" s="1"/>
  <c r="AY318" i="1"/>
  <c r="A320" i="1"/>
  <c r="AN319" i="1"/>
  <c r="AI319" i="1" l="1"/>
  <c r="AJ319" i="1"/>
  <c r="AK319" i="1"/>
  <c r="AM319" i="1"/>
  <c r="AW319" i="1"/>
  <c r="AX319" i="1" s="1"/>
  <c r="AZ319" i="1" s="1"/>
  <c r="AY319" i="1"/>
  <c r="A321" i="1"/>
  <c r="AN320" i="1"/>
  <c r="D321" i="1" l="1"/>
  <c r="AL321" i="1"/>
  <c r="AO321" i="1" s="1"/>
  <c r="A322" i="1"/>
  <c r="AN321" i="1"/>
  <c r="AN292" i="1" l="1"/>
  <c r="B292" i="1" s="1"/>
  <c r="AE293" i="1"/>
  <c r="AF293" i="1"/>
  <c r="AE321" i="1"/>
  <c r="AF321" i="1"/>
  <c r="AI321" i="1"/>
  <c r="B321" i="1" s="1"/>
  <c r="AJ321" i="1"/>
  <c r="AK321" i="1"/>
  <c r="AM321" i="1"/>
  <c r="AW321" i="1"/>
  <c r="AX321" i="1" s="1"/>
  <c r="AZ321" i="1" s="1"/>
  <c r="AY321" i="1"/>
  <c r="AE318" i="1"/>
  <c r="AF318" i="1"/>
  <c r="AE315" i="1"/>
  <c r="AF315" i="1"/>
  <c r="AE313" i="1"/>
  <c r="AF313" i="1"/>
  <c r="AE311" i="1"/>
  <c r="AF311" i="1"/>
  <c r="AE308" i="1"/>
  <c r="AF308" i="1"/>
  <c r="AE305" i="1"/>
  <c r="AF305" i="1"/>
  <c r="AE302" i="1"/>
  <c r="AF302" i="1"/>
  <c r="AN301" i="1"/>
  <c r="B301" i="1" s="1"/>
  <c r="AE303" i="1"/>
  <c r="AF303" i="1"/>
  <c r="AE301" i="1"/>
  <c r="AF301" i="1"/>
  <c r="AN299" i="1"/>
  <c r="B299" i="1" s="1"/>
  <c r="AE299" i="1"/>
  <c r="AF299" i="1"/>
  <c r="AE296" i="1"/>
  <c r="AF296" i="1"/>
  <c r="AE294" i="1"/>
  <c r="AF294" i="1"/>
  <c r="AE292" i="1"/>
  <c r="AF292" i="1"/>
  <c r="AE290" i="1"/>
  <c r="AF290" i="1"/>
  <c r="AN289" i="1"/>
  <c r="B289" i="1" s="1"/>
  <c r="AN294" i="1"/>
  <c r="B294" i="1" s="1"/>
  <c r="AE297" i="1"/>
  <c r="AF297" i="1"/>
  <c r="AE295" i="1"/>
  <c r="AF295" i="1"/>
  <c r="AE291" i="1"/>
  <c r="AF291" i="1"/>
  <c r="AE289" i="1"/>
  <c r="AF289" i="1"/>
  <c r="AN287" i="1"/>
  <c r="B287" i="1" s="1"/>
  <c r="AE287" i="1"/>
  <c r="AF287" i="1"/>
  <c r="AN285" i="1"/>
  <c r="B285" i="1" s="1"/>
  <c r="AE285" i="1"/>
  <c r="AF285" i="1"/>
  <c r="AE282" i="1"/>
  <c r="AF282" i="1"/>
  <c r="AE280" i="1"/>
  <c r="AF280" i="1"/>
  <c r="AE278" i="1"/>
  <c r="AF278" i="1"/>
  <c r="AE276" i="1"/>
  <c r="AF276" i="1"/>
  <c r="AE274" i="1"/>
  <c r="AF274" i="1"/>
  <c r="AE272" i="1"/>
  <c r="AF272" i="1"/>
  <c r="AE270" i="1"/>
  <c r="AF270" i="1"/>
  <c r="AE268" i="1"/>
  <c r="AF268" i="1"/>
  <c r="AN267" i="1"/>
  <c r="B267" i="1" s="1"/>
  <c r="AE283" i="1"/>
  <c r="AF283" i="1"/>
  <c r="AE281" i="1"/>
  <c r="AF281" i="1"/>
  <c r="AE279" i="1"/>
  <c r="AF279" i="1"/>
  <c r="AE277" i="1"/>
  <c r="AF277" i="1"/>
  <c r="AE275" i="1"/>
  <c r="AF275" i="1"/>
  <c r="AE273" i="1"/>
  <c r="AF273" i="1"/>
  <c r="AE271" i="1"/>
  <c r="AF271" i="1"/>
  <c r="AE269" i="1"/>
  <c r="AF269" i="1"/>
  <c r="AE267" i="1"/>
  <c r="AF267" i="1"/>
  <c r="AN265" i="1"/>
  <c r="B265" i="1" s="1"/>
  <c r="AE265" i="1"/>
  <c r="AF265" i="1"/>
  <c r="AE262" i="1"/>
  <c r="AF262" i="1"/>
  <c r="AN261" i="1"/>
  <c r="B261" i="1" s="1"/>
  <c r="AE151" i="1"/>
  <c r="AF151" i="1"/>
  <c r="AE263" i="1"/>
  <c r="AF263" i="1"/>
  <c r="AE261" i="1"/>
  <c r="AF261" i="1"/>
  <c r="AN259" i="1"/>
  <c r="B259" i="1" s="1"/>
  <c r="AE259" i="1"/>
  <c r="AF259" i="1"/>
  <c r="AN257" i="1"/>
  <c r="B257" i="1" s="1"/>
  <c r="AE257" i="1"/>
  <c r="AF257" i="1"/>
  <c r="AE254" i="1"/>
  <c r="AF254" i="1"/>
  <c r="AE252" i="1"/>
  <c r="AF252" i="1"/>
  <c r="AE249" i="1"/>
  <c r="AF249" i="1"/>
  <c r="AE246" i="1"/>
  <c r="AF246" i="1"/>
  <c r="AE244" i="1"/>
  <c r="AF244" i="1"/>
  <c r="AE241" i="1"/>
  <c r="AF241" i="1"/>
  <c r="AE239" i="1"/>
  <c r="AF239" i="1"/>
  <c r="AE237" i="1"/>
  <c r="AF237" i="1"/>
  <c r="AE235" i="1"/>
  <c r="AF235" i="1"/>
  <c r="AN234" i="1"/>
  <c r="B234" i="1" s="1"/>
  <c r="AE242" i="1"/>
  <c r="AF242" i="1"/>
  <c r="AE240" i="1"/>
  <c r="AF240" i="1"/>
  <c r="AE238" i="1"/>
  <c r="AF238" i="1"/>
  <c r="AE236" i="1"/>
  <c r="AF236" i="1"/>
  <c r="AE234" i="1"/>
  <c r="AF234" i="1"/>
  <c r="AE232" i="1"/>
  <c r="AF232" i="1"/>
  <c r="AE229" i="1"/>
  <c r="AF229" i="1"/>
  <c r="AE227" i="1"/>
  <c r="AF227" i="1"/>
  <c r="AE224" i="1"/>
  <c r="AF224" i="1"/>
  <c r="AE222" i="1"/>
  <c r="AF222" i="1"/>
  <c r="AE220" i="1"/>
  <c r="AF220" i="1"/>
  <c r="AE218" i="1"/>
  <c r="AF218" i="1"/>
  <c r="AE216" i="1"/>
  <c r="AF216" i="1"/>
  <c r="AE213" i="1"/>
  <c r="AF213" i="1"/>
  <c r="AE210" i="1"/>
  <c r="AF210" i="1"/>
  <c r="AN209" i="1"/>
  <c r="B209" i="1" s="1"/>
  <c r="AE211" i="1"/>
  <c r="AF211" i="1"/>
  <c r="AE209" i="1"/>
  <c r="AF209" i="1"/>
  <c r="AE206" i="1"/>
  <c r="AF206" i="1"/>
  <c r="AE204" i="1"/>
  <c r="AF204" i="1"/>
  <c r="AE202" i="1"/>
  <c r="AF202" i="1"/>
  <c r="AE200" i="1"/>
  <c r="AF200" i="1"/>
  <c r="AE198" i="1"/>
  <c r="AF198" i="1"/>
  <c r="AE196" i="1"/>
  <c r="AF196" i="1"/>
  <c r="AE194" i="1"/>
  <c r="AF194" i="1"/>
  <c r="AE192" i="1"/>
  <c r="AF192" i="1"/>
  <c r="AE189" i="1"/>
  <c r="AF189" i="1"/>
  <c r="AE187" i="1"/>
  <c r="AF187" i="1"/>
  <c r="AE185" i="1"/>
  <c r="AF185" i="1"/>
  <c r="AE183" i="1"/>
  <c r="AF183" i="1"/>
  <c r="AE181" i="1"/>
  <c r="AF181" i="1"/>
  <c r="AE179" i="1"/>
  <c r="AF179" i="1"/>
  <c r="AE177" i="1"/>
  <c r="AF177" i="1"/>
  <c r="AE173" i="1"/>
  <c r="AF173" i="1"/>
  <c r="AE171" i="1"/>
  <c r="AF171" i="1"/>
  <c r="AE169" i="1"/>
  <c r="AF169" i="1"/>
  <c r="AE167" i="1"/>
  <c r="AF167" i="1"/>
  <c r="AE165" i="1"/>
  <c r="AF165" i="1"/>
  <c r="AE163" i="1"/>
  <c r="AF163" i="1"/>
  <c r="AE161" i="1"/>
  <c r="AF161" i="1"/>
  <c r="AN160" i="1"/>
  <c r="B160" i="1" s="1"/>
  <c r="AN176" i="1"/>
  <c r="B176" i="1" s="1"/>
  <c r="AE190" i="1"/>
  <c r="AF190" i="1"/>
  <c r="AE188" i="1"/>
  <c r="AF188" i="1"/>
  <c r="AE186" i="1"/>
  <c r="AF186" i="1"/>
  <c r="AE184" i="1"/>
  <c r="AF184" i="1"/>
  <c r="AE182" i="1"/>
  <c r="AF182" i="1"/>
  <c r="AE180" i="1"/>
  <c r="AF180" i="1"/>
  <c r="AE178" i="1"/>
  <c r="AF178" i="1"/>
  <c r="AE176" i="1"/>
  <c r="AF176" i="1"/>
  <c r="AE174" i="1"/>
  <c r="AF174" i="1"/>
  <c r="AE172" i="1"/>
  <c r="AF172" i="1"/>
  <c r="AE170" i="1"/>
  <c r="AF170" i="1"/>
  <c r="AN232" i="1"/>
  <c r="B232" i="1" s="1"/>
  <c r="AE168" i="1"/>
  <c r="AF168" i="1"/>
  <c r="AE166" i="1"/>
  <c r="AF166" i="1"/>
  <c r="AE164" i="1"/>
  <c r="AF164" i="1"/>
  <c r="AE162" i="1"/>
  <c r="AF162" i="1"/>
  <c r="AE160" i="1"/>
  <c r="AF160" i="1"/>
  <c r="AE157" i="1"/>
  <c r="AF157" i="1"/>
  <c r="AE155" i="1"/>
  <c r="AF155" i="1"/>
  <c r="AE153" i="1"/>
  <c r="AF153" i="1"/>
  <c r="AE149" i="1"/>
  <c r="AF149" i="1"/>
  <c r="AE147" i="1"/>
  <c r="AF147" i="1"/>
  <c r="AE144" i="1"/>
  <c r="AF144" i="1"/>
  <c r="AN143" i="1"/>
  <c r="B143" i="1" s="1"/>
  <c r="AE145" i="1"/>
  <c r="AF145" i="1"/>
  <c r="AE143" i="1"/>
  <c r="AF143" i="1"/>
  <c r="AE140" i="1"/>
  <c r="AF140" i="1"/>
  <c r="AE138" i="1"/>
  <c r="AF138" i="1"/>
  <c r="AE136" i="1"/>
  <c r="AF136" i="1"/>
  <c r="AE135" i="1"/>
  <c r="AF135" i="1"/>
  <c r="AE132" i="1"/>
  <c r="AF132" i="1"/>
  <c r="AE129" i="1"/>
  <c r="AF129" i="1"/>
  <c r="AE127" i="1"/>
  <c r="AF127" i="1"/>
  <c r="AN126" i="1"/>
  <c r="B126" i="1" s="1"/>
  <c r="AE130" i="1"/>
  <c r="AF130" i="1"/>
  <c r="AE128" i="1"/>
  <c r="AF128" i="1"/>
  <c r="AE126" i="1"/>
  <c r="AF126" i="1"/>
  <c r="AE123" i="1"/>
  <c r="AF123" i="1"/>
  <c r="AE121" i="1"/>
  <c r="AF121" i="1"/>
  <c r="AN120" i="1"/>
  <c r="B120" i="1" s="1"/>
  <c r="AE124" i="1"/>
  <c r="AF124" i="1"/>
  <c r="AE122" i="1"/>
  <c r="AF122" i="1"/>
  <c r="AE120" i="1"/>
  <c r="AF120" i="1"/>
  <c r="AN118" i="1"/>
  <c r="B118" i="1" s="1"/>
  <c r="AE118" i="1"/>
  <c r="AF118" i="1"/>
  <c r="AN116" i="1"/>
  <c r="B116" i="1" s="1"/>
  <c r="AE116" i="1"/>
  <c r="AF116" i="1"/>
  <c r="AE113" i="1"/>
  <c r="AF113" i="1"/>
  <c r="AE110" i="1"/>
  <c r="AF110" i="1"/>
  <c r="AE108" i="1"/>
  <c r="AF108" i="1"/>
  <c r="AE105" i="1"/>
  <c r="AF105" i="1"/>
  <c r="AN103" i="1"/>
  <c r="B103" i="1" s="1"/>
  <c r="AE103" i="1"/>
  <c r="AF103" i="1"/>
  <c r="AE100" i="1"/>
  <c r="AF100" i="1"/>
  <c r="AE98" i="1"/>
  <c r="AF98" i="1"/>
  <c r="AE88" i="1"/>
  <c r="AF88" i="1"/>
  <c r="AE89" i="1"/>
  <c r="AF89" i="1"/>
  <c r="AE87" i="1"/>
  <c r="AF87" i="1"/>
  <c r="AE76" i="1"/>
  <c r="AF76" i="1"/>
  <c r="AN75" i="1"/>
  <c r="B75" i="1" s="1"/>
  <c r="AE75" i="1"/>
  <c r="AF75" i="1"/>
  <c r="AN73" i="1"/>
  <c r="B73" i="1" s="1"/>
  <c r="AE73" i="1"/>
  <c r="AF73" i="1"/>
  <c r="AE71" i="1"/>
  <c r="AF71" i="1"/>
  <c r="AE70" i="1"/>
  <c r="AF70" i="1"/>
  <c r="AN69" i="1"/>
  <c r="B69" i="1" s="1"/>
  <c r="AE69" i="1"/>
  <c r="AF69" i="1"/>
  <c r="AE96" i="1"/>
  <c r="AF96" i="1"/>
  <c r="AN95" i="1"/>
  <c r="B95" i="1" s="1"/>
  <c r="AE95" i="1"/>
  <c r="AF95" i="1"/>
  <c r="AE92" i="1"/>
  <c r="AF92" i="1"/>
  <c r="AE90" i="1"/>
  <c r="AF90" i="1"/>
  <c r="AE86" i="1"/>
  <c r="AF86" i="1"/>
  <c r="AE84" i="1"/>
  <c r="AF84" i="1"/>
  <c r="AE81" i="1"/>
  <c r="AF81" i="1"/>
  <c r="AE78" i="1"/>
  <c r="AF78" i="1"/>
  <c r="AE66" i="1"/>
  <c r="AF66" i="1"/>
  <c r="AN65" i="1"/>
  <c r="B65" i="1" s="1"/>
  <c r="AE67" i="1"/>
  <c r="AF67" i="1"/>
  <c r="AE65" i="1"/>
  <c r="AF65" i="1"/>
  <c r="AN63" i="1"/>
  <c r="B63" i="1" s="1"/>
  <c r="AE63" i="1"/>
  <c r="AF63" i="1"/>
  <c r="AN61" i="1"/>
  <c r="B61" i="1" s="1"/>
  <c r="AE59" i="1"/>
  <c r="AF59" i="1"/>
  <c r="AE61" i="1"/>
  <c r="AF61" i="1"/>
  <c r="AN59" i="1"/>
  <c r="B59" i="1" s="1"/>
  <c r="AE57" i="1"/>
  <c r="AF57" i="1"/>
  <c r="AE54" i="1"/>
  <c r="AF54" i="1"/>
  <c r="AE53" i="1"/>
  <c r="AF53" i="1"/>
  <c r="AN50" i="1"/>
  <c r="B50" i="1" s="1"/>
  <c r="AE51" i="1"/>
  <c r="AF51" i="1"/>
  <c r="AE50" i="1"/>
  <c r="AF50" i="1"/>
  <c r="AN53" i="1"/>
  <c r="B53" i="1" s="1"/>
  <c r="AE55" i="1"/>
  <c r="AF55" i="1"/>
  <c r="AN57" i="1"/>
  <c r="B57" i="1" s="1"/>
  <c r="AE79" i="1"/>
  <c r="AF79" i="1"/>
  <c r="AN78" i="1"/>
  <c r="B78" i="1" s="1"/>
  <c r="AN3" i="1"/>
  <c r="AE82" i="1"/>
  <c r="AF82" i="1"/>
  <c r="AN81" i="1"/>
  <c r="B81" i="1" s="1"/>
  <c r="AE46" i="1"/>
  <c r="AF46" i="1"/>
  <c r="AN46" i="1"/>
  <c r="B46" i="1" s="1"/>
  <c r="AE40" i="1"/>
  <c r="AF40" i="1"/>
  <c r="AN31" i="1"/>
  <c r="B31" i="1" s="1"/>
  <c r="AN38" i="1"/>
  <c r="B38" i="1" s="1"/>
  <c r="AE29" i="1"/>
  <c r="AF29" i="1"/>
  <c r="AN25" i="1"/>
  <c r="B25" i="1" s="1"/>
  <c r="AN28" i="1"/>
  <c r="B28" i="1" s="1"/>
  <c r="AF23" i="1"/>
  <c r="AE23" i="1"/>
  <c r="AE17" i="1"/>
  <c r="AF17" i="1"/>
  <c r="AE9" i="1"/>
  <c r="AF9" i="1"/>
  <c r="AE11" i="1"/>
  <c r="AF11" i="1"/>
  <c r="AN6" i="1"/>
  <c r="B6" i="1" s="1"/>
  <c r="AN8" i="1"/>
  <c r="B8" i="1" s="1"/>
  <c r="AN4" i="1"/>
  <c r="B4" i="1" s="1"/>
  <c r="AF16" i="1"/>
  <c r="AE32" i="1"/>
  <c r="AE48" i="1"/>
  <c r="AF47" i="1"/>
  <c r="AE12" i="1"/>
  <c r="AE35" i="1"/>
  <c r="AE15" i="1"/>
  <c r="AF32" i="1"/>
  <c r="AF10" i="1"/>
  <c r="AE14" i="1"/>
  <c r="AF33" i="1"/>
  <c r="AE16" i="1"/>
  <c r="AF35" i="1"/>
  <c r="AF8" i="1"/>
  <c r="AE20" i="1"/>
  <c r="AF34" i="1"/>
  <c r="AF12" i="1"/>
  <c r="AE33" i="1"/>
  <c r="AF20" i="1"/>
  <c r="AE34" i="1"/>
  <c r="AF48" i="1"/>
  <c r="AF25" i="1"/>
  <c r="AE47" i="1"/>
  <c r="AE13" i="1"/>
  <c r="AE22" i="1"/>
  <c r="AE8" i="1"/>
  <c r="AE18" i="1"/>
  <c r="AF38" i="1"/>
  <c r="AF18" i="1"/>
  <c r="AF4" i="1"/>
  <c r="AF6" i="1"/>
  <c r="AE44" i="1"/>
  <c r="AF28" i="1"/>
  <c r="AF42" i="1"/>
  <c r="AE6" i="1"/>
  <c r="AE19" i="1"/>
  <c r="AE41" i="1"/>
  <c r="AE28" i="1"/>
  <c r="AF43" i="1"/>
  <c r="AE10" i="1"/>
  <c r="AF22" i="1"/>
  <c r="AF36" i="1"/>
  <c r="AE21" i="1"/>
  <c r="AE26" i="1"/>
  <c r="AF39" i="1"/>
  <c r="AF44" i="1"/>
  <c r="AE4" i="1"/>
  <c r="AF31" i="1"/>
  <c r="AE31" i="1"/>
  <c r="AE43" i="1"/>
  <c r="AF13" i="1"/>
  <c r="AE39" i="1"/>
  <c r="AE38" i="1"/>
  <c r="AF14" i="1"/>
  <c r="AE36" i="1"/>
  <c r="AE25" i="1"/>
  <c r="AF19" i="1"/>
  <c r="AE42" i="1"/>
  <c r="AF26" i="1"/>
  <c r="AF15" i="1"/>
  <c r="AF21" i="1"/>
  <c r="AF41" i="1"/>
  <c r="AE93" i="1"/>
  <c r="AF93" i="1"/>
  <c r="AE91" i="1"/>
  <c r="AF91" i="1"/>
  <c r="AE85" i="1"/>
  <c r="AF85" i="1"/>
  <c r="AN84" i="1"/>
  <c r="B84" i="1" s="1"/>
  <c r="AE101" i="1"/>
  <c r="AF101" i="1"/>
  <c r="AE99" i="1"/>
  <c r="AF99" i="1"/>
  <c r="AN135" i="1"/>
  <c r="B135" i="1" s="1"/>
  <c r="AE141" i="1"/>
  <c r="AF141" i="1"/>
  <c r="AE139" i="1"/>
  <c r="AF139" i="1"/>
  <c r="AE137" i="1"/>
  <c r="AF137" i="1"/>
  <c r="AN98" i="1"/>
  <c r="B98" i="1" s="1"/>
  <c r="AE106" i="1"/>
  <c r="AF106" i="1"/>
  <c r="AN105" i="1"/>
  <c r="B105" i="1" s="1"/>
  <c r="AE111" i="1"/>
  <c r="AF111" i="1"/>
  <c r="AE109" i="1"/>
  <c r="AF109" i="1"/>
  <c r="AN108" i="1"/>
  <c r="B108" i="1" s="1"/>
  <c r="AE114" i="1"/>
  <c r="AF114" i="1"/>
  <c r="AN113" i="1"/>
  <c r="B113" i="1" s="1"/>
  <c r="AE133" i="1"/>
  <c r="AF133" i="1"/>
  <c r="AN132" i="1"/>
  <c r="B132" i="1" s="1"/>
  <c r="AE158" i="1"/>
  <c r="AF158" i="1"/>
  <c r="AE156" i="1"/>
  <c r="AF156" i="1"/>
  <c r="AE154" i="1"/>
  <c r="AF154" i="1"/>
  <c r="AE152" i="1"/>
  <c r="AF152" i="1"/>
  <c r="AE150" i="1"/>
  <c r="AF150" i="1"/>
  <c r="AE148" i="1"/>
  <c r="AF148" i="1"/>
  <c r="AN147" i="1"/>
  <c r="B147" i="1" s="1"/>
  <c r="AE207" i="1"/>
  <c r="AF207" i="1"/>
  <c r="AE205" i="1"/>
  <c r="AF205" i="1"/>
  <c r="AE203" i="1"/>
  <c r="AF203" i="1"/>
  <c r="AE201" i="1"/>
  <c r="AF201" i="1"/>
  <c r="AE199" i="1"/>
  <c r="AF199" i="1"/>
  <c r="AE197" i="1"/>
  <c r="AF197" i="1"/>
  <c r="AE195" i="1"/>
  <c r="AF195" i="1"/>
  <c r="AE193" i="1"/>
  <c r="AF193" i="1"/>
  <c r="AN192" i="1"/>
  <c r="B192" i="1" s="1"/>
  <c r="AE214" i="1"/>
  <c r="AF214" i="1"/>
  <c r="AN213" i="1"/>
  <c r="B213" i="1" s="1"/>
  <c r="AN216" i="1"/>
  <c r="B216" i="1" s="1"/>
  <c r="AE225" i="1"/>
  <c r="AF225" i="1"/>
  <c r="AE223" i="1"/>
  <c r="AF223" i="1"/>
  <c r="AE221" i="1"/>
  <c r="AF221" i="1"/>
  <c r="AE219" i="1"/>
  <c r="AF219" i="1"/>
  <c r="AE217" i="1"/>
  <c r="AF217" i="1"/>
  <c r="AE230" i="1"/>
  <c r="AF230" i="1"/>
  <c r="AE228" i="1"/>
  <c r="AF228" i="1"/>
  <c r="AN227" i="1"/>
  <c r="B227" i="1" s="1"/>
  <c r="AE247" i="1"/>
  <c r="AF247" i="1"/>
  <c r="AE245" i="1"/>
  <c r="AF245" i="1"/>
  <c r="AN244" i="1"/>
  <c r="B244" i="1" s="1"/>
  <c r="AE250" i="1"/>
  <c r="AF250" i="1"/>
  <c r="AN249" i="1"/>
  <c r="B249" i="1" s="1"/>
  <c r="AE255" i="1"/>
  <c r="AF255" i="1"/>
  <c r="AE253" i="1"/>
  <c r="AF253" i="1"/>
  <c r="AN252" i="1"/>
  <c r="B252" i="1" s="1"/>
  <c r="AE306" i="1"/>
  <c r="AF306" i="1"/>
  <c r="AN305" i="1"/>
  <c r="B305" i="1" s="1"/>
  <c r="AE309" i="1"/>
  <c r="AF309" i="1"/>
  <c r="AN308" i="1"/>
  <c r="B308" i="1" s="1"/>
  <c r="AE316" i="1"/>
  <c r="AF316" i="1"/>
  <c r="AE314" i="1"/>
  <c r="AF314" i="1"/>
  <c r="AE312" i="1"/>
  <c r="AF312" i="1"/>
  <c r="AN311" i="1"/>
  <c r="B311" i="1" s="1"/>
  <c r="AE319" i="1"/>
  <c r="AF319" i="1"/>
  <c r="AN318" i="1"/>
  <c r="B318" i="1" s="1"/>
  <c r="A323" i="1"/>
  <c r="AN322" i="1"/>
  <c r="A324" i="1" l="1"/>
  <c r="AN323" i="1"/>
  <c r="A325" i="1" l="1"/>
  <c r="AN324" i="1"/>
  <c r="A326" i="1" l="1"/>
  <c r="AN325" i="1"/>
  <c r="A327" i="1" l="1"/>
  <c r="AN326" i="1"/>
  <c r="A328" i="1" l="1"/>
  <c r="AN327" i="1"/>
  <c r="A329" i="1" l="1"/>
  <c r="AN328" i="1"/>
  <c r="A330" i="1" l="1"/>
  <c r="AN329" i="1"/>
  <c r="A331" i="1" l="1"/>
  <c r="AN330" i="1"/>
  <c r="A332" i="1" l="1"/>
  <c r="AN331" i="1"/>
  <c r="A333" i="1" l="1"/>
  <c r="AN332" i="1"/>
  <c r="A334" i="1" l="1"/>
  <c r="AN333" i="1"/>
  <c r="A335" i="1" l="1"/>
  <c r="AN334" i="1"/>
  <c r="A336" i="1" l="1"/>
  <c r="AN335" i="1"/>
  <c r="A337" i="1" l="1"/>
  <c r="AN336" i="1"/>
  <c r="A338" i="1" l="1"/>
  <c r="AN337" i="1"/>
  <c r="A339" i="1" l="1"/>
  <c r="AN338" i="1"/>
  <c r="A340" i="1" l="1"/>
  <c r="AN339" i="1"/>
  <c r="A341" i="1" l="1"/>
  <c r="AN340" i="1"/>
  <c r="A342" i="1" l="1"/>
  <c r="AN341" i="1"/>
  <c r="A343" i="1" l="1"/>
  <c r="AN342" i="1"/>
  <c r="A344" i="1" l="1"/>
  <c r="AN343" i="1"/>
  <c r="A345" i="1" l="1"/>
  <c r="AN344" i="1"/>
  <c r="A346" i="1" l="1"/>
  <c r="AN345" i="1"/>
  <c r="A347" i="1" l="1"/>
  <c r="AN346" i="1"/>
  <c r="A348" i="1" l="1"/>
  <c r="AN347" i="1"/>
  <c r="A349" i="1" l="1"/>
  <c r="AN348" i="1"/>
  <c r="A350" i="1" l="1"/>
  <c r="AN349" i="1"/>
  <c r="A351" i="1" l="1"/>
  <c r="AN350" i="1"/>
  <c r="A352" i="1" l="1"/>
  <c r="AN351" i="1"/>
  <c r="A353" i="1" l="1"/>
  <c r="AN352" i="1"/>
  <c r="A354" i="1" l="1"/>
  <c r="AN353" i="1"/>
  <c r="A355" i="1" l="1"/>
  <c r="AN354" i="1"/>
  <c r="A356" i="1" l="1"/>
  <c r="AN355" i="1"/>
  <c r="A357" i="1" l="1"/>
  <c r="AN356" i="1"/>
  <c r="A358" i="1" l="1"/>
  <c r="AN357" i="1"/>
  <c r="A359" i="1" l="1"/>
  <c r="AN358" i="1"/>
  <c r="A360" i="1" l="1"/>
  <c r="AN359" i="1"/>
  <c r="A361" i="1" l="1"/>
  <c r="AN360" i="1"/>
  <c r="A362" i="1" l="1"/>
  <c r="AN361" i="1"/>
  <c r="A363" i="1" l="1"/>
  <c r="AN362" i="1"/>
  <c r="A364" i="1" l="1"/>
  <c r="AN363" i="1"/>
  <c r="A365" i="1" l="1"/>
  <c r="AN364" i="1"/>
  <c r="A366" i="1" l="1"/>
  <c r="AN365" i="1"/>
  <c r="A367" i="1" l="1"/>
  <c r="AN366" i="1"/>
  <c r="A368" i="1" l="1"/>
  <c r="AN367" i="1"/>
  <c r="A369" i="1" l="1"/>
  <c r="AN368" i="1"/>
  <c r="A370" i="1" l="1"/>
  <c r="AN369" i="1"/>
  <c r="A371" i="1" l="1"/>
  <c r="AN370" i="1"/>
  <c r="A372" i="1" l="1"/>
  <c r="AN371" i="1"/>
  <c r="A373" i="1" l="1"/>
  <c r="AN372" i="1"/>
  <c r="A374" i="1" l="1"/>
  <c r="AN373" i="1"/>
  <c r="A375" i="1" l="1"/>
  <c r="AN374" i="1"/>
  <c r="A376" i="1" l="1"/>
  <c r="AN375" i="1"/>
  <c r="A377" i="1" l="1"/>
  <c r="AN376" i="1"/>
  <c r="A378" i="1" l="1"/>
  <c r="AN377" i="1"/>
  <c r="A379" i="1" l="1"/>
  <c r="AN378" i="1"/>
  <c r="A380" i="1" l="1"/>
  <c r="AN379" i="1"/>
  <c r="A381" i="1" l="1"/>
  <c r="AN380" i="1"/>
  <c r="A382" i="1" l="1"/>
  <c r="AN381" i="1"/>
  <c r="A383" i="1" l="1"/>
  <c r="AN382" i="1"/>
  <c r="A384" i="1" l="1"/>
  <c r="AN383" i="1"/>
  <c r="A385" i="1" l="1"/>
  <c r="AN384" i="1"/>
  <c r="A386" i="1" l="1"/>
  <c r="AN385" i="1"/>
  <c r="A387" i="1" l="1"/>
  <c r="AN386" i="1"/>
  <c r="A388" i="1" l="1"/>
  <c r="AN387" i="1"/>
  <c r="A389" i="1" l="1"/>
  <c r="AN388" i="1"/>
  <c r="A390" i="1" l="1"/>
  <c r="AN389" i="1"/>
  <c r="A391" i="1" l="1"/>
  <c r="AN390" i="1"/>
  <c r="A392" i="1" l="1"/>
  <c r="AN391" i="1"/>
  <c r="A393" i="1" l="1"/>
  <c r="AN392" i="1"/>
  <c r="A394" i="1" l="1"/>
  <c r="AN393" i="1"/>
  <c r="A395" i="1" l="1"/>
  <c r="AN394" i="1"/>
  <c r="A396" i="1" l="1"/>
  <c r="AN395" i="1"/>
  <c r="A397" i="1" l="1"/>
  <c r="AN396" i="1"/>
  <c r="A398" i="1" l="1"/>
  <c r="AN397" i="1"/>
  <c r="A399" i="1" l="1"/>
  <c r="AN398" i="1"/>
  <c r="A400" i="1" l="1"/>
  <c r="AN399" i="1"/>
  <c r="A401" i="1" l="1"/>
  <c r="AN400" i="1"/>
  <c r="A402" i="1" l="1"/>
  <c r="AN401" i="1"/>
  <c r="A403" i="1" l="1"/>
  <c r="AN402" i="1"/>
  <c r="A404" i="1" l="1"/>
  <c r="AN403" i="1"/>
  <c r="A405" i="1" l="1"/>
  <c r="AN404" i="1"/>
  <c r="A406" i="1" l="1"/>
  <c r="AN405" i="1"/>
  <c r="A407" i="1" l="1"/>
  <c r="AN406" i="1"/>
  <c r="A408" i="1" l="1"/>
  <c r="AN407" i="1"/>
  <c r="A409" i="1" l="1"/>
  <c r="AN408" i="1"/>
  <c r="A410" i="1" l="1"/>
  <c r="AN409" i="1"/>
  <c r="A411" i="1" l="1"/>
  <c r="AN410" i="1"/>
  <c r="A412" i="1" l="1"/>
  <c r="AN411" i="1"/>
  <c r="A413" i="1" l="1"/>
  <c r="AN412" i="1"/>
  <c r="A414" i="1" l="1"/>
  <c r="AN413" i="1"/>
  <c r="A415" i="1" l="1"/>
  <c r="AN414" i="1"/>
  <c r="A416" i="1" l="1"/>
  <c r="AN415" i="1"/>
  <c r="A417" i="1" l="1"/>
  <c r="AN416" i="1"/>
  <c r="A418" i="1" l="1"/>
  <c r="AN417" i="1"/>
  <c r="A419" i="1" l="1"/>
  <c r="AN418" i="1"/>
  <c r="A420" i="1" l="1"/>
  <c r="AN419" i="1"/>
  <c r="A421" i="1" l="1"/>
  <c r="AN420" i="1"/>
  <c r="A422" i="1" l="1"/>
  <c r="AN421" i="1"/>
  <c r="A423" i="1" l="1"/>
  <c r="AN422" i="1"/>
  <c r="A424" i="1" l="1"/>
  <c r="AN423" i="1"/>
  <c r="A425" i="1" l="1"/>
  <c r="AN424" i="1"/>
  <c r="A426" i="1" l="1"/>
  <c r="AN425" i="1"/>
  <c r="A427" i="1" l="1"/>
  <c r="AN426" i="1"/>
  <c r="A428" i="1" l="1"/>
  <c r="AN427" i="1"/>
  <c r="A429" i="1" l="1"/>
  <c r="AN428" i="1"/>
  <c r="A430" i="1" l="1"/>
  <c r="AN429" i="1"/>
  <c r="A431" i="1" l="1"/>
  <c r="AN430" i="1"/>
  <c r="A432" i="1" l="1"/>
  <c r="AN431" i="1"/>
  <c r="A433" i="1" l="1"/>
  <c r="AN432" i="1"/>
  <c r="A434" i="1" l="1"/>
  <c r="AN433" i="1"/>
  <c r="A435" i="1" l="1"/>
  <c r="AN434" i="1"/>
  <c r="A436" i="1" l="1"/>
  <c r="AN435" i="1"/>
  <c r="A437" i="1" l="1"/>
  <c r="AN436" i="1"/>
  <c r="A438" i="1" l="1"/>
  <c r="AN437" i="1"/>
  <c r="A439" i="1" l="1"/>
  <c r="AN438" i="1"/>
  <c r="A440" i="1" l="1"/>
  <c r="AN439" i="1"/>
  <c r="A441" i="1" l="1"/>
  <c r="AN440" i="1"/>
  <c r="A442" i="1" l="1"/>
  <c r="AN441" i="1"/>
  <c r="A443" i="1" l="1"/>
  <c r="AN442" i="1"/>
  <c r="A444" i="1" l="1"/>
  <c r="AN443" i="1"/>
  <c r="A445" i="1" l="1"/>
  <c r="AN444" i="1"/>
  <c r="A446" i="1" l="1"/>
  <c r="AN445" i="1"/>
  <c r="A447" i="1" l="1"/>
  <c r="AN446" i="1"/>
  <c r="A448" i="1" l="1"/>
  <c r="AN447" i="1"/>
  <c r="A449" i="1" l="1"/>
  <c r="AN448" i="1"/>
  <c r="A450" i="1" l="1"/>
  <c r="AN449" i="1"/>
  <c r="A451" i="1" l="1"/>
  <c r="AN450" i="1"/>
  <c r="A452" i="1" l="1"/>
  <c r="AN451" i="1"/>
  <c r="A453" i="1" l="1"/>
  <c r="AN452" i="1"/>
  <c r="A454" i="1" l="1"/>
  <c r="AN453" i="1"/>
  <c r="A455" i="1" l="1"/>
  <c r="AN454" i="1"/>
  <c r="A456" i="1" l="1"/>
  <c r="AN455" i="1"/>
  <c r="A457" i="1" l="1"/>
  <c r="AN456" i="1"/>
  <c r="A458" i="1" l="1"/>
  <c r="AN457" i="1"/>
  <c r="A459" i="1" l="1"/>
  <c r="AN458" i="1"/>
  <c r="A460" i="1" l="1"/>
  <c r="AN459" i="1"/>
  <c r="A461" i="1" l="1"/>
  <c r="AN460" i="1"/>
  <c r="A462" i="1" l="1"/>
  <c r="AN461" i="1"/>
  <c r="A463" i="1" l="1"/>
  <c r="AN462" i="1"/>
  <c r="A464" i="1" l="1"/>
  <c r="AN463" i="1"/>
  <c r="A465" i="1" l="1"/>
  <c r="AN464" i="1"/>
  <c r="A466" i="1" l="1"/>
  <c r="AN465" i="1"/>
  <c r="A467" i="1" l="1"/>
  <c r="AN466" i="1"/>
  <c r="A468" i="1" l="1"/>
  <c r="AN467" i="1"/>
  <c r="A469" i="1" l="1"/>
  <c r="AN468" i="1"/>
  <c r="A470" i="1" l="1"/>
  <c r="AN469" i="1"/>
  <c r="A471" i="1" l="1"/>
  <c r="AN470" i="1"/>
  <c r="A472" i="1" l="1"/>
  <c r="AN471" i="1"/>
  <c r="A473" i="1" l="1"/>
  <c r="AN472" i="1"/>
  <c r="A474" i="1" l="1"/>
  <c r="AN473" i="1"/>
  <c r="A475" i="1" l="1"/>
  <c r="AN474" i="1"/>
  <c r="A476" i="1" l="1"/>
  <c r="AN475" i="1"/>
  <c r="A477" i="1" l="1"/>
  <c r="AN476" i="1"/>
  <c r="A478" i="1" l="1"/>
  <c r="AN477" i="1"/>
  <c r="A479" i="1" l="1"/>
  <c r="AN478" i="1"/>
  <c r="A480" i="1" l="1"/>
  <c r="AN479" i="1"/>
  <c r="A481" i="1" l="1"/>
  <c r="AN480" i="1"/>
  <c r="A482" i="1" l="1"/>
  <c r="AN481" i="1"/>
  <c r="A483" i="1" l="1"/>
  <c r="AN482" i="1"/>
  <c r="A484" i="1" l="1"/>
  <c r="AN483" i="1"/>
  <c r="A485" i="1" l="1"/>
  <c r="AN484" i="1"/>
  <c r="A486" i="1" l="1"/>
  <c r="AN485" i="1"/>
  <c r="A487" i="1" l="1"/>
  <c r="AN486" i="1"/>
  <c r="A488" i="1" l="1"/>
  <c r="AN487" i="1"/>
  <c r="A489" i="1" l="1"/>
  <c r="AN488" i="1"/>
  <c r="A490" i="1" l="1"/>
  <c r="AN489" i="1"/>
  <c r="A491" i="1" l="1"/>
  <c r="AN490" i="1"/>
  <c r="A492" i="1" l="1"/>
  <c r="AN491" i="1"/>
  <c r="A493" i="1" l="1"/>
  <c r="AN492" i="1"/>
  <c r="A494" i="1" l="1"/>
  <c r="AN493" i="1"/>
  <c r="A495" i="1" l="1"/>
  <c r="AN494" i="1"/>
  <c r="A496" i="1" l="1"/>
  <c r="AN495" i="1"/>
  <c r="A497" i="1" l="1"/>
  <c r="AN496" i="1"/>
  <c r="A498" i="1" l="1"/>
  <c r="AN497" i="1"/>
  <c r="A499" i="1" l="1"/>
  <c r="AN498" i="1"/>
  <c r="A500" i="1" l="1"/>
  <c r="AN499" i="1"/>
  <c r="A501" i="1" l="1"/>
  <c r="AN500" i="1"/>
  <c r="A502" i="1" l="1"/>
  <c r="AN501" i="1"/>
  <c r="A503" i="1" l="1"/>
  <c r="AN502" i="1"/>
  <c r="A504" i="1" l="1"/>
  <c r="AN503" i="1"/>
  <c r="A505" i="1" l="1"/>
  <c r="AN504" i="1"/>
  <c r="A506" i="1" l="1"/>
  <c r="AN505" i="1"/>
  <c r="A507" i="1" l="1"/>
  <c r="AN506" i="1"/>
  <c r="A508" i="1" l="1"/>
  <c r="AN507" i="1"/>
  <c r="A509" i="1" l="1"/>
  <c r="AN508" i="1"/>
  <c r="A510" i="1" l="1"/>
  <c r="AN509" i="1"/>
  <c r="A511" i="1" l="1"/>
  <c r="AN510" i="1"/>
  <c r="A512" i="1" l="1"/>
  <c r="AN511" i="1"/>
  <c r="A513" i="1" l="1"/>
  <c r="AN512" i="1"/>
  <c r="A514" i="1" l="1"/>
  <c r="AN513" i="1"/>
  <c r="A515" i="1" l="1"/>
  <c r="AN514" i="1"/>
  <c r="A516" i="1" l="1"/>
  <c r="AN515" i="1"/>
  <c r="A517" i="1" l="1"/>
  <c r="AN516" i="1"/>
  <c r="A518" i="1" l="1"/>
  <c r="AN517" i="1"/>
  <c r="A519" i="1" l="1"/>
  <c r="AN518" i="1"/>
  <c r="A520" i="1" l="1"/>
  <c r="AN519" i="1"/>
  <c r="A521" i="1" l="1"/>
  <c r="AN520" i="1"/>
  <c r="A522" i="1" l="1"/>
  <c r="AN521" i="1"/>
  <c r="A523" i="1" l="1"/>
  <c r="AN522" i="1"/>
  <c r="A524" i="1" l="1"/>
  <c r="AN523" i="1"/>
  <c r="A525" i="1" l="1"/>
  <c r="AN524" i="1"/>
  <c r="A526" i="1" l="1"/>
  <c r="AN525" i="1"/>
  <c r="A527" i="1" l="1"/>
  <c r="AN526" i="1"/>
  <c r="A528" i="1" l="1"/>
  <c r="AN527" i="1"/>
  <c r="A529" i="1" l="1"/>
  <c r="AN528" i="1"/>
  <c r="A530" i="1" l="1"/>
  <c r="AN529" i="1"/>
  <c r="A531" i="1" l="1"/>
  <c r="AN530" i="1"/>
  <c r="A532" i="1" l="1"/>
  <c r="AN531" i="1"/>
  <c r="A533" i="1" l="1"/>
  <c r="AN532" i="1"/>
  <c r="A534" i="1" l="1"/>
  <c r="AN533" i="1"/>
  <c r="A535" i="1" l="1"/>
  <c r="AN534" i="1"/>
  <c r="A536" i="1" l="1"/>
  <c r="AN535" i="1"/>
  <c r="A537" i="1" l="1"/>
  <c r="AN536" i="1"/>
  <c r="A538" i="1" l="1"/>
  <c r="AN537" i="1"/>
  <c r="A539" i="1" l="1"/>
  <c r="AN538" i="1"/>
  <c r="A540" i="1" l="1"/>
  <c r="AN539" i="1"/>
  <c r="A541" i="1" l="1"/>
  <c r="AN540" i="1"/>
  <c r="A542" i="1" l="1"/>
  <c r="AN541" i="1"/>
  <c r="A543" i="1" l="1"/>
  <c r="AN542" i="1"/>
  <c r="A544" i="1" l="1"/>
  <c r="AN543" i="1"/>
  <c r="A545" i="1" l="1"/>
  <c r="AN544" i="1"/>
  <c r="A546" i="1" l="1"/>
  <c r="AN545" i="1"/>
  <c r="A547" i="1" l="1"/>
  <c r="AN546" i="1"/>
  <c r="A548" i="1" l="1"/>
  <c r="AN547" i="1"/>
  <c r="A549" i="1" l="1"/>
  <c r="AN548" i="1"/>
  <c r="A550" i="1" l="1"/>
  <c r="AN549" i="1"/>
  <c r="A551" i="1" l="1"/>
  <c r="AN550" i="1"/>
  <c r="A552" i="1" l="1"/>
  <c r="AN551" i="1"/>
  <c r="A553" i="1" l="1"/>
  <c r="AN552" i="1"/>
  <c r="A554" i="1" l="1"/>
  <c r="AN553" i="1"/>
  <c r="A555" i="1" l="1"/>
  <c r="AN554" i="1"/>
  <c r="A556" i="1" l="1"/>
  <c r="AN555" i="1"/>
  <c r="A557" i="1" l="1"/>
  <c r="AN556" i="1"/>
  <c r="A558" i="1" l="1"/>
  <c r="AN557" i="1"/>
  <c r="A559" i="1" l="1"/>
  <c r="AN558" i="1"/>
  <c r="A560" i="1" l="1"/>
  <c r="AN559" i="1"/>
  <c r="A561" i="1" l="1"/>
  <c r="AN560" i="1"/>
  <c r="A562" i="1" l="1"/>
  <c r="AN561" i="1"/>
  <c r="A563" i="1" l="1"/>
  <c r="AN562" i="1"/>
  <c r="A564" i="1" l="1"/>
  <c r="AN563" i="1"/>
  <c r="A565" i="1" l="1"/>
  <c r="AN564" i="1"/>
  <c r="A566" i="1" l="1"/>
  <c r="AN565" i="1"/>
  <c r="A567" i="1" l="1"/>
  <c r="AN566" i="1"/>
  <c r="A568" i="1" l="1"/>
  <c r="AN567" i="1"/>
  <c r="A569" i="1" l="1"/>
  <c r="AN568" i="1"/>
  <c r="A570" i="1" l="1"/>
  <c r="AN569" i="1"/>
  <c r="A571" i="1" l="1"/>
  <c r="AN570" i="1"/>
  <c r="A572" i="1" l="1"/>
  <c r="AN571" i="1"/>
  <c r="A573" i="1" l="1"/>
  <c r="AN572" i="1"/>
  <c r="A574" i="1" l="1"/>
  <c r="AN573" i="1"/>
  <c r="A575" i="1" l="1"/>
  <c r="AN574" i="1"/>
  <c r="A576" i="1" l="1"/>
  <c r="AN575" i="1"/>
  <c r="A577" i="1" l="1"/>
  <c r="AN576" i="1"/>
  <c r="A578" i="1" l="1"/>
  <c r="AN577" i="1"/>
  <c r="A579" i="1" l="1"/>
  <c r="AN578" i="1"/>
  <c r="A580" i="1" l="1"/>
  <c r="AN579" i="1"/>
  <c r="A581" i="1" l="1"/>
  <c r="AN580" i="1"/>
  <c r="A582" i="1" l="1"/>
  <c r="AN581" i="1"/>
  <c r="A583" i="1" l="1"/>
  <c r="AN582" i="1"/>
  <c r="A584" i="1" l="1"/>
  <c r="AN583" i="1"/>
  <c r="A585" i="1" l="1"/>
  <c r="AN584" i="1"/>
  <c r="A586" i="1" l="1"/>
  <c r="AN585" i="1"/>
  <c r="A587" i="1" l="1"/>
  <c r="AN586" i="1"/>
  <c r="A588" i="1" l="1"/>
  <c r="AN587" i="1"/>
  <c r="A589" i="1" l="1"/>
  <c r="AN588" i="1"/>
  <c r="A590" i="1" l="1"/>
  <c r="AN589" i="1"/>
  <c r="A591" i="1" l="1"/>
  <c r="AN590" i="1"/>
  <c r="A592" i="1" l="1"/>
  <c r="AN591" i="1"/>
  <c r="A593" i="1" l="1"/>
  <c r="AN592" i="1"/>
  <c r="A594" i="1" l="1"/>
  <c r="AN593" i="1"/>
  <c r="A595" i="1" l="1"/>
  <c r="AN594" i="1"/>
  <c r="A596" i="1" l="1"/>
  <c r="AN595" i="1"/>
  <c r="A597" i="1" l="1"/>
  <c r="AN596" i="1"/>
  <c r="A598" i="1" l="1"/>
  <c r="AN597" i="1"/>
  <c r="A599" i="1" l="1"/>
  <c r="AN598" i="1"/>
  <c r="A600" i="1" l="1"/>
  <c r="AN599" i="1"/>
  <c r="A601" i="1" l="1"/>
  <c r="AN600" i="1"/>
  <c r="A602" i="1" l="1"/>
  <c r="AN601" i="1"/>
  <c r="A603" i="1" l="1"/>
  <c r="AN602" i="1"/>
  <c r="A604" i="1" l="1"/>
  <c r="AN603" i="1"/>
  <c r="A605" i="1" l="1"/>
  <c r="AN604" i="1"/>
  <c r="A606" i="1" l="1"/>
  <c r="AN605" i="1"/>
  <c r="A607" i="1" l="1"/>
  <c r="AN606" i="1"/>
  <c r="A608" i="1" l="1"/>
  <c r="AN607" i="1"/>
  <c r="A609" i="1" l="1"/>
  <c r="AN608" i="1"/>
  <c r="A610" i="1" l="1"/>
  <c r="AN609" i="1"/>
  <c r="A611" i="1" l="1"/>
  <c r="AN610" i="1"/>
  <c r="A612" i="1" l="1"/>
  <c r="AN611" i="1"/>
  <c r="A613" i="1" l="1"/>
  <c r="AN612" i="1"/>
  <c r="A614" i="1" l="1"/>
  <c r="AN613" i="1"/>
  <c r="A615" i="1" l="1"/>
  <c r="AN614" i="1"/>
  <c r="A616" i="1" l="1"/>
  <c r="AN615" i="1"/>
  <c r="A617" i="1" l="1"/>
  <c r="AN616" i="1"/>
  <c r="A618" i="1" l="1"/>
  <c r="AN617" i="1"/>
  <c r="A619" i="1" l="1"/>
  <c r="AN618" i="1"/>
  <c r="A620" i="1" l="1"/>
  <c r="AN619" i="1"/>
  <c r="A621" i="1" l="1"/>
  <c r="AN620" i="1"/>
  <c r="A622" i="1" l="1"/>
  <c r="AN621" i="1"/>
  <c r="A623" i="1" l="1"/>
  <c r="AN622" i="1"/>
  <c r="A624" i="1" l="1"/>
  <c r="AN623" i="1"/>
  <c r="A625" i="1" l="1"/>
  <c r="AN624" i="1"/>
  <c r="A626" i="1" l="1"/>
  <c r="AN625" i="1"/>
  <c r="A627" i="1" l="1"/>
  <c r="AN626" i="1"/>
  <c r="A628" i="1" l="1"/>
  <c r="AN627" i="1"/>
  <c r="A629" i="1" l="1"/>
  <c r="AN628" i="1"/>
  <c r="A630" i="1" l="1"/>
  <c r="AN629" i="1"/>
  <c r="A631" i="1" l="1"/>
  <c r="AN630" i="1"/>
  <c r="A632" i="1" l="1"/>
  <c r="AN631" i="1"/>
  <c r="A633" i="1" l="1"/>
  <c r="AN632" i="1"/>
  <c r="A634" i="1" l="1"/>
  <c r="AN633" i="1"/>
  <c r="A635" i="1" l="1"/>
  <c r="AN634" i="1"/>
  <c r="A636" i="1" l="1"/>
  <c r="AN635" i="1"/>
  <c r="A637" i="1" l="1"/>
  <c r="AN636" i="1"/>
  <c r="A638" i="1" l="1"/>
  <c r="AN637" i="1"/>
  <c r="A639" i="1" l="1"/>
  <c r="AN638" i="1"/>
  <c r="A640" i="1" l="1"/>
  <c r="AN639" i="1"/>
  <c r="A641" i="1" l="1"/>
  <c r="AN640" i="1"/>
  <c r="A642" i="1" l="1"/>
  <c r="AN641" i="1"/>
  <c r="A643" i="1" l="1"/>
  <c r="AN642" i="1"/>
  <c r="A644" i="1" l="1"/>
  <c r="AN643" i="1"/>
  <c r="A645" i="1" l="1"/>
  <c r="AN644" i="1"/>
  <c r="A646" i="1" l="1"/>
  <c r="AN645" i="1"/>
  <c r="A647" i="1" l="1"/>
  <c r="AN646" i="1"/>
  <c r="A648" i="1" l="1"/>
  <c r="AN647" i="1"/>
  <c r="A649" i="1" l="1"/>
  <c r="AN648" i="1"/>
  <c r="A650" i="1" l="1"/>
  <c r="AN649" i="1"/>
  <c r="A651" i="1" l="1"/>
  <c r="AN650" i="1"/>
  <c r="A652" i="1" l="1"/>
  <c r="AN651" i="1"/>
  <c r="A653" i="1" l="1"/>
  <c r="AN652" i="1"/>
  <c r="A654" i="1" l="1"/>
  <c r="AN653" i="1"/>
  <c r="A655" i="1" l="1"/>
  <c r="AN654" i="1"/>
  <c r="A656" i="1" l="1"/>
  <c r="AN655" i="1"/>
  <c r="A657" i="1" l="1"/>
  <c r="AN656" i="1"/>
  <c r="A658" i="1" l="1"/>
  <c r="AN657" i="1"/>
  <c r="A659" i="1" l="1"/>
  <c r="AN658" i="1"/>
  <c r="A660" i="1" l="1"/>
  <c r="AN659" i="1"/>
  <c r="A661" i="1" l="1"/>
  <c r="AN660" i="1"/>
  <c r="A662" i="1" l="1"/>
  <c r="AN661" i="1"/>
  <c r="A663" i="1" l="1"/>
  <c r="AN662" i="1"/>
  <c r="A664" i="1" l="1"/>
  <c r="AN663" i="1"/>
  <c r="A665" i="1" l="1"/>
  <c r="AN664" i="1"/>
  <c r="A666" i="1" l="1"/>
  <c r="AN665" i="1"/>
  <c r="A667" i="1" l="1"/>
  <c r="AN666" i="1"/>
  <c r="A668" i="1" l="1"/>
  <c r="AN667" i="1"/>
  <c r="A669" i="1" l="1"/>
  <c r="AN668" i="1"/>
  <c r="A670" i="1" l="1"/>
  <c r="AN669" i="1"/>
  <c r="A671" i="1" l="1"/>
  <c r="AN670" i="1"/>
  <c r="A672" i="1" l="1"/>
  <c r="AN671" i="1"/>
  <c r="A673" i="1" l="1"/>
  <c r="AN672" i="1"/>
  <c r="A674" i="1" l="1"/>
  <c r="AN673" i="1"/>
  <c r="A675" i="1" l="1"/>
  <c r="AN674" i="1"/>
  <c r="A676" i="1" l="1"/>
  <c r="AN675" i="1"/>
  <c r="A677" i="1" l="1"/>
  <c r="AN676" i="1"/>
  <c r="A678" i="1" l="1"/>
  <c r="AN677" i="1"/>
  <c r="A679" i="1" l="1"/>
  <c r="AN678" i="1"/>
  <c r="A680" i="1" l="1"/>
  <c r="AN679" i="1"/>
  <c r="A681" i="1" l="1"/>
  <c r="AN680" i="1"/>
  <c r="A682" i="1" l="1"/>
  <c r="AN681" i="1"/>
  <c r="A683" i="1" l="1"/>
  <c r="AN682" i="1"/>
  <c r="A684" i="1" l="1"/>
  <c r="AN683" i="1"/>
  <c r="A685" i="1" l="1"/>
  <c r="AN684" i="1"/>
  <c r="A686" i="1" l="1"/>
  <c r="AN685" i="1"/>
  <c r="A687" i="1" l="1"/>
  <c r="AN686" i="1"/>
  <c r="A688" i="1" l="1"/>
  <c r="AN687" i="1"/>
  <c r="A689" i="1" l="1"/>
  <c r="AN688" i="1"/>
  <c r="A690" i="1" l="1"/>
  <c r="AN689" i="1"/>
  <c r="A691" i="1" l="1"/>
  <c r="AN690" i="1"/>
  <c r="A692" i="1" l="1"/>
  <c r="AN691" i="1"/>
  <c r="A693" i="1" l="1"/>
  <c r="AN692" i="1"/>
  <c r="A694" i="1" l="1"/>
  <c r="AN693" i="1"/>
  <c r="A695" i="1" l="1"/>
  <c r="AN694" i="1"/>
  <c r="A696" i="1" l="1"/>
  <c r="AN695" i="1"/>
  <c r="A697" i="1" l="1"/>
  <c r="AN696" i="1"/>
  <c r="A698" i="1" l="1"/>
  <c r="AN697" i="1"/>
  <c r="A699" i="1" l="1"/>
  <c r="AN698" i="1"/>
  <c r="A700" i="1" l="1"/>
  <c r="AN699" i="1"/>
  <c r="A701" i="1" l="1"/>
  <c r="AN700" i="1"/>
  <c r="A702" i="1" l="1"/>
  <c r="AN701" i="1"/>
  <c r="A703" i="1" l="1"/>
  <c r="AN702" i="1"/>
  <c r="A704" i="1" l="1"/>
  <c r="AN703" i="1"/>
  <c r="A705" i="1" l="1"/>
  <c r="AN704" i="1"/>
  <c r="A706" i="1" l="1"/>
  <c r="AN705" i="1"/>
  <c r="A707" i="1" l="1"/>
  <c r="AN706" i="1"/>
  <c r="A708" i="1" l="1"/>
  <c r="AN707" i="1"/>
  <c r="A709" i="1" l="1"/>
  <c r="AN708" i="1"/>
  <c r="A710" i="1" l="1"/>
  <c r="AN709" i="1"/>
  <c r="A711" i="1" l="1"/>
  <c r="AN710" i="1"/>
  <c r="A712" i="1" l="1"/>
  <c r="AN711" i="1"/>
  <c r="A713" i="1" l="1"/>
  <c r="AN712" i="1"/>
  <c r="A714" i="1" l="1"/>
  <c r="AN713" i="1"/>
  <c r="A715" i="1" l="1"/>
  <c r="AN714" i="1"/>
  <c r="A716" i="1" l="1"/>
  <c r="AN715" i="1"/>
  <c r="A717" i="1" l="1"/>
  <c r="AN716" i="1"/>
  <c r="A718" i="1" l="1"/>
  <c r="AN717" i="1"/>
  <c r="A719" i="1" l="1"/>
  <c r="AN718" i="1"/>
  <c r="A720" i="1" l="1"/>
  <c r="AN719" i="1"/>
  <c r="A721" i="1" l="1"/>
  <c r="AN720" i="1"/>
  <c r="A722" i="1" l="1"/>
  <c r="AN721" i="1"/>
  <c r="A723" i="1" l="1"/>
  <c r="AN722" i="1"/>
  <c r="A724" i="1" l="1"/>
  <c r="AN723" i="1"/>
  <c r="A725" i="1" l="1"/>
  <c r="AN724" i="1"/>
  <c r="A726" i="1" l="1"/>
  <c r="AN725" i="1"/>
  <c r="A727" i="1" l="1"/>
  <c r="AN726" i="1"/>
  <c r="A728" i="1" l="1"/>
  <c r="AN727" i="1"/>
  <c r="A729" i="1" l="1"/>
  <c r="AN728" i="1"/>
  <c r="A730" i="1" l="1"/>
  <c r="AN729" i="1"/>
  <c r="A731" i="1" l="1"/>
  <c r="AN730" i="1"/>
  <c r="A732" i="1" l="1"/>
  <c r="AN731" i="1"/>
  <c r="A733" i="1" l="1"/>
  <c r="AN732" i="1"/>
  <c r="A734" i="1" l="1"/>
  <c r="AN733" i="1"/>
  <c r="A735" i="1" l="1"/>
  <c r="AN734" i="1"/>
  <c r="A736" i="1" l="1"/>
  <c r="AN735" i="1"/>
  <c r="A737" i="1" l="1"/>
  <c r="AN736" i="1"/>
  <c r="A738" i="1" l="1"/>
  <c r="AN737" i="1"/>
  <c r="A739" i="1" l="1"/>
  <c r="AN738" i="1"/>
  <c r="A740" i="1" l="1"/>
  <c r="AN739" i="1"/>
  <c r="A741" i="1" l="1"/>
  <c r="AN740" i="1"/>
  <c r="A742" i="1" l="1"/>
  <c r="AN741" i="1"/>
  <c r="A743" i="1" l="1"/>
  <c r="AN742" i="1"/>
  <c r="A744" i="1" l="1"/>
  <c r="AN743" i="1"/>
  <c r="A745" i="1" l="1"/>
  <c r="AN744" i="1"/>
  <c r="A746" i="1" l="1"/>
  <c r="AN745" i="1"/>
  <c r="A747" i="1" l="1"/>
  <c r="AN746" i="1"/>
  <c r="A748" i="1" l="1"/>
  <c r="AN747" i="1"/>
  <c r="A749" i="1" l="1"/>
  <c r="AN748" i="1"/>
  <c r="A750" i="1" l="1"/>
  <c r="AN749" i="1"/>
  <c r="A751" i="1" l="1"/>
  <c r="AN750" i="1"/>
  <c r="A752" i="1" l="1"/>
  <c r="AN751" i="1"/>
  <c r="A753" i="1" l="1"/>
  <c r="AN752" i="1"/>
  <c r="A754" i="1" l="1"/>
  <c r="AN753" i="1"/>
  <c r="A755" i="1" l="1"/>
  <c r="AN754" i="1"/>
  <c r="A756" i="1" l="1"/>
  <c r="AN755" i="1"/>
  <c r="A757" i="1" l="1"/>
  <c r="AN756" i="1"/>
  <c r="A758" i="1" l="1"/>
  <c r="AN757" i="1"/>
  <c r="A759" i="1" l="1"/>
  <c r="AN758" i="1"/>
  <c r="A760" i="1" l="1"/>
  <c r="AN759" i="1"/>
  <c r="A761" i="1" l="1"/>
  <c r="AN760" i="1"/>
  <c r="A762" i="1" l="1"/>
  <c r="AN761" i="1"/>
  <c r="A763" i="1" l="1"/>
  <c r="AN762" i="1"/>
  <c r="A764" i="1" l="1"/>
  <c r="AN763" i="1"/>
  <c r="A765" i="1" l="1"/>
  <c r="AN764" i="1"/>
  <c r="A766" i="1" l="1"/>
  <c r="AN765" i="1"/>
  <c r="A767" i="1" l="1"/>
  <c r="AN766" i="1"/>
  <c r="A768" i="1" l="1"/>
  <c r="AN767" i="1"/>
  <c r="A769" i="1" l="1"/>
  <c r="AN768" i="1"/>
  <c r="A770" i="1" l="1"/>
  <c r="AN769" i="1"/>
  <c r="A771" i="1" l="1"/>
  <c r="AN770" i="1"/>
  <c r="A772" i="1" l="1"/>
  <c r="AN771" i="1"/>
  <c r="A773" i="1" l="1"/>
  <c r="AN772" i="1"/>
  <c r="A774" i="1" l="1"/>
  <c r="AN773" i="1"/>
  <c r="A775" i="1" l="1"/>
  <c r="AN774" i="1"/>
  <c r="A776" i="1" l="1"/>
  <c r="AN775" i="1"/>
  <c r="A777" i="1" l="1"/>
  <c r="AN776" i="1"/>
  <c r="A778" i="1" l="1"/>
  <c r="AN777" i="1"/>
  <c r="A779" i="1" l="1"/>
  <c r="AN778" i="1"/>
  <c r="A780" i="1" l="1"/>
  <c r="AN779" i="1"/>
  <c r="A781" i="1" l="1"/>
  <c r="AN780" i="1"/>
  <c r="A782" i="1" l="1"/>
  <c r="AN781" i="1"/>
  <c r="A783" i="1" l="1"/>
  <c r="AN782" i="1"/>
  <c r="A784" i="1" l="1"/>
  <c r="AN783" i="1"/>
  <c r="A785" i="1" l="1"/>
  <c r="AN784" i="1"/>
  <c r="A786" i="1" l="1"/>
  <c r="AN785" i="1"/>
  <c r="A787" i="1" l="1"/>
  <c r="AN786" i="1"/>
  <c r="A788" i="1" l="1"/>
  <c r="AN787" i="1"/>
  <c r="A789" i="1" l="1"/>
  <c r="AN788" i="1"/>
  <c r="A790" i="1" l="1"/>
  <c r="AN789" i="1"/>
  <c r="A791" i="1" l="1"/>
  <c r="AN790" i="1"/>
  <c r="A792" i="1" l="1"/>
  <c r="AN791" i="1"/>
  <c r="A793" i="1" l="1"/>
  <c r="AN792" i="1"/>
  <c r="A794" i="1" l="1"/>
  <c r="AN793" i="1"/>
  <c r="A795" i="1" l="1"/>
  <c r="AN794" i="1"/>
  <c r="A796" i="1" l="1"/>
  <c r="AN795" i="1"/>
  <c r="A797" i="1" l="1"/>
  <c r="AN796" i="1"/>
  <c r="A798" i="1" l="1"/>
  <c r="AN797" i="1"/>
  <c r="A799" i="1" l="1"/>
  <c r="AN798" i="1"/>
  <c r="A800" i="1" l="1"/>
  <c r="AN799" i="1"/>
  <c r="A801" i="1" l="1"/>
  <c r="AN800" i="1"/>
  <c r="A802" i="1" l="1"/>
  <c r="AN801" i="1"/>
  <c r="A803" i="1" l="1"/>
  <c r="AN802" i="1"/>
  <c r="A804" i="1" l="1"/>
  <c r="AN803" i="1"/>
  <c r="A805" i="1" l="1"/>
  <c r="AN804" i="1"/>
  <c r="A806" i="1" l="1"/>
  <c r="AN805" i="1"/>
  <c r="A807" i="1" l="1"/>
  <c r="AN806" i="1"/>
  <c r="A808" i="1" l="1"/>
  <c r="AN807" i="1"/>
  <c r="A809" i="1" l="1"/>
  <c r="AN808" i="1"/>
  <c r="A810" i="1" l="1"/>
  <c r="AN809" i="1"/>
  <c r="A811" i="1" l="1"/>
  <c r="AN810" i="1"/>
  <c r="A812" i="1" l="1"/>
  <c r="AN811" i="1"/>
  <c r="A813" i="1" l="1"/>
  <c r="AN812" i="1"/>
  <c r="A814" i="1" l="1"/>
  <c r="AN813" i="1"/>
  <c r="A815" i="1" l="1"/>
  <c r="AN814" i="1"/>
  <c r="A816" i="1" l="1"/>
  <c r="AN815" i="1"/>
  <c r="A817" i="1" l="1"/>
  <c r="AN816" i="1"/>
  <c r="A818" i="1" l="1"/>
  <c r="AN817" i="1"/>
  <c r="A819" i="1" l="1"/>
  <c r="AN818" i="1"/>
  <c r="A820" i="1" l="1"/>
  <c r="AN819" i="1"/>
  <c r="A821" i="1" l="1"/>
  <c r="AN820" i="1"/>
  <c r="A822" i="1" l="1"/>
  <c r="AN821" i="1"/>
  <c r="A823" i="1" l="1"/>
  <c r="AN822" i="1"/>
  <c r="A824" i="1" l="1"/>
  <c r="AN823" i="1"/>
  <c r="A825" i="1" l="1"/>
  <c r="AN824" i="1"/>
  <c r="A826" i="1" l="1"/>
  <c r="AN825" i="1"/>
  <c r="A827" i="1" l="1"/>
  <c r="AN826" i="1"/>
  <c r="A828" i="1" l="1"/>
  <c r="AN827" i="1"/>
  <c r="A829" i="1" l="1"/>
  <c r="AN828" i="1"/>
  <c r="A830" i="1" l="1"/>
  <c r="AN829" i="1"/>
  <c r="A831" i="1" l="1"/>
  <c r="AN830" i="1"/>
  <c r="A832" i="1" l="1"/>
  <c r="AN831" i="1"/>
  <c r="A833" i="1" l="1"/>
  <c r="AN832" i="1"/>
  <c r="A834" i="1" l="1"/>
  <c r="AN833" i="1"/>
  <c r="A835" i="1" l="1"/>
  <c r="AN834" i="1"/>
  <c r="A836" i="1" l="1"/>
  <c r="AN835" i="1"/>
  <c r="A837" i="1" l="1"/>
  <c r="AN836" i="1"/>
  <c r="A838" i="1" l="1"/>
  <c r="AN837" i="1"/>
  <c r="A839" i="1" l="1"/>
  <c r="AN838" i="1"/>
  <c r="A840" i="1" l="1"/>
  <c r="AN839" i="1"/>
  <c r="A841" i="1" l="1"/>
  <c r="AN840" i="1"/>
  <c r="A842" i="1" l="1"/>
  <c r="AN841" i="1"/>
  <c r="A843" i="1" l="1"/>
  <c r="AN842" i="1"/>
  <c r="A844" i="1" l="1"/>
  <c r="AN843" i="1"/>
  <c r="A845" i="1" l="1"/>
  <c r="AN844" i="1"/>
  <c r="A846" i="1" l="1"/>
  <c r="AN845" i="1"/>
  <c r="A847" i="1" l="1"/>
  <c r="AN846" i="1"/>
  <c r="A848" i="1" l="1"/>
  <c r="AN847" i="1"/>
  <c r="A849" i="1" l="1"/>
  <c r="AN848" i="1"/>
  <c r="A850" i="1" l="1"/>
  <c r="AN849" i="1"/>
  <c r="A851" i="1" l="1"/>
  <c r="AN850" i="1"/>
  <c r="A852" i="1" l="1"/>
  <c r="AN851" i="1"/>
  <c r="A853" i="1" l="1"/>
  <c r="AN852" i="1"/>
  <c r="A854" i="1" l="1"/>
  <c r="AN853" i="1"/>
  <c r="A855" i="1" l="1"/>
  <c r="AN854" i="1"/>
  <c r="A856" i="1" l="1"/>
  <c r="AN855" i="1"/>
  <c r="A857" i="1" l="1"/>
  <c r="AN856" i="1"/>
  <c r="A858" i="1" l="1"/>
  <c r="AN857" i="1"/>
  <c r="A859" i="1" l="1"/>
  <c r="AN858" i="1"/>
  <c r="A860" i="1" l="1"/>
  <c r="AN859" i="1"/>
  <c r="A861" i="1" l="1"/>
  <c r="AN860" i="1"/>
  <c r="A862" i="1" l="1"/>
  <c r="AN861" i="1"/>
  <c r="A863" i="1" l="1"/>
  <c r="AN862" i="1"/>
  <c r="A864" i="1" l="1"/>
  <c r="AN863" i="1"/>
  <c r="A865" i="1" l="1"/>
  <c r="AN864" i="1"/>
  <c r="A866" i="1" l="1"/>
  <c r="AN865" i="1"/>
  <c r="A867" i="1" l="1"/>
  <c r="AN866" i="1"/>
  <c r="A868" i="1" l="1"/>
  <c r="AN867" i="1"/>
  <c r="A869" i="1" l="1"/>
  <c r="AN868" i="1"/>
  <c r="A870" i="1" l="1"/>
  <c r="AN869" i="1"/>
  <c r="A871" i="1" l="1"/>
  <c r="AN870" i="1"/>
  <c r="A872" i="1" l="1"/>
  <c r="AN871" i="1"/>
  <c r="A873" i="1" l="1"/>
  <c r="AN872" i="1"/>
  <c r="A874" i="1" l="1"/>
  <c r="AN873" i="1"/>
  <c r="A875" i="1" l="1"/>
  <c r="AN874" i="1"/>
  <c r="A876" i="1" l="1"/>
  <c r="AN875" i="1"/>
  <c r="A877" i="1" l="1"/>
  <c r="AN876" i="1"/>
  <c r="A878" i="1" l="1"/>
  <c r="AN877" i="1"/>
  <c r="A879" i="1" l="1"/>
  <c r="AN878" i="1"/>
  <c r="A880" i="1" l="1"/>
  <c r="AN879" i="1"/>
  <c r="A881" i="1" l="1"/>
  <c r="AN880" i="1"/>
  <c r="A882" i="1" l="1"/>
  <c r="AN881" i="1"/>
  <c r="A883" i="1" l="1"/>
  <c r="AN882" i="1"/>
  <c r="A884" i="1" l="1"/>
  <c r="AN883" i="1"/>
  <c r="A885" i="1" l="1"/>
  <c r="AN884" i="1"/>
  <c r="A886" i="1" l="1"/>
  <c r="AN885" i="1"/>
  <c r="A887" i="1" l="1"/>
  <c r="AN886" i="1"/>
  <c r="A888" i="1" l="1"/>
  <c r="AN887" i="1"/>
  <c r="A889" i="1" l="1"/>
  <c r="AN888" i="1"/>
  <c r="A890" i="1" l="1"/>
  <c r="AN889" i="1"/>
  <c r="A891" i="1" l="1"/>
  <c r="AN890" i="1"/>
  <c r="A892" i="1" l="1"/>
  <c r="AN891" i="1"/>
  <c r="A893" i="1" l="1"/>
  <c r="AN892" i="1"/>
  <c r="A894" i="1" l="1"/>
  <c r="AN893" i="1"/>
  <c r="A895" i="1" l="1"/>
  <c r="AN894" i="1"/>
  <c r="A896" i="1" l="1"/>
  <c r="AN895" i="1"/>
  <c r="A897" i="1" l="1"/>
  <c r="AN896" i="1"/>
  <c r="A898" i="1" l="1"/>
  <c r="AN897" i="1"/>
  <c r="A899" i="1" l="1"/>
  <c r="AN898" i="1"/>
  <c r="A900" i="1" l="1"/>
  <c r="AN899" i="1"/>
  <c r="A901" i="1" l="1"/>
  <c r="AN900" i="1"/>
  <c r="A902" i="1" l="1"/>
  <c r="AN901" i="1"/>
  <c r="A903" i="1" l="1"/>
  <c r="AN902" i="1"/>
  <c r="A904" i="1" l="1"/>
  <c r="AN903" i="1"/>
  <c r="A905" i="1" l="1"/>
  <c r="AN904" i="1"/>
  <c r="A906" i="1" l="1"/>
  <c r="AN905" i="1"/>
  <c r="A907" i="1" l="1"/>
  <c r="AN906" i="1"/>
  <c r="A908" i="1" l="1"/>
  <c r="AN907" i="1"/>
  <c r="A909" i="1" l="1"/>
  <c r="AN908" i="1"/>
  <c r="A910" i="1" l="1"/>
  <c r="AN909" i="1"/>
  <c r="A911" i="1" l="1"/>
  <c r="AN910" i="1"/>
  <c r="A912" i="1" l="1"/>
  <c r="AN911" i="1"/>
  <c r="A913" i="1" l="1"/>
  <c r="AN912" i="1"/>
  <c r="A914" i="1" l="1"/>
  <c r="AN913" i="1"/>
  <c r="A915" i="1" l="1"/>
  <c r="AN914" i="1"/>
  <c r="A916" i="1" l="1"/>
  <c r="AN915" i="1"/>
  <c r="A917" i="1" l="1"/>
  <c r="AN916" i="1"/>
  <c r="A918" i="1" l="1"/>
  <c r="AN917" i="1"/>
  <c r="A919" i="1" l="1"/>
  <c r="AN918" i="1"/>
  <c r="A920" i="1" l="1"/>
  <c r="AN919" i="1"/>
  <c r="A921" i="1" l="1"/>
  <c r="AN920" i="1"/>
  <c r="A922" i="1" l="1"/>
  <c r="AN921" i="1"/>
  <c r="A923" i="1" l="1"/>
  <c r="AN922" i="1"/>
  <c r="A924" i="1" l="1"/>
  <c r="AN923" i="1"/>
  <c r="A925" i="1" l="1"/>
  <c r="AN924" i="1"/>
  <c r="A926" i="1" l="1"/>
  <c r="AN925" i="1"/>
  <c r="A927" i="1" l="1"/>
  <c r="AN926" i="1"/>
  <c r="A928" i="1" l="1"/>
  <c r="AN927" i="1"/>
  <c r="A929" i="1" l="1"/>
  <c r="AN928" i="1"/>
  <c r="A930" i="1" l="1"/>
  <c r="AN929" i="1"/>
  <c r="A931" i="1" l="1"/>
  <c r="AN930" i="1"/>
  <c r="A932" i="1" l="1"/>
  <c r="AN931" i="1"/>
  <c r="A933" i="1" l="1"/>
  <c r="AN932" i="1"/>
  <c r="A934" i="1" l="1"/>
  <c r="AN933" i="1"/>
  <c r="A935" i="1" l="1"/>
  <c r="AN934" i="1"/>
  <c r="A936" i="1" l="1"/>
  <c r="AN935" i="1"/>
  <c r="A937" i="1" l="1"/>
  <c r="AN936" i="1"/>
  <c r="A938" i="1" l="1"/>
  <c r="AN937" i="1"/>
  <c r="A939" i="1" l="1"/>
  <c r="AN938" i="1"/>
  <c r="A940" i="1" l="1"/>
  <c r="AN939" i="1"/>
  <c r="A941" i="1" l="1"/>
  <c r="AN940" i="1"/>
  <c r="A942" i="1" l="1"/>
  <c r="AN941" i="1"/>
  <c r="A943" i="1" l="1"/>
  <c r="AN942" i="1"/>
  <c r="A944" i="1" l="1"/>
  <c r="AN943" i="1"/>
  <c r="A945" i="1" l="1"/>
  <c r="AN944" i="1"/>
  <c r="A946" i="1" l="1"/>
  <c r="AN945" i="1"/>
  <c r="A947" i="1" l="1"/>
  <c r="AN946" i="1"/>
  <c r="A948" i="1" l="1"/>
  <c r="AN947" i="1"/>
  <c r="A949" i="1" l="1"/>
  <c r="AN948" i="1"/>
  <c r="A950" i="1" l="1"/>
  <c r="AN949" i="1"/>
  <c r="A951" i="1" l="1"/>
  <c r="AN950" i="1"/>
  <c r="A952" i="1" l="1"/>
  <c r="AN951" i="1"/>
  <c r="A953" i="1" l="1"/>
  <c r="AN952" i="1"/>
  <c r="A954" i="1" l="1"/>
  <c r="AN953" i="1"/>
  <c r="A955" i="1" l="1"/>
  <c r="AN954" i="1"/>
  <c r="A956" i="1" l="1"/>
  <c r="AN955" i="1"/>
  <c r="A957" i="1" l="1"/>
  <c r="AN956" i="1"/>
  <c r="A958" i="1" l="1"/>
  <c r="AN957" i="1"/>
  <c r="A959" i="1" l="1"/>
  <c r="AN958" i="1"/>
  <c r="A960" i="1" l="1"/>
  <c r="AN959" i="1"/>
  <c r="A961" i="1" l="1"/>
  <c r="AN960" i="1"/>
  <c r="A962" i="1" l="1"/>
  <c r="AN961" i="1"/>
  <c r="A963" i="1" l="1"/>
  <c r="AN962" i="1"/>
  <c r="A964" i="1" l="1"/>
  <c r="AN963" i="1"/>
  <c r="A965" i="1" l="1"/>
  <c r="AN964" i="1"/>
  <c r="A966" i="1" l="1"/>
  <c r="AN965" i="1"/>
  <c r="A967" i="1" l="1"/>
  <c r="AN966" i="1"/>
  <c r="A968" i="1" l="1"/>
  <c r="AN967" i="1"/>
  <c r="A969" i="1" l="1"/>
  <c r="AN968" i="1"/>
  <c r="A970" i="1" l="1"/>
  <c r="AN969" i="1"/>
  <c r="A971" i="1" l="1"/>
  <c r="AN970" i="1"/>
  <c r="A972" i="1" l="1"/>
  <c r="AN971" i="1"/>
  <c r="A973" i="1" l="1"/>
  <c r="AN972" i="1"/>
  <c r="A974" i="1" l="1"/>
  <c r="AN973" i="1"/>
  <c r="A975" i="1" l="1"/>
  <c r="AN974" i="1"/>
  <c r="A976" i="1" l="1"/>
  <c r="AN975" i="1"/>
  <c r="A977" i="1" l="1"/>
  <c r="AN976" i="1"/>
  <c r="A978" i="1" l="1"/>
  <c r="AN977" i="1"/>
  <c r="A979" i="1" l="1"/>
  <c r="AN978" i="1"/>
  <c r="A980" i="1" l="1"/>
  <c r="AN979" i="1"/>
  <c r="A981" i="1" l="1"/>
  <c r="AN980" i="1"/>
  <c r="A982" i="1" l="1"/>
  <c r="AN981" i="1"/>
  <c r="A983" i="1" l="1"/>
  <c r="AN982" i="1"/>
  <c r="A984" i="1" l="1"/>
  <c r="AN983" i="1"/>
  <c r="A985" i="1" l="1"/>
  <c r="AN984" i="1"/>
  <c r="A986" i="1" l="1"/>
  <c r="AN985" i="1"/>
  <c r="A987" i="1" l="1"/>
  <c r="AN986" i="1"/>
  <c r="A988" i="1" l="1"/>
  <c r="AN987" i="1"/>
  <c r="A989" i="1" l="1"/>
  <c r="AN988" i="1"/>
  <c r="A990" i="1" l="1"/>
  <c r="AN989" i="1"/>
  <c r="A991" i="1" l="1"/>
  <c r="AN990" i="1"/>
  <c r="A992" i="1" l="1"/>
  <c r="AN991" i="1"/>
  <c r="A993" i="1" l="1"/>
  <c r="AN992" i="1"/>
  <c r="A994" i="1" l="1"/>
  <c r="AN993" i="1"/>
  <c r="A995" i="1" l="1"/>
  <c r="AN994" i="1"/>
  <c r="A996" i="1" l="1"/>
  <c r="AN995" i="1"/>
  <c r="A997" i="1" l="1"/>
  <c r="AN996" i="1"/>
  <c r="A998" i="1" l="1"/>
  <c r="AN997" i="1"/>
  <c r="A999" i="1" l="1"/>
  <c r="AN998" i="1"/>
  <c r="A1000" i="1" l="1"/>
  <c r="AN999" i="1"/>
  <c r="A1001" i="1" l="1"/>
  <c r="AN1000" i="1"/>
  <c r="A1002" i="1" l="1"/>
  <c r="AN1001" i="1"/>
  <c r="A1003" i="1" l="1"/>
  <c r="AN1002" i="1"/>
  <c r="A1004" i="1" l="1"/>
  <c r="AN1003" i="1"/>
  <c r="A1005" i="1" l="1"/>
  <c r="AN1004" i="1"/>
  <c r="A1006" i="1" l="1"/>
  <c r="AN1005" i="1"/>
  <c r="A1007" i="1" l="1"/>
  <c r="AN1006" i="1"/>
  <c r="A1008" i="1" l="1"/>
  <c r="AN1007" i="1"/>
  <c r="A1009" i="1" l="1"/>
  <c r="AN1008" i="1"/>
  <c r="A1010" i="1" l="1"/>
  <c r="AN1009" i="1"/>
  <c r="A1011" i="1" l="1"/>
  <c r="AN1010" i="1"/>
  <c r="AN1011" i="1" l="1"/>
  <c r="B1" i="3"/>
  <c r="B2" i="3" s="1"/>
  <c r="S67" i="22" l="1"/>
  <c r="T67" i="22" s="1"/>
  <c r="S73" i="22"/>
  <c r="T73" i="22" s="1"/>
  <c r="AF73" i="22" l="1"/>
  <c r="AF67" i="22"/>
  <c r="M171" i="22" l="1"/>
  <c r="N171" i="22" s="1"/>
  <c r="M176" i="22"/>
  <c r="N176" i="22" s="1"/>
  <c r="M190" i="22"/>
  <c r="N190" i="22" s="1"/>
  <c r="M205" i="22"/>
  <c r="N205" i="22" s="1"/>
  <c r="S174" i="22" l="1"/>
  <c r="T174" i="22" s="1"/>
  <c r="S186" i="22"/>
  <c r="T186" i="22" s="1"/>
  <c r="S191" i="22"/>
  <c r="T191" i="22" s="1"/>
  <c r="S206" i="22"/>
  <c r="T206" i="22" s="1"/>
  <c r="AF206" i="22" l="1"/>
  <c r="AF191" i="22"/>
  <c r="AG199" i="22" s="1"/>
  <c r="AF186" i="22"/>
  <c r="AF174" i="22"/>
  <c r="AG174" i="22" l="1"/>
  <c r="AG186" i="22"/>
  <c r="AG206" i="22"/>
  <c r="AG209" i="22"/>
  <c r="AG191" i="22"/>
  <c r="AG176" i="22"/>
  <c r="AY98" i="1" l="1"/>
  <c r="AY99" i="1"/>
  <c r="AY100" i="1"/>
  <c r="AY50" i="1"/>
  <c r="AY63" i="1"/>
  <c r="AY69" i="1"/>
  <c r="AY70" i="1"/>
  <c r="AY71" i="1"/>
  <c r="AY78" i="1"/>
  <c r="AY79" i="1"/>
  <c r="AY81" i="1"/>
  <c r="AY84" i="1"/>
  <c r="AY85" i="1"/>
  <c r="AY86" i="1"/>
  <c r="AY90" i="1"/>
  <c r="AY91" i="1"/>
  <c r="AY92" i="1"/>
  <c r="AY93" i="1"/>
  <c r="AY95" i="1"/>
  <c r="AY96" i="1"/>
  <c r="AU265" i="1" l="1"/>
  <c r="AU285" i="1"/>
  <c r="C233" i="22" s="1"/>
  <c r="AU87" i="1"/>
  <c r="AU88" i="1"/>
  <c r="AU89" i="1"/>
  <c r="AU98" i="1"/>
  <c r="C77" i="22" s="1"/>
  <c r="AU99" i="1"/>
  <c r="C78" i="22" s="1"/>
  <c r="AU100" i="1"/>
  <c r="C79" i="22" s="1"/>
  <c r="AU103" i="1"/>
  <c r="AU113" i="1"/>
  <c r="AU114" i="1"/>
  <c r="AU116" i="1"/>
  <c r="AU126" i="1"/>
  <c r="AU127" i="1"/>
  <c r="AU128" i="1"/>
  <c r="AU147" i="1"/>
  <c r="AU148" i="1"/>
  <c r="AU158" i="1"/>
  <c r="AU227" i="1"/>
  <c r="AU228" i="1"/>
  <c r="AU229" i="1"/>
  <c r="AU230" i="1"/>
  <c r="AU232" i="1"/>
  <c r="AU259" i="1"/>
  <c r="AU262" i="1"/>
  <c r="AU263" i="1"/>
  <c r="AU69" i="1"/>
  <c r="C55" i="22" s="1"/>
  <c r="AU70" i="1"/>
  <c r="C56" i="22" s="1"/>
  <c r="AU71" i="1"/>
  <c r="C57" i="22" s="1"/>
  <c r="AU61" i="1"/>
  <c r="AW61" i="1" s="1"/>
  <c r="AX61" i="1" s="1"/>
  <c r="AU63" i="1"/>
  <c r="C50" i="22" s="1"/>
  <c r="AU78" i="1"/>
  <c r="AU79" i="1"/>
  <c r="C61" i="22" s="1"/>
  <c r="AU81" i="1"/>
  <c r="C62" i="22" s="1"/>
  <c r="AU82" i="1"/>
  <c r="C63" i="22" s="1"/>
  <c r="AU84" i="1"/>
  <c r="AU85" i="1"/>
  <c r="C66" i="22" s="1"/>
  <c r="AU86" i="1"/>
  <c r="C67" i="22" s="1"/>
  <c r="AU90" i="1"/>
  <c r="C71" i="22" s="1"/>
  <c r="AU91" i="1"/>
  <c r="C72" i="22" s="1"/>
  <c r="AU92" i="1"/>
  <c r="C73" i="22" s="1"/>
  <c r="AU93" i="1"/>
  <c r="C74" i="22" s="1"/>
  <c r="AU95" i="1"/>
  <c r="C75" i="22" s="1"/>
  <c r="AU96" i="1"/>
  <c r="C76" i="22" s="1"/>
  <c r="AU59" i="1"/>
  <c r="AU50" i="1"/>
  <c r="C43" i="22" s="1"/>
  <c r="AU4" i="1"/>
  <c r="C5" i="22" s="1"/>
  <c r="E233" i="22" l="1"/>
  <c r="F233" i="22"/>
  <c r="Q233" i="22"/>
  <c r="R233" i="22"/>
  <c r="AW265" i="1"/>
  <c r="AX265" i="1" s="1"/>
  <c r="C215" i="22"/>
  <c r="E5" i="22"/>
  <c r="F5" i="22"/>
  <c r="E43" i="22"/>
  <c r="F43" i="22"/>
  <c r="C49" i="22"/>
  <c r="AW59" i="1"/>
  <c r="AX59" i="1" s="1"/>
  <c r="E76" i="22"/>
  <c r="F76" i="22"/>
  <c r="E75" i="22"/>
  <c r="F75" i="22"/>
  <c r="E74" i="22"/>
  <c r="F74" i="22"/>
  <c r="R74" i="22"/>
  <c r="E73" i="22"/>
  <c r="F73" i="22"/>
  <c r="R73" i="22"/>
  <c r="E72" i="22"/>
  <c r="F72" i="22"/>
  <c r="E71" i="22"/>
  <c r="F71" i="22"/>
  <c r="E67" i="22"/>
  <c r="F67" i="22"/>
  <c r="E66" i="22"/>
  <c r="F66" i="22"/>
  <c r="C64" i="22"/>
  <c r="C65" i="22"/>
  <c r="E63" i="22"/>
  <c r="F63" i="22"/>
  <c r="E62" i="22"/>
  <c r="F62" i="22"/>
  <c r="E61" i="22"/>
  <c r="F61" i="22"/>
  <c r="C51" i="22"/>
  <c r="E50" i="22"/>
  <c r="F50" i="22"/>
  <c r="AZ61" i="1"/>
  <c r="AY61" i="1"/>
  <c r="E57" i="22"/>
  <c r="F57" i="22"/>
  <c r="Q57" i="22"/>
  <c r="R57" i="22"/>
  <c r="E56" i="22"/>
  <c r="F56" i="22"/>
  <c r="Q56" i="22"/>
  <c r="R56" i="22"/>
  <c r="E55" i="22"/>
  <c r="F55" i="22"/>
  <c r="AW263" i="1"/>
  <c r="AX263" i="1" s="1"/>
  <c r="C214" i="22"/>
  <c r="AW262" i="1"/>
  <c r="AX262" i="1" s="1"/>
  <c r="C213" i="22"/>
  <c r="AW259" i="1"/>
  <c r="AX259" i="1" s="1"/>
  <c r="C211" i="22"/>
  <c r="AW232" i="1"/>
  <c r="AX232" i="1" s="1"/>
  <c r="C190" i="22"/>
  <c r="AW230" i="1"/>
  <c r="AX230" i="1" s="1"/>
  <c r="C189" i="22"/>
  <c r="AW229" i="1"/>
  <c r="AX229" i="1" s="1"/>
  <c r="C188" i="22"/>
  <c r="AW228" i="1"/>
  <c r="AX228" i="1" s="1"/>
  <c r="C187" i="22"/>
  <c r="AW227" i="1"/>
  <c r="AX227" i="1" s="1"/>
  <c r="C186" i="22"/>
  <c r="AW158" i="1"/>
  <c r="AX158" i="1" s="1"/>
  <c r="C125" i="22"/>
  <c r="AW148" i="1"/>
  <c r="AX148" i="1" s="1"/>
  <c r="C115" i="22"/>
  <c r="AW147" i="1"/>
  <c r="AX147" i="1" s="1"/>
  <c r="C114" i="22"/>
  <c r="AW128" i="1"/>
  <c r="AX128" i="1" s="1"/>
  <c r="C99" i="22"/>
  <c r="AW127" i="1"/>
  <c r="AX127" i="1" s="1"/>
  <c r="C98" i="22"/>
  <c r="AW126" i="1"/>
  <c r="AX126" i="1" s="1"/>
  <c r="C97" i="22"/>
  <c r="AW116" i="1"/>
  <c r="AX116" i="1" s="1"/>
  <c r="C90" i="22"/>
  <c r="AW114" i="1"/>
  <c r="AX114" i="1" s="1"/>
  <c r="C89" i="22"/>
  <c r="AW113" i="1"/>
  <c r="AX113" i="1" s="1"/>
  <c r="C88" i="22"/>
  <c r="AW103" i="1"/>
  <c r="AX103" i="1" s="1"/>
  <c r="C81" i="22"/>
  <c r="E79" i="22"/>
  <c r="F79" i="22"/>
  <c r="E78" i="22"/>
  <c r="F78" i="22"/>
  <c r="E77" i="22"/>
  <c r="F77" i="22"/>
  <c r="AW89" i="1"/>
  <c r="AX89" i="1" s="1"/>
  <c r="C70" i="22"/>
  <c r="AW88" i="1"/>
  <c r="AX88" i="1" s="1"/>
  <c r="C69" i="22"/>
  <c r="AW87" i="1"/>
  <c r="AX87" i="1" s="1"/>
  <c r="C68" i="22"/>
  <c r="AZ265" i="1"/>
  <c r="AY265" i="1"/>
  <c r="R43" i="22"/>
  <c r="Q43" i="22"/>
  <c r="R62" i="22"/>
  <c r="Q62" i="22"/>
  <c r="R61" i="22"/>
  <c r="Q61" i="22"/>
  <c r="R63" i="22"/>
  <c r="Q63" i="22"/>
  <c r="R75" i="22"/>
  <c r="Q75" i="22"/>
  <c r="R55" i="22"/>
  <c r="Q55" i="22"/>
  <c r="E215" i="22" l="1"/>
  <c r="F215" i="22"/>
  <c r="Q215" i="22"/>
  <c r="R215" i="22"/>
  <c r="Q66" i="22"/>
  <c r="R66" i="22"/>
  <c r="Q72" i="22"/>
  <c r="Q71" i="22"/>
  <c r="R72" i="22"/>
  <c r="R71" i="22"/>
  <c r="Q77" i="22"/>
  <c r="R77" i="22"/>
  <c r="Q76" i="22"/>
  <c r="R5" i="22"/>
  <c r="R50" i="22"/>
  <c r="R76" i="22"/>
  <c r="Q74" i="22"/>
  <c r="Q73" i="22"/>
  <c r="Q5" i="22"/>
  <c r="Q50" i="22"/>
  <c r="E68" i="22"/>
  <c r="F68" i="22"/>
  <c r="Q68" i="22"/>
  <c r="R68" i="22"/>
  <c r="AZ87" i="1"/>
  <c r="AY87" i="1"/>
  <c r="E69" i="22"/>
  <c r="F69" i="22"/>
  <c r="Q69" i="22"/>
  <c r="R69" i="22"/>
  <c r="AZ88" i="1"/>
  <c r="AY88" i="1"/>
  <c r="E70" i="22"/>
  <c r="F70" i="22"/>
  <c r="AZ89" i="1"/>
  <c r="AY89" i="1"/>
  <c r="E81" i="22"/>
  <c r="F81" i="22"/>
  <c r="AZ103" i="1"/>
  <c r="AY103" i="1"/>
  <c r="E88" i="22"/>
  <c r="F88" i="22"/>
  <c r="Q88" i="22"/>
  <c r="R88" i="22"/>
  <c r="AZ113" i="1"/>
  <c r="AY113" i="1"/>
  <c r="E89" i="22"/>
  <c r="F89" i="22"/>
  <c r="Q89" i="22"/>
  <c r="R89" i="22"/>
  <c r="AZ114" i="1"/>
  <c r="AY114" i="1"/>
  <c r="E90" i="22"/>
  <c r="F90" i="22"/>
  <c r="Q90" i="22"/>
  <c r="R90" i="22"/>
  <c r="AZ116" i="1"/>
  <c r="AY116" i="1"/>
  <c r="E97" i="22"/>
  <c r="F97" i="22"/>
  <c r="AZ126" i="1"/>
  <c r="AY126" i="1"/>
  <c r="E98" i="22"/>
  <c r="F98" i="22"/>
  <c r="Q98" i="22"/>
  <c r="R98" i="22"/>
  <c r="AZ127" i="1"/>
  <c r="AY127" i="1"/>
  <c r="E99" i="22"/>
  <c r="F99" i="22"/>
  <c r="Q99" i="22"/>
  <c r="R99" i="22"/>
  <c r="AZ128" i="1"/>
  <c r="AY128" i="1"/>
  <c r="E114" i="22"/>
  <c r="F114" i="22"/>
  <c r="Q114" i="22"/>
  <c r="R114" i="22"/>
  <c r="AZ147" i="1"/>
  <c r="AY147" i="1"/>
  <c r="E115" i="22"/>
  <c r="F115" i="22"/>
  <c r="Q115" i="22"/>
  <c r="R115" i="22"/>
  <c r="AZ148" i="1"/>
  <c r="AY148" i="1"/>
  <c r="E125" i="22"/>
  <c r="F125" i="22"/>
  <c r="Q125" i="22"/>
  <c r="R125" i="22"/>
  <c r="AZ158" i="1"/>
  <c r="AY158" i="1"/>
  <c r="E186" i="22"/>
  <c r="F186" i="22"/>
  <c r="Q186" i="22"/>
  <c r="R186" i="22"/>
  <c r="AZ227" i="1"/>
  <c r="AY227" i="1"/>
  <c r="E187" i="22"/>
  <c r="F187" i="22"/>
  <c r="Q187" i="22"/>
  <c r="R187" i="22"/>
  <c r="AZ228" i="1"/>
  <c r="AY228" i="1"/>
  <c r="E188" i="22"/>
  <c r="F188" i="22"/>
  <c r="Q188" i="22"/>
  <c r="R188" i="22"/>
  <c r="AZ229" i="1"/>
  <c r="AY229" i="1"/>
  <c r="E189" i="22"/>
  <c r="F189" i="22"/>
  <c r="Q189" i="22"/>
  <c r="R189" i="22"/>
  <c r="AZ230" i="1"/>
  <c r="AY230" i="1"/>
  <c r="E190" i="22"/>
  <c r="F190" i="22"/>
  <c r="Q190" i="22"/>
  <c r="R190" i="22"/>
  <c r="AZ232" i="1"/>
  <c r="AY232" i="1"/>
  <c r="E211" i="22"/>
  <c r="F211" i="22"/>
  <c r="Q211" i="22"/>
  <c r="R211" i="22"/>
  <c r="AZ259" i="1"/>
  <c r="AY259" i="1"/>
  <c r="E213" i="22"/>
  <c r="F213" i="22"/>
  <c r="Q213" i="22"/>
  <c r="R213" i="22"/>
  <c r="AZ262" i="1"/>
  <c r="AY262" i="1"/>
  <c r="E214" i="22"/>
  <c r="F214" i="22"/>
  <c r="Q214" i="22"/>
  <c r="R214" i="22"/>
  <c r="AZ263" i="1"/>
  <c r="AY263" i="1"/>
  <c r="E51" i="22"/>
  <c r="F51" i="22"/>
  <c r="E65" i="22"/>
  <c r="F65" i="22"/>
  <c r="Q65" i="22"/>
  <c r="R65" i="22"/>
  <c r="E64" i="22"/>
  <c r="F64" i="22"/>
  <c r="R64" i="22"/>
  <c r="Q64" i="22"/>
  <c r="AZ59" i="1"/>
  <c r="AY59" i="1"/>
  <c r="E49" i="22"/>
  <c r="F49" i="22"/>
  <c r="Q49" i="22"/>
  <c r="R49" i="22"/>
  <c r="Q51" i="22"/>
  <c r="R51" i="22"/>
  <c r="R81" i="22"/>
  <c r="Q81" i="22"/>
  <c r="R97" i="22" l="1"/>
  <c r="Q97" i="22"/>
  <c r="R79" i="22"/>
  <c r="Q79" i="22"/>
  <c r="Q78" i="22"/>
  <c r="R78" i="22"/>
  <c r="R67" i="22"/>
  <c r="R70" i="22"/>
  <c r="Q67" i="22"/>
  <c r="Q70" i="22"/>
  <c r="AY289" i="1" l="1"/>
  <c r="AY290" i="1"/>
  <c r="AY267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5" i="1"/>
  <c r="AY287" i="1"/>
  <c r="AY143" i="1"/>
  <c r="AY144" i="1"/>
  <c r="AY145" i="1"/>
  <c r="AY53" i="1"/>
  <c r="AY51" i="1"/>
  <c r="AY55" i="1"/>
  <c r="AY54" i="1"/>
  <c r="AY57" i="1"/>
  <c r="AY65" i="1"/>
  <c r="AY66" i="1"/>
  <c r="AY67" i="1"/>
  <c r="AY73" i="1"/>
  <c r="AY75" i="1"/>
  <c r="AY76" i="1"/>
  <c r="AY82" i="1"/>
  <c r="AY46" i="1"/>
  <c r="AY11" i="1"/>
  <c r="AY40" i="1"/>
  <c r="AY23" i="1"/>
  <c r="AY29" i="1"/>
  <c r="AY9" i="1"/>
  <c r="AY17" i="1"/>
  <c r="AY21" i="1"/>
  <c r="AY19" i="1"/>
  <c r="AY47" i="1"/>
  <c r="AY48" i="1"/>
  <c r="AY12" i="1"/>
  <c r="AY14" i="1"/>
  <c r="AY13" i="1"/>
  <c r="AY26" i="1"/>
  <c r="AY32" i="1"/>
  <c r="AY38" i="1"/>
  <c r="AY44" i="1"/>
  <c r="AY31" i="1"/>
  <c r="AY39" i="1"/>
  <c r="AY18" i="1"/>
  <c r="AY22" i="1"/>
  <c r="AY28" i="1"/>
  <c r="AY35" i="1"/>
  <c r="AY4" i="1"/>
  <c r="AY8" i="1"/>
  <c r="AY36" i="1"/>
  <c r="AY42" i="1"/>
  <c r="AY34" i="1"/>
  <c r="AY41" i="1"/>
  <c r="AY15" i="1"/>
  <c r="AY20" i="1"/>
  <c r="AY10" i="1"/>
  <c r="AY16" i="1"/>
  <c r="AY25" i="1"/>
  <c r="AY33" i="1"/>
  <c r="AY43" i="1"/>
  <c r="AY6" i="1"/>
  <c r="AY234" i="1"/>
  <c r="AY235" i="1"/>
  <c r="AY236" i="1"/>
  <c r="AY237" i="1"/>
  <c r="AY238" i="1"/>
  <c r="AY239" i="1"/>
  <c r="AY240" i="1"/>
  <c r="AY241" i="1"/>
  <c r="AY242" i="1"/>
  <c r="AU289" i="1" l="1"/>
  <c r="C235" i="22" s="1"/>
  <c r="AU290" i="1"/>
  <c r="C236" i="22" s="1"/>
  <c r="AU267" i="1"/>
  <c r="C216" i="22" s="1"/>
  <c r="AU268" i="1"/>
  <c r="AU269" i="1"/>
  <c r="C218" i="22" s="1"/>
  <c r="AU270" i="1"/>
  <c r="C219" i="22" s="1"/>
  <c r="AU271" i="1"/>
  <c r="C220" i="22" s="1"/>
  <c r="AU272" i="1"/>
  <c r="C221" i="22" s="1"/>
  <c r="AU273" i="1"/>
  <c r="C222" i="22" s="1"/>
  <c r="AU274" i="1"/>
  <c r="C223" i="22" s="1"/>
  <c r="AU275" i="1"/>
  <c r="C224" i="22" s="1"/>
  <c r="AU276" i="1"/>
  <c r="C225" i="22" s="1"/>
  <c r="AU277" i="1"/>
  <c r="C226" i="22" s="1"/>
  <c r="AU278" i="1"/>
  <c r="C227" i="22" s="1"/>
  <c r="AU279" i="1"/>
  <c r="C228" i="22" s="1"/>
  <c r="AU280" i="1"/>
  <c r="C229" i="22" s="1"/>
  <c r="AU281" i="1"/>
  <c r="C230" i="22" s="1"/>
  <c r="AU282" i="1"/>
  <c r="C231" i="22" s="1"/>
  <c r="AU283" i="1"/>
  <c r="C232" i="22" s="1"/>
  <c r="AU287" i="1"/>
  <c r="C234" i="22" s="1"/>
  <c r="AU151" i="1"/>
  <c r="AU101" i="1"/>
  <c r="AU105" i="1"/>
  <c r="AU106" i="1"/>
  <c r="AU108" i="1"/>
  <c r="AU109" i="1"/>
  <c r="AU110" i="1"/>
  <c r="AU111" i="1"/>
  <c r="AU118" i="1"/>
  <c r="AU120" i="1"/>
  <c r="AU121" i="1"/>
  <c r="AU122" i="1"/>
  <c r="AU123" i="1"/>
  <c r="AU124" i="1"/>
  <c r="AU129" i="1"/>
  <c r="AU130" i="1"/>
  <c r="AU132" i="1"/>
  <c r="AU133" i="1"/>
  <c r="AU135" i="1"/>
  <c r="AU136" i="1"/>
  <c r="AU137" i="1"/>
  <c r="AU138" i="1"/>
  <c r="AU139" i="1"/>
  <c r="AU140" i="1"/>
  <c r="AU141" i="1"/>
  <c r="AU143" i="1"/>
  <c r="C111" i="22" s="1"/>
  <c r="AU144" i="1"/>
  <c r="C112" i="22" s="1"/>
  <c r="AU145" i="1"/>
  <c r="C113" i="22" s="1"/>
  <c r="AU149" i="1"/>
  <c r="AU150" i="1"/>
  <c r="AU152" i="1"/>
  <c r="AU153" i="1"/>
  <c r="AU154" i="1"/>
  <c r="AU155" i="1"/>
  <c r="AU156" i="1"/>
  <c r="AU157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6" i="1"/>
  <c r="AU177" i="1"/>
  <c r="AU178" i="1"/>
  <c r="AU179" i="1"/>
  <c r="AU180" i="1"/>
  <c r="AU181" i="1"/>
  <c r="AU182" i="1"/>
  <c r="AW182" i="1" s="1"/>
  <c r="AX182" i="1" s="1"/>
  <c r="AU183" i="1"/>
  <c r="AU184" i="1"/>
  <c r="AU185" i="1"/>
  <c r="AU186" i="1"/>
  <c r="AU187" i="1"/>
  <c r="AU188" i="1"/>
  <c r="AU189" i="1"/>
  <c r="AU190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9" i="1"/>
  <c r="AU210" i="1"/>
  <c r="AU211" i="1"/>
  <c r="AU213" i="1"/>
  <c r="AU214" i="1"/>
  <c r="AU216" i="1"/>
  <c r="AU217" i="1"/>
  <c r="AU218" i="1"/>
  <c r="AU219" i="1"/>
  <c r="AU220" i="1"/>
  <c r="AU221" i="1"/>
  <c r="AU222" i="1"/>
  <c r="AU223" i="1"/>
  <c r="AU224" i="1"/>
  <c r="AU225" i="1"/>
  <c r="AU234" i="1"/>
  <c r="C191" i="22" s="1"/>
  <c r="AU235" i="1"/>
  <c r="C192" i="22" s="1"/>
  <c r="AU236" i="1"/>
  <c r="C193" i="22" s="1"/>
  <c r="AU237" i="1"/>
  <c r="C194" i="22" s="1"/>
  <c r="AU238" i="1"/>
  <c r="C195" i="22" s="1"/>
  <c r="AU239" i="1"/>
  <c r="C196" i="22" s="1"/>
  <c r="AU240" i="1"/>
  <c r="C197" i="22" s="1"/>
  <c r="AU241" i="1"/>
  <c r="C198" i="22" s="1"/>
  <c r="AU242" i="1"/>
  <c r="C199" i="22" s="1"/>
  <c r="AU244" i="1"/>
  <c r="AU245" i="1"/>
  <c r="AU246" i="1"/>
  <c r="AU247" i="1"/>
  <c r="AU249" i="1"/>
  <c r="AU250" i="1"/>
  <c r="AU252" i="1"/>
  <c r="AU253" i="1"/>
  <c r="AU254" i="1"/>
  <c r="AU255" i="1"/>
  <c r="AU257" i="1"/>
  <c r="AU261" i="1"/>
  <c r="AU75" i="1"/>
  <c r="AU76" i="1"/>
  <c r="AU73" i="1"/>
  <c r="C58" i="22" s="1"/>
  <c r="AU65" i="1"/>
  <c r="C52" i="22" s="1"/>
  <c r="AU66" i="1"/>
  <c r="C53" i="22" s="1"/>
  <c r="AU67" i="1"/>
  <c r="C54" i="22" s="1"/>
  <c r="AU57" i="1"/>
  <c r="C48" i="22" s="1"/>
  <c r="AU55" i="1"/>
  <c r="C47" i="22" s="1"/>
  <c r="AU54" i="1"/>
  <c r="C46" i="22" s="1"/>
  <c r="AU53" i="1"/>
  <c r="C45" i="22" s="1"/>
  <c r="AU51" i="1"/>
  <c r="C44" i="22" s="1"/>
  <c r="AU46" i="1"/>
  <c r="C40" i="22" s="1"/>
  <c r="AU47" i="1"/>
  <c r="C41" i="22" s="1"/>
  <c r="AU48" i="1"/>
  <c r="C42" i="22" s="1"/>
  <c r="AU11" i="1"/>
  <c r="C10" i="22" s="1"/>
  <c r="AU40" i="1"/>
  <c r="C35" i="22" s="1"/>
  <c r="AU9" i="1"/>
  <c r="C8" i="22" s="1"/>
  <c r="AU17" i="1"/>
  <c r="C16" i="22" s="1"/>
  <c r="AU23" i="1"/>
  <c r="C22" i="22" s="1"/>
  <c r="AU29" i="1"/>
  <c r="C26" i="22" s="1"/>
  <c r="AU12" i="1"/>
  <c r="C11" i="22" s="1"/>
  <c r="AU14" i="1"/>
  <c r="C13" i="22" s="1"/>
  <c r="AU13" i="1"/>
  <c r="C12" i="22" s="1"/>
  <c r="AU26" i="1"/>
  <c r="C24" i="22" s="1"/>
  <c r="AU32" i="1"/>
  <c r="C28" i="22" s="1"/>
  <c r="AU38" i="1"/>
  <c r="C33" i="22" s="1"/>
  <c r="AU44" i="1"/>
  <c r="C39" i="22" s="1"/>
  <c r="AU31" i="1"/>
  <c r="C27" i="22" s="1"/>
  <c r="AU39" i="1"/>
  <c r="C34" i="22" s="1"/>
  <c r="AU18" i="1"/>
  <c r="C17" i="22" s="1"/>
  <c r="AU22" i="1"/>
  <c r="C21" i="22" s="1"/>
  <c r="AU28" i="1"/>
  <c r="C25" i="22" s="1"/>
  <c r="AU21" i="1"/>
  <c r="C20" i="22" s="1"/>
  <c r="AU35" i="1"/>
  <c r="C31" i="22" s="1"/>
  <c r="AU8" i="1"/>
  <c r="C7" i="22" s="1"/>
  <c r="AU19" i="1"/>
  <c r="C18" i="22" s="1"/>
  <c r="AU36" i="1"/>
  <c r="C32" i="22" s="1"/>
  <c r="AU42" i="1"/>
  <c r="C37" i="22" s="1"/>
  <c r="AU34" i="1"/>
  <c r="C30" i="22" s="1"/>
  <c r="AU41" i="1"/>
  <c r="C36" i="22" s="1"/>
  <c r="AU15" i="1"/>
  <c r="C14" i="22" s="1"/>
  <c r="AU20" i="1"/>
  <c r="C19" i="22" s="1"/>
  <c r="AU10" i="1"/>
  <c r="C9" i="22" s="1"/>
  <c r="AU16" i="1"/>
  <c r="C15" i="22" s="1"/>
  <c r="AU25" i="1"/>
  <c r="C23" i="22" s="1"/>
  <c r="AU33" i="1"/>
  <c r="C29" i="22" s="1"/>
  <c r="AU43" i="1"/>
  <c r="C38" i="22" s="1"/>
  <c r="AU6" i="1"/>
  <c r="C6" i="22" s="1"/>
  <c r="E236" i="22" l="1"/>
  <c r="F236" i="22"/>
  <c r="Q236" i="22"/>
  <c r="R236" i="22"/>
  <c r="E235" i="22"/>
  <c r="F235" i="22"/>
  <c r="Q235" i="22"/>
  <c r="R235" i="22"/>
  <c r="D235" i="22"/>
  <c r="D236" i="22"/>
  <c r="D237" i="22"/>
  <c r="D238" i="22"/>
  <c r="D233" i="22"/>
  <c r="D215" i="22"/>
  <c r="D5" i="22"/>
  <c r="D43" i="22"/>
  <c r="D76" i="22"/>
  <c r="D75" i="22"/>
  <c r="D74" i="22"/>
  <c r="D73" i="22"/>
  <c r="D72" i="22"/>
  <c r="D71" i="22"/>
  <c r="D67" i="22"/>
  <c r="D66" i="22"/>
  <c r="D63" i="22"/>
  <c r="D62" i="22"/>
  <c r="D61" i="22"/>
  <c r="D50" i="22"/>
  <c r="D57" i="22"/>
  <c r="D56" i="22"/>
  <c r="D55" i="22"/>
  <c r="D79" i="22"/>
  <c r="D78" i="22"/>
  <c r="D77" i="22"/>
  <c r="D68" i="22"/>
  <c r="D69" i="22"/>
  <c r="D70" i="22"/>
  <c r="D81" i="22"/>
  <c r="D88" i="22"/>
  <c r="D89" i="22"/>
  <c r="D90" i="22"/>
  <c r="D97" i="22"/>
  <c r="D98" i="22"/>
  <c r="D99" i="22"/>
  <c r="D114" i="22"/>
  <c r="D115" i="22"/>
  <c r="D125" i="22"/>
  <c r="D186" i="22"/>
  <c r="D187" i="22"/>
  <c r="D188" i="22"/>
  <c r="D189" i="22"/>
  <c r="D190" i="22"/>
  <c r="D211" i="22"/>
  <c r="D213" i="22"/>
  <c r="D214" i="22"/>
  <c r="D51" i="22"/>
  <c r="D65" i="22"/>
  <c r="D64" i="22"/>
  <c r="D49" i="22"/>
  <c r="E6" i="22"/>
  <c r="F6" i="22"/>
  <c r="Q6" i="22"/>
  <c r="D6" i="22"/>
  <c r="R6" i="22"/>
  <c r="D38" i="22"/>
  <c r="F38" i="22"/>
  <c r="E38" i="22"/>
  <c r="Q38" i="22"/>
  <c r="R38" i="22"/>
  <c r="E29" i="22"/>
  <c r="Q29" i="22"/>
  <c r="F29" i="22"/>
  <c r="R29" i="22"/>
  <c r="D29" i="22"/>
  <c r="E23" i="22"/>
  <c r="F23" i="22"/>
  <c r="D23" i="22"/>
  <c r="R23" i="22"/>
  <c r="Q23" i="22"/>
  <c r="F15" i="22"/>
  <c r="E15" i="22"/>
  <c r="D15" i="22"/>
  <c r="Q15" i="22"/>
  <c r="R15" i="22"/>
  <c r="F9" i="22"/>
  <c r="E9" i="22"/>
  <c r="Q9" i="22"/>
  <c r="R9" i="22"/>
  <c r="D9" i="22"/>
  <c r="F19" i="22"/>
  <c r="E19" i="22"/>
  <c r="R19" i="22"/>
  <c r="Q19" i="22"/>
  <c r="D19" i="22"/>
  <c r="E14" i="22"/>
  <c r="F14" i="22"/>
  <c r="D14" i="22"/>
  <c r="R14" i="22"/>
  <c r="Q14" i="22"/>
  <c r="Q36" i="22"/>
  <c r="E36" i="22"/>
  <c r="R36" i="22"/>
  <c r="F36" i="22"/>
  <c r="D36" i="22"/>
  <c r="E30" i="22"/>
  <c r="F30" i="22"/>
  <c r="Q30" i="22"/>
  <c r="R30" i="22"/>
  <c r="D30" i="22"/>
  <c r="E37" i="22"/>
  <c r="F37" i="22"/>
  <c r="D37" i="22"/>
  <c r="R37" i="22"/>
  <c r="Q37" i="22"/>
  <c r="E32" i="22"/>
  <c r="F32" i="22"/>
  <c r="Q32" i="22"/>
  <c r="R32" i="22"/>
  <c r="D32" i="22"/>
  <c r="F18" i="22"/>
  <c r="E18" i="22"/>
  <c r="Q18" i="22"/>
  <c r="R18" i="22"/>
  <c r="D18" i="22"/>
  <c r="F7" i="22"/>
  <c r="E7" i="22"/>
  <c r="Q7" i="22"/>
  <c r="R7" i="22"/>
  <c r="D7" i="22"/>
  <c r="F31" i="22"/>
  <c r="E31" i="22"/>
  <c r="R31" i="22"/>
  <c r="Q31" i="22"/>
  <c r="D31" i="22"/>
  <c r="F20" i="22"/>
  <c r="E20" i="22"/>
  <c r="R20" i="22"/>
  <c r="Q20" i="22"/>
  <c r="D20" i="22"/>
  <c r="F25" i="22"/>
  <c r="E25" i="22"/>
  <c r="D25" i="22"/>
  <c r="R25" i="22"/>
  <c r="Q25" i="22"/>
  <c r="E21" i="22"/>
  <c r="F21" i="22"/>
  <c r="D21" i="22"/>
  <c r="R21" i="22"/>
  <c r="Q21" i="22"/>
  <c r="E17" i="22"/>
  <c r="F17" i="22"/>
  <c r="D17" i="22"/>
  <c r="Q17" i="22"/>
  <c r="R17" i="22"/>
  <c r="F34" i="22"/>
  <c r="E34" i="22"/>
  <c r="Q34" i="22"/>
  <c r="R34" i="22"/>
  <c r="D34" i="22"/>
  <c r="F27" i="22"/>
  <c r="E27" i="22"/>
  <c r="Q27" i="22"/>
  <c r="R27" i="22"/>
  <c r="D27" i="22"/>
  <c r="D39" i="22"/>
  <c r="E39" i="22"/>
  <c r="F39" i="22"/>
  <c r="Q39" i="22"/>
  <c r="R39" i="22"/>
  <c r="E33" i="22"/>
  <c r="F33" i="22"/>
  <c r="R33" i="22"/>
  <c r="Q33" i="22"/>
  <c r="D33" i="22"/>
  <c r="F28" i="22"/>
  <c r="E28" i="22"/>
  <c r="Q28" i="22"/>
  <c r="R28" i="22"/>
  <c r="D28" i="22"/>
  <c r="Q24" i="22"/>
  <c r="F24" i="22"/>
  <c r="R24" i="22"/>
  <c r="E24" i="22"/>
  <c r="D24" i="22"/>
  <c r="E12" i="22"/>
  <c r="F12" i="22"/>
  <c r="D12" i="22"/>
  <c r="R12" i="22"/>
  <c r="Q12" i="22"/>
  <c r="F13" i="22"/>
  <c r="E13" i="22"/>
  <c r="Q13" i="22"/>
  <c r="R13" i="22"/>
  <c r="D13" i="22"/>
  <c r="F11" i="22"/>
  <c r="Q11" i="22"/>
  <c r="E11" i="22"/>
  <c r="R11" i="22"/>
  <c r="D11" i="22"/>
  <c r="E26" i="22"/>
  <c r="F26" i="22"/>
  <c r="D26" i="22"/>
  <c r="Q26" i="22"/>
  <c r="R26" i="22"/>
  <c r="E22" i="22"/>
  <c r="F22" i="22"/>
  <c r="D22" i="22"/>
  <c r="R22" i="22"/>
  <c r="Q22" i="22"/>
  <c r="E16" i="22"/>
  <c r="F16" i="22"/>
  <c r="D16" i="22"/>
  <c r="Q16" i="22"/>
  <c r="R16" i="22"/>
  <c r="E8" i="22"/>
  <c r="Q8" i="22"/>
  <c r="F8" i="22"/>
  <c r="R8" i="22"/>
  <c r="D8" i="22"/>
  <c r="F35" i="22"/>
  <c r="E35" i="22"/>
  <c r="Q35" i="22"/>
  <c r="R35" i="22"/>
  <c r="D35" i="22"/>
  <c r="E10" i="22"/>
  <c r="F10" i="22"/>
  <c r="Q10" i="22"/>
  <c r="R10" i="22"/>
  <c r="D10" i="22"/>
  <c r="E42" i="22"/>
  <c r="F42" i="22"/>
  <c r="Q42" i="22"/>
  <c r="R42" i="22"/>
  <c r="D42" i="22"/>
  <c r="F41" i="22"/>
  <c r="R41" i="22"/>
  <c r="E41" i="22"/>
  <c r="Q41" i="22"/>
  <c r="D41" i="22"/>
  <c r="E40" i="22"/>
  <c r="F40" i="22"/>
  <c r="Q40" i="22"/>
  <c r="R40" i="22"/>
  <c r="D40" i="22"/>
  <c r="E44" i="22"/>
  <c r="F44" i="22"/>
  <c r="D44" i="22"/>
  <c r="Q44" i="22"/>
  <c r="R44" i="22"/>
  <c r="E45" i="22"/>
  <c r="F45" i="22"/>
  <c r="Q45" i="22"/>
  <c r="R45" i="22"/>
  <c r="D45" i="22"/>
  <c r="E46" i="22"/>
  <c r="F46" i="22"/>
  <c r="Q46" i="22"/>
  <c r="R46" i="22"/>
  <c r="D46" i="22"/>
  <c r="E47" i="22"/>
  <c r="F47" i="22"/>
  <c r="Q47" i="22"/>
  <c r="R47" i="22"/>
  <c r="D47" i="22"/>
  <c r="E48" i="22"/>
  <c r="F48" i="22"/>
  <c r="Q48" i="22"/>
  <c r="R48" i="22"/>
  <c r="D48" i="22"/>
  <c r="E54" i="22"/>
  <c r="F54" i="22"/>
  <c r="Q54" i="22"/>
  <c r="R54" i="22"/>
  <c r="D54" i="22"/>
  <c r="E53" i="22"/>
  <c r="F53" i="22"/>
  <c r="D53" i="22"/>
  <c r="R53" i="22"/>
  <c r="Q53" i="22"/>
  <c r="E52" i="22"/>
  <c r="F52" i="22"/>
  <c r="D52" i="22"/>
  <c r="R52" i="22"/>
  <c r="Q52" i="22"/>
  <c r="E58" i="22"/>
  <c r="F58" i="22"/>
  <c r="Q58" i="22"/>
  <c r="R58" i="22"/>
  <c r="D58" i="22"/>
  <c r="C59" i="22"/>
  <c r="C60" i="22"/>
  <c r="AW261" i="1"/>
  <c r="AX261" i="1" s="1"/>
  <c r="C212" i="22"/>
  <c r="AW257" i="1"/>
  <c r="AX257" i="1" s="1"/>
  <c r="C210" i="22"/>
  <c r="AW255" i="1"/>
  <c r="AX255" i="1" s="1"/>
  <c r="C209" i="22"/>
  <c r="AW254" i="1"/>
  <c r="AX254" i="1" s="1"/>
  <c r="C208" i="22"/>
  <c r="AW253" i="1"/>
  <c r="AX253" i="1" s="1"/>
  <c r="C207" i="22"/>
  <c r="AW252" i="1"/>
  <c r="AX252" i="1" s="1"/>
  <c r="C206" i="22"/>
  <c r="AW250" i="1"/>
  <c r="AX250" i="1" s="1"/>
  <c r="C205" i="22"/>
  <c r="AW249" i="1"/>
  <c r="AX249" i="1" s="1"/>
  <c r="C204" i="22"/>
  <c r="AW247" i="1"/>
  <c r="AX247" i="1" s="1"/>
  <c r="C203" i="22"/>
  <c r="AW246" i="1"/>
  <c r="AX246" i="1" s="1"/>
  <c r="C202" i="22"/>
  <c r="AW245" i="1"/>
  <c r="AX245" i="1" s="1"/>
  <c r="C201" i="22"/>
  <c r="AW244" i="1"/>
  <c r="AX244" i="1" s="1"/>
  <c r="C200" i="22"/>
  <c r="E199" i="22"/>
  <c r="F199" i="22"/>
  <c r="Q199" i="22"/>
  <c r="R199" i="22"/>
  <c r="D199" i="22"/>
  <c r="E198" i="22"/>
  <c r="F198" i="22"/>
  <c r="Q198" i="22"/>
  <c r="R198" i="22"/>
  <c r="D198" i="22"/>
  <c r="E197" i="22"/>
  <c r="F197" i="22"/>
  <c r="Q197" i="22"/>
  <c r="R197" i="22"/>
  <c r="D197" i="22"/>
  <c r="E196" i="22"/>
  <c r="F196" i="22"/>
  <c r="Q196" i="22"/>
  <c r="R196" i="22"/>
  <c r="D196" i="22"/>
  <c r="E195" i="22"/>
  <c r="F195" i="22"/>
  <c r="Q195" i="22"/>
  <c r="R195" i="22"/>
  <c r="D195" i="22"/>
  <c r="E194" i="22"/>
  <c r="F194" i="22"/>
  <c r="Q194" i="22"/>
  <c r="R194" i="22"/>
  <c r="D194" i="22"/>
  <c r="E193" i="22"/>
  <c r="F193" i="22"/>
  <c r="Q193" i="22"/>
  <c r="R193" i="22"/>
  <c r="D193" i="22"/>
  <c r="E192" i="22"/>
  <c r="F192" i="22"/>
  <c r="Q192" i="22"/>
  <c r="R192" i="22"/>
  <c r="D192" i="22"/>
  <c r="E191" i="22"/>
  <c r="F191" i="22"/>
  <c r="Q191" i="22"/>
  <c r="R191" i="22"/>
  <c r="D191" i="22"/>
  <c r="AW225" i="1"/>
  <c r="AX225" i="1" s="1"/>
  <c r="C185" i="22"/>
  <c r="AW224" i="1"/>
  <c r="AX224" i="1" s="1"/>
  <c r="C184" i="22"/>
  <c r="AW223" i="1"/>
  <c r="AX223" i="1" s="1"/>
  <c r="C183" i="22"/>
  <c r="AW222" i="1"/>
  <c r="AX222" i="1" s="1"/>
  <c r="C182" i="22"/>
  <c r="AW221" i="1"/>
  <c r="AX221" i="1" s="1"/>
  <c r="C181" i="22"/>
  <c r="AW220" i="1"/>
  <c r="AX220" i="1" s="1"/>
  <c r="C180" i="22"/>
  <c r="AW219" i="1"/>
  <c r="AX219" i="1" s="1"/>
  <c r="C179" i="22"/>
  <c r="AW218" i="1"/>
  <c r="AX218" i="1" s="1"/>
  <c r="C178" i="22"/>
  <c r="AW217" i="1"/>
  <c r="AX217" i="1" s="1"/>
  <c r="C177" i="22"/>
  <c r="AW216" i="1"/>
  <c r="AX216" i="1" s="1"/>
  <c r="C176" i="22"/>
  <c r="AW214" i="1"/>
  <c r="AX214" i="1" s="1"/>
  <c r="C175" i="22"/>
  <c r="AW213" i="1"/>
  <c r="AX213" i="1" s="1"/>
  <c r="C174" i="22"/>
  <c r="AW211" i="1"/>
  <c r="AX211" i="1" s="1"/>
  <c r="C173" i="22"/>
  <c r="AW210" i="1"/>
  <c r="AX210" i="1" s="1"/>
  <c r="C172" i="22"/>
  <c r="AW209" i="1"/>
  <c r="AX209" i="1" s="1"/>
  <c r="C171" i="22"/>
  <c r="AW207" i="1"/>
  <c r="AX207" i="1" s="1"/>
  <c r="C170" i="22"/>
  <c r="AW206" i="1"/>
  <c r="AX206" i="1" s="1"/>
  <c r="C169" i="22"/>
  <c r="AW205" i="1"/>
  <c r="AX205" i="1" s="1"/>
  <c r="C168" i="22"/>
  <c r="AW204" i="1"/>
  <c r="AX204" i="1" s="1"/>
  <c r="C167" i="22"/>
  <c r="AW203" i="1"/>
  <c r="AX203" i="1" s="1"/>
  <c r="C166" i="22"/>
  <c r="AW202" i="1"/>
  <c r="AX202" i="1" s="1"/>
  <c r="C165" i="22"/>
  <c r="AW201" i="1"/>
  <c r="AX201" i="1" s="1"/>
  <c r="C164" i="22"/>
  <c r="AW200" i="1"/>
  <c r="AX200" i="1" s="1"/>
  <c r="C163" i="22"/>
  <c r="AW199" i="1"/>
  <c r="AX199" i="1" s="1"/>
  <c r="C162" i="22"/>
  <c r="AW198" i="1"/>
  <c r="AX198" i="1" s="1"/>
  <c r="C161" i="22"/>
  <c r="AW197" i="1"/>
  <c r="AX197" i="1" s="1"/>
  <c r="C160" i="22"/>
  <c r="AW196" i="1"/>
  <c r="AX196" i="1" s="1"/>
  <c r="C159" i="22"/>
  <c r="AW195" i="1"/>
  <c r="AX195" i="1" s="1"/>
  <c r="C158" i="22"/>
  <c r="AW194" i="1"/>
  <c r="AX194" i="1" s="1"/>
  <c r="C157" i="22"/>
  <c r="AW193" i="1"/>
  <c r="AX193" i="1" s="1"/>
  <c r="C156" i="22"/>
  <c r="AW192" i="1"/>
  <c r="AX192" i="1" s="1"/>
  <c r="C155" i="22"/>
  <c r="AW190" i="1"/>
  <c r="AX190" i="1" s="1"/>
  <c r="C154" i="22"/>
  <c r="AW189" i="1"/>
  <c r="AX189" i="1" s="1"/>
  <c r="C153" i="22"/>
  <c r="AW188" i="1"/>
  <c r="AX188" i="1" s="1"/>
  <c r="C152" i="22"/>
  <c r="AW187" i="1"/>
  <c r="AX187" i="1" s="1"/>
  <c r="C151" i="22"/>
  <c r="AW186" i="1"/>
  <c r="AX186" i="1" s="1"/>
  <c r="C150" i="22"/>
  <c r="AW185" i="1"/>
  <c r="AX185" i="1" s="1"/>
  <c r="C149" i="22"/>
  <c r="AW184" i="1"/>
  <c r="AX184" i="1" s="1"/>
  <c r="C148" i="22"/>
  <c r="AW183" i="1"/>
  <c r="AX183" i="1" s="1"/>
  <c r="C147" i="22"/>
  <c r="AZ182" i="1"/>
  <c r="AY182" i="1"/>
  <c r="AW181" i="1"/>
  <c r="AX181" i="1" s="1"/>
  <c r="C146" i="22"/>
  <c r="AW180" i="1"/>
  <c r="AX180" i="1" s="1"/>
  <c r="C145" i="22"/>
  <c r="AW179" i="1"/>
  <c r="AX179" i="1" s="1"/>
  <c r="C144" i="22"/>
  <c r="AW178" i="1"/>
  <c r="AX178" i="1" s="1"/>
  <c r="C143" i="22"/>
  <c r="AW177" i="1"/>
  <c r="AX177" i="1" s="1"/>
  <c r="C142" i="22"/>
  <c r="AW176" i="1"/>
  <c r="AX176" i="1" s="1"/>
  <c r="C141" i="22"/>
  <c r="AW174" i="1"/>
  <c r="AX174" i="1" s="1"/>
  <c r="C140" i="22"/>
  <c r="AW173" i="1"/>
  <c r="AX173" i="1" s="1"/>
  <c r="C139" i="22"/>
  <c r="AW172" i="1"/>
  <c r="AX172" i="1" s="1"/>
  <c r="C138" i="22"/>
  <c r="AW171" i="1"/>
  <c r="AX171" i="1" s="1"/>
  <c r="C137" i="22"/>
  <c r="AW170" i="1"/>
  <c r="AX170" i="1" s="1"/>
  <c r="C136" i="22"/>
  <c r="AW169" i="1"/>
  <c r="AX169" i="1" s="1"/>
  <c r="C135" i="22"/>
  <c r="AW168" i="1"/>
  <c r="AX168" i="1" s="1"/>
  <c r="C134" i="22"/>
  <c r="AW167" i="1"/>
  <c r="AX167" i="1" s="1"/>
  <c r="C133" i="22"/>
  <c r="AW166" i="1"/>
  <c r="AX166" i="1" s="1"/>
  <c r="C132" i="22"/>
  <c r="AW165" i="1"/>
  <c r="AX165" i="1" s="1"/>
  <c r="C131" i="22"/>
  <c r="AW164" i="1"/>
  <c r="AX164" i="1" s="1"/>
  <c r="C130" i="22"/>
  <c r="AW163" i="1"/>
  <c r="AX163" i="1" s="1"/>
  <c r="C129" i="22"/>
  <c r="AW162" i="1"/>
  <c r="AX162" i="1" s="1"/>
  <c r="C128" i="22"/>
  <c r="AW161" i="1"/>
  <c r="AX161" i="1" s="1"/>
  <c r="C127" i="22"/>
  <c r="AW160" i="1"/>
  <c r="AX160" i="1" s="1"/>
  <c r="C126" i="22"/>
  <c r="AW157" i="1"/>
  <c r="AX157" i="1" s="1"/>
  <c r="C124" i="22"/>
  <c r="AW156" i="1"/>
  <c r="AX156" i="1" s="1"/>
  <c r="C123" i="22"/>
  <c r="AW155" i="1"/>
  <c r="AX155" i="1" s="1"/>
  <c r="C122" i="22"/>
  <c r="AW154" i="1"/>
  <c r="AX154" i="1" s="1"/>
  <c r="C121" i="22"/>
  <c r="AW153" i="1"/>
  <c r="AX153" i="1" s="1"/>
  <c r="C120" i="22"/>
  <c r="AW152" i="1"/>
  <c r="AX152" i="1" s="1"/>
  <c r="C119" i="22"/>
  <c r="AW150" i="1"/>
  <c r="AX150" i="1" s="1"/>
  <c r="C117" i="22"/>
  <c r="AW149" i="1"/>
  <c r="AX149" i="1" s="1"/>
  <c r="C116" i="22"/>
  <c r="E113" i="22"/>
  <c r="F113" i="22"/>
  <c r="Q113" i="22"/>
  <c r="R113" i="22"/>
  <c r="D113" i="22"/>
  <c r="E112" i="22"/>
  <c r="F112" i="22"/>
  <c r="Q112" i="22"/>
  <c r="R112" i="22"/>
  <c r="D112" i="22"/>
  <c r="E111" i="22"/>
  <c r="F111" i="22"/>
  <c r="Q111" i="22"/>
  <c r="R111" i="22"/>
  <c r="D111" i="22"/>
  <c r="AW141" i="1"/>
  <c r="AX141" i="1" s="1"/>
  <c r="C110" i="22"/>
  <c r="AW140" i="1"/>
  <c r="AX140" i="1" s="1"/>
  <c r="C109" i="22"/>
  <c r="AW139" i="1"/>
  <c r="AX139" i="1" s="1"/>
  <c r="C108" i="22"/>
  <c r="AW138" i="1"/>
  <c r="AX138" i="1" s="1"/>
  <c r="C107" i="22"/>
  <c r="AW137" i="1"/>
  <c r="AX137" i="1" s="1"/>
  <c r="C106" i="22"/>
  <c r="AW136" i="1"/>
  <c r="AX136" i="1" s="1"/>
  <c r="C105" i="22"/>
  <c r="AW135" i="1"/>
  <c r="AX135" i="1" s="1"/>
  <c r="C104" i="22"/>
  <c r="AW133" i="1"/>
  <c r="AX133" i="1" s="1"/>
  <c r="C103" i="22"/>
  <c r="AW132" i="1"/>
  <c r="AX132" i="1" s="1"/>
  <c r="C102" i="22"/>
  <c r="AW130" i="1"/>
  <c r="AX130" i="1" s="1"/>
  <c r="C101" i="22"/>
  <c r="AW129" i="1"/>
  <c r="AX129" i="1" s="1"/>
  <c r="C100" i="22"/>
  <c r="AW124" i="1"/>
  <c r="AX124" i="1" s="1"/>
  <c r="C96" i="22"/>
  <c r="AW123" i="1"/>
  <c r="AX123" i="1" s="1"/>
  <c r="C95" i="22"/>
  <c r="AW122" i="1"/>
  <c r="AX122" i="1" s="1"/>
  <c r="C94" i="22"/>
  <c r="AW121" i="1"/>
  <c r="AX121" i="1" s="1"/>
  <c r="C93" i="22"/>
  <c r="AW120" i="1"/>
  <c r="AX120" i="1" s="1"/>
  <c r="C92" i="22"/>
  <c r="AW118" i="1"/>
  <c r="AX118" i="1" s="1"/>
  <c r="C91" i="22"/>
  <c r="AW111" i="1"/>
  <c r="AX111" i="1" s="1"/>
  <c r="C87" i="22"/>
  <c r="AW110" i="1"/>
  <c r="AX110" i="1" s="1"/>
  <c r="C86" i="22"/>
  <c r="AW109" i="1"/>
  <c r="AX109" i="1" s="1"/>
  <c r="C85" i="22"/>
  <c r="AW108" i="1"/>
  <c r="AX108" i="1" s="1"/>
  <c r="C84" i="22"/>
  <c r="AW106" i="1"/>
  <c r="AX106" i="1" s="1"/>
  <c r="C83" i="22"/>
  <c r="AW105" i="1"/>
  <c r="AX105" i="1" s="1"/>
  <c r="C82" i="22"/>
  <c r="AW101" i="1"/>
  <c r="AX101" i="1" s="1"/>
  <c r="C80" i="22"/>
  <c r="C118" i="22"/>
  <c r="AW151" i="1"/>
  <c r="AX151" i="1" s="1"/>
  <c r="E234" i="22"/>
  <c r="F234" i="22"/>
  <c r="Q234" i="22"/>
  <c r="R234" i="22"/>
  <c r="D234" i="22"/>
  <c r="E232" i="22"/>
  <c r="F232" i="22"/>
  <c r="Q232" i="22"/>
  <c r="R232" i="22"/>
  <c r="D232" i="22"/>
  <c r="E231" i="22"/>
  <c r="F231" i="22"/>
  <c r="Q231" i="22"/>
  <c r="R231" i="22"/>
  <c r="D231" i="22"/>
  <c r="E230" i="22"/>
  <c r="F230" i="22"/>
  <c r="Q230" i="22"/>
  <c r="R230" i="22"/>
  <c r="D230" i="22"/>
  <c r="E229" i="22"/>
  <c r="F229" i="22"/>
  <c r="Q229" i="22"/>
  <c r="R229" i="22"/>
  <c r="D229" i="22"/>
  <c r="E228" i="22"/>
  <c r="F228" i="22"/>
  <c r="Q228" i="22"/>
  <c r="R228" i="22"/>
  <c r="D228" i="22"/>
  <c r="E227" i="22"/>
  <c r="F227" i="22"/>
  <c r="Q227" i="22"/>
  <c r="R227" i="22"/>
  <c r="D227" i="22"/>
  <c r="E226" i="22"/>
  <c r="F226" i="22"/>
  <c r="Q226" i="22"/>
  <c r="R226" i="22"/>
  <c r="D226" i="22"/>
  <c r="E225" i="22"/>
  <c r="F225" i="22"/>
  <c r="Q225" i="22"/>
  <c r="R225" i="22"/>
  <c r="D225" i="22"/>
  <c r="E224" i="22"/>
  <c r="F224" i="22"/>
  <c r="Q224" i="22"/>
  <c r="R224" i="22"/>
  <c r="D224" i="22"/>
  <c r="E223" i="22"/>
  <c r="F223" i="22"/>
  <c r="Q223" i="22"/>
  <c r="R223" i="22"/>
  <c r="D223" i="22"/>
  <c r="E222" i="22"/>
  <c r="F222" i="22"/>
  <c r="Q222" i="22"/>
  <c r="R222" i="22"/>
  <c r="D222" i="22"/>
  <c r="E221" i="22"/>
  <c r="F221" i="22"/>
  <c r="Q221" i="22"/>
  <c r="R221" i="22"/>
  <c r="D221" i="22"/>
  <c r="E220" i="22"/>
  <c r="F220" i="22"/>
  <c r="Q220" i="22"/>
  <c r="R220" i="22"/>
  <c r="D220" i="22"/>
  <c r="E219" i="22"/>
  <c r="F219" i="22"/>
  <c r="Q219" i="22"/>
  <c r="R219" i="22"/>
  <c r="D219" i="22"/>
  <c r="E218" i="22"/>
  <c r="F218" i="22"/>
  <c r="Q218" i="22"/>
  <c r="R218" i="22"/>
  <c r="D218" i="22"/>
  <c r="AW268" i="1"/>
  <c r="AX268" i="1" s="1"/>
  <c r="C217" i="22"/>
  <c r="E216" i="22"/>
  <c r="F216" i="22"/>
  <c r="Q216" i="22"/>
  <c r="R216" i="22"/>
  <c r="D216" i="22"/>
  <c r="G49" i="22" l="1"/>
  <c r="H49" i="22"/>
  <c r="G64" i="22"/>
  <c r="H64" i="22"/>
  <c r="G65" i="22"/>
  <c r="H65" i="22"/>
  <c r="G51" i="22"/>
  <c r="H51" i="22"/>
  <c r="G214" i="22"/>
  <c r="H214" i="22"/>
  <c r="G213" i="22"/>
  <c r="H213" i="22"/>
  <c r="G211" i="22"/>
  <c r="H211" i="22"/>
  <c r="G190" i="22"/>
  <c r="H190" i="22"/>
  <c r="G189" i="22"/>
  <c r="H189" i="22"/>
  <c r="G188" i="22"/>
  <c r="H188" i="22"/>
  <c r="G187" i="22"/>
  <c r="H187" i="22"/>
  <c r="G186" i="22"/>
  <c r="H186" i="22"/>
  <c r="G125" i="22"/>
  <c r="H125" i="22"/>
  <c r="G115" i="22"/>
  <c r="H115" i="22"/>
  <c r="G114" i="22"/>
  <c r="H114" i="22"/>
  <c r="G99" i="22"/>
  <c r="H99" i="22"/>
  <c r="G98" i="22"/>
  <c r="H98" i="22"/>
  <c r="G97" i="22"/>
  <c r="H97" i="22"/>
  <c r="G90" i="22"/>
  <c r="H90" i="22"/>
  <c r="G89" i="22"/>
  <c r="H89" i="22"/>
  <c r="G88" i="22"/>
  <c r="H88" i="22"/>
  <c r="G81" i="22"/>
  <c r="H81" i="22"/>
  <c r="G70" i="22"/>
  <c r="H70" i="22"/>
  <c r="G69" i="22"/>
  <c r="H69" i="22"/>
  <c r="G68" i="22"/>
  <c r="H68" i="22"/>
  <c r="G77" i="22"/>
  <c r="H77" i="22"/>
  <c r="G78" i="22"/>
  <c r="H78" i="22"/>
  <c r="G79" i="22"/>
  <c r="H79" i="22"/>
  <c r="G55" i="22"/>
  <c r="H55" i="22"/>
  <c r="G56" i="22"/>
  <c r="H56" i="22"/>
  <c r="G57" i="22"/>
  <c r="H57" i="22"/>
  <c r="G50" i="22"/>
  <c r="H50" i="22"/>
  <c r="G61" i="22"/>
  <c r="H61" i="22"/>
  <c r="G62" i="22"/>
  <c r="H62" i="22"/>
  <c r="G63" i="22"/>
  <c r="H63" i="22"/>
  <c r="G66" i="22"/>
  <c r="H66" i="22"/>
  <c r="G67" i="22"/>
  <c r="H67" i="22"/>
  <c r="G71" i="22"/>
  <c r="H71" i="22"/>
  <c r="G72" i="22"/>
  <c r="H72" i="22"/>
  <c r="G73" i="22"/>
  <c r="H73" i="22"/>
  <c r="G74" i="22"/>
  <c r="H74" i="22"/>
  <c r="G75" i="22"/>
  <c r="H75" i="22"/>
  <c r="G76" i="22"/>
  <c r="H76" i="22"/>
  <c r="G43" i="22"/>
  <c r="H43" i="22"/>
  <c r="G5" i="22"/>
  <c r="H5" i="22"/>
  <c r="G215" i="22"/>
  <c r="H215" i="22"/>
  <c r="G233" i="22"/>
  <c r="H233" i="22"/>
  <c r="G238" i="22"/>
  <c r="H238" i="22"/>
  <c r="G237" i="22"/>
  <c r="H237" i="22"/>
  <c r="G236" i="22"/>
  <c r="H236" i="22"/>
  <c r="G235" i="22"/>
  <c r="H235" i="22"/>
  <c r="G216" i="22"/>
  <c r="H216" i="22"/>
  <c r="D217" i="22"/>
  <c r="E217" i="22"/>
  <c r="F217" i="22"/>
  <c r="Q217" i="22"/>
  <c r="R217" i="22"/>
  <c r="AZ268" i="1"/>
  <c r="AY268" i="1"/>
  <c r="G218" i="22"/>
  <c r="H218" i="22"/>
  <c r="G219" i="22"/>
  <c r="H219" i="22"/>
  <c r="G220" i="22"/>
  <c r="H220" i="22"/>
  <c r="G221" i="22"/>
  <c r="H221" i="22"/>
  <c r="G222" i="22"/>
  <c r="H222" i="22"/>
  <c r="G223" i="22"/>
  <c r="H223" i="22"/>
  <c r="G224" i="22"/>
  <c r="H224" i="22"/>
  <c r="G225" i="22"/>
  <c r="H225" i="22"/>
  <c r="G226" i="22"/>
  <c r="H226" i="22"/>
  <c r="G227" i="22"/>
  <c r="H227" i="22"/>
  <c r="G228" i="22"/>
  <c r="H228" i="22"/>
  <c r="G229" i="22"/>
  <c r="H229" i="22"/>
  <c r="G230" i="22"/>
  <c r="H230" i="22"/>
  <c r="G231" i="22"/>
  <c r="H231" i="22"/>
  <c r="G232" i="22"/>
  <c r="H232" i="22"/>
  <c r="G234" i="22"/>
  <c r="H234" i="22"/>
  <c r="AZ151" i="1"/>
  <c r="AY151" i="1"/>
  <c r="E118" i="22"/>
  <c r="F118" i="22"/>
  <c r="Q118" i="22"/>
  <c r="D118" i="22"/>
  <c r="R118" i="22"/>
  <c r="E80" i="22"/>
  <c r="F80" i="22"/>
  <c r="Q80" i="22"/>
  <c r="R80" i="22"/>
  <c r="D80" i="22"/>
  <c r="AZ101" i="1"/>
  <c r="AY101" i="1"/>
  <c r="E82" i="22"/>
  <c r="F82" i="22"/>
  <c r="Q82" i="22"/>
  <c r="R82" i="22"/>
  <c r="D82" i="22"/>
  <c r="AZ105" i="1"/>
  <c r="AY105" i="1"/>
  <c r="E83" i="22"/>
  <c r="F83" i="22"/>
  <c r="D83" i="22"/>
  <c r="R83" i="22"/>
  <c r="Q83" i="22"/>
  <c r="AZ106" i="1"/>
  <c r="AY106" i="1"/>
  <c r="E84" i="22"/>
  <c r="F84" i="22"/>
  <c r="Q84" i="22"/>
  <c r="R84" i="22"/>
  <c r="D84" i="22"/>
  <c r="AZ108" i="1"/>
  <c r="AY108" i="1"/>
  <c r="E85" i="22"/>
  <c r="F85" i="22"/>
  <c r="Q85" i="22"/>
  <c r="R85" i="22"/>
  <c r="D85" i="22"/>
  <c r="AZ109" i="1"/>
  <c r="AY109" i="1"/>
  <c r="E86" i="22"/>
  <c r="F86" i="22"/>
  <c r="Q86" i="22"/>
  <c r="R86" i="22"/>
  <c r="D86" i="22"/>
  <c r="AZ110" i="1"/>
  <c r="AY110" i="1"/>
  <c r="E87" i="22"/>
  <c r="F87" i="22"/>
  <c r="Q87" i="22"/>
  <c r="R87" i="22"/>
  <c r="D87" i="22"/>
  <c r="AZ111" i="1"/>
  <c r="AY111" i="1"/>
  <c r="E91" i="22"/>
  <c r="F91" i="22"/>
  <c r="D91" i="22"/>
  <c r="Q91" i="22"/>
  <c r="R91" i="22"/>
  <c r="AZ118" i="1"/>
  <c r="AY118" i="1"/>
  <c r="E92" i="22"/>
  <c r="F92" i="22"/>
  <c r="Q92" i="22"/>
  <c r="R92" i="22"/>
  <c r="D92" i="22"/>
  <c r="AZ120" i="1"/>
  <c r="AY120" i="1"/>
  <c r="E93" i="22"/>
  <c r="F93" i="22"/>
  <c r="Q93" i="22"/>
  <c r="R93" i="22"/>
  <c r="D93" i="22"/>
  <c r="AZ121" i="1"/>
  <c r="AY121" i="1"/>
  <c r="E94" i="22"/>
  <c r="F94" i="22"/>
  <c r="Q94" i="22"/>
  <c r="R94" i="22"/>
  <c r="D94" i="22"/>
  <c r="AZ122" i="1"/>
  <c r="AY122" i="1"/>
  <c r="E95" i="22"/>
  <c r="F95" i="22"/>
  <c r="Q95" i="22"/>
  <c r="R95" i="22"/>
  <c r="D95" i="22"/>
  <c r="AZ123" i="1"/>
  <c r="AY123" i="1"/>
  <c r="E96" i="22"/>
  <c r="F96" i="22"/>
  <c r="Q96" i="22"/>
  <c r="R96" i="22"/>
  <c r="D96" i="22"/>
  <c r="AZ124" i="1"/>
  <c r="AY124" i="1"/>
  <c r="E100" i="22"/>
  <c r="F100" i="22"/>
  <c r="Q100" i="22"/>
  <c r="R100" i="22"/>
  <c r="D100" i="22"/>
  <c r="AZ129" i="1"/>
  <c r="AY129" i="1"/>
  <c r="E101" i="22"/>
  <c r="F101" i="22"/>
  <c r="Q101" i="22"/>
  <c r="D101" i="22"/>
  <c r="R101" i="22"/>
  <c r="AZ130" i="1"/>
  <c r="AY130" i="1"/>
  <c r="E102" i="22"/>
  <c r="F102" i="22"/>
  <c r="Q102" i="22"/>
  <c r="R102" i="22"/>
  <c r="D102" i="22"/>
  <c r="AZ132" i="1"/>
  <c r="AY132" i="1"/>
  <c r="E103" i="22"/>
  <c r="F103" i="22"/>
  <c r="Q103" i="22"/>
  <c r="R103" i="22"/>
  <c r="D103" i="22"/>
  <c r="AZ133" i="1"/>
  <c r="AY133" i="1"/>
  <c r="E104" i="22"/>
  <c r="F104" i="22"/>
  <c r="Q104" i="22"/>
  <c r="R104" i="22"/>
  <c r="D104" i="22"/>
  <c r="AZ135" i="1"/>
  <c r="AY135" i="1"/>
  <c r="E105" i="22"/>
  <c r="F105" i="22"/>
  <c r="D105" i="22"/>
  <c r="R105" i="22"/>
  <c r="Q105" i="22"/>
  <c r="AZ136" i="1"/>
  <c r="AY136" i="1"/>
  <c r="E106" i="22"/>
  <c r="F106" i="22"/>
  <c r="Q106" i="22"/>
  <c r="R106" i="22"/>
  <c r="D106" i="22"/>
  <c r="AZ137" i="1"/>
  <c r="AY137" i="1"/>
  <c r="E107" i="22"/>
  <c r="F107" i="22"/>
  <c r="Q107" i="22"/>
  <c r="R107" i="22"/>
  <c r="D107" i="22"/>
  <c r="AZ138" i="1"/>
  <c r="AY138" i="1"/>
  <c r="E108" i="22"/>
  <c r="F108" i="22"/>
  <c r="D108" i="22"/>
  <c r="Q108" i="22"/>
  <c r="R108" i="22"/>
  <c r="AZ139" i="1"/>
  <c r="AY139" i="1"/>
  <c r="E109" i="22"/>
  <c r="F109" i="22"/>
  <c r="Q109" i="22"/>
  <c r="R109" i="22"/>
  <c r="D109" i="22"/>
  <c r="AZ140" i="1"/>
  <c r="AY140" i="1"/>
  <c r="E110" i="22"/>
  <c r="F110" i="22"/>
  <c r="Q110" i="22"/>
  <c r="R110" i="22"/>
  <c r="D110" i="22"/>
  <c r="AZ141" i="1"/>
  <c r="AY141" i="1"/>
  <c r="G111" i="22"/>
  <c r="H111" i="22"/>
  <c r="G112" i="22"/>
  <c r="H112" i="22"/>
  <c r="G113" i="22"/>
  <c r="H113" i="22"/>
  <c r="E116" i="22"/>
  <c r="F116" i="22"/>
  <c r="Q116" i="22"/>
  <c r="R116" i="22"/>
  <c r="D116" i="22"/>
  <c r="AZ149" i="1"/>
  <c r="AY149" i="1"/>
  <c r="E117" i="22"/>
  <c r="F117" i="22"/>
  <c r="R117" i="22"/>
  <c r="D117" i="22"/>
  <c r="Q117" i="22"/>
  <c r="AZ150" i="1"/>
  <c r="AY150" i="1"/>
  <c r="E119" i="22"/>
  <c r="F119" i="22"/>
  <c r="D119" i="22"/>
  <c r="Q119" i="22"/>
  <c r="R119" i="22"/>
  <c r="AZ152" i="1"/>
  <c r="AY152" i="1"/>
  <c r="E120" i="22"/>
  <c r="F120" i="22"/>
  <c r="Q120" i="22"/>
  <c r="R120" i="22"/>
  <c r="D120" i="22"/>
  <c r="AZ153" i="1"/>
  <c r="AY153" i="1"/>
  <c r="E121" i="22"/>
  <c r="F121" i="22"/>
  <c r="Q121" i="22"/>
  <c r="R121" i="22"/>
  <c r="D121" i="22"/>
  <c r="AZ154" i="1"/>
  <c r="AY154" i="1"/>
  <c r="E122" i="22"/>
  <c r="F122" i="22"/>
  <c r="Q122" i="22"/>
  <c r="R122" i="22"/>
  <c r="D122" i="22"/>
  <c r="AZ155" i="1"/>
  <c r="AY155" i="1"/>
  <c r="E123" i="22"/>
  <c r="F123" i="22"/>
  <c r="Q123" i="22"/>
  <c r="R123" i="22"/>
  <c r="D123" i="22"/>
  <c r="AZ156" i="1"/>
  <c r="AY156" i="1"/>
  <c r="E124" i="22"/>
  <c r="F124" i="22"/>
  <c r="Q124" i="22"/>
  <c r="R124" i="22"/>
  <c r="D124" i="22"/>
  <c r="AZ157" i="1"/>
  <c r="AY157" i="1"/>
  <c r="E126" i="22"/>
  <c r="F126" i="22"/>
  <c r="Q126" i="22"/>
  <c r="R126" i="22"/>
  <c r="D126" i="22"/>
  <c r="AZ160" i="1"/>
  <c r="AY160" i="1"/>
  <c r="E127" i="22"/>
  <c r="F127" i="22"/>
  <c r="D127" i="22"/>
  <c r="R127" i="22"/>
  <c r="Q127" i="22"/>
  <c r="AZ161" i="1"/>
  <c r="AY161" i="1"/>
  <c r="E128" i="22"/>
  <c r="F128" i="22"/>
  <c r="Q128" i="22"/>
  <c r="R128" i="22"/>
  <c r="D128" i="22"/>
  <c r="AZ162" i="1"/>
  <c r="AY162" i="1"/>
  <c r="E129" i="22"/>
  <c r="F129" i="22"/>
  <c r="Q129" i="22"/>
  <c r="R129" i="22"/>
  <c r="D129" i="22"/>
  <c r="AZ163" i="1"/>
  <c r="AY163" i="1"/>
  <c r="E130" i="22"/>
  <c r="F130" i="22"/>
  <c r="D130" i="22"/>
  <c r="R130" i="22"/>
  <c r="Q130" i="22"/>
  <c r="AZ164" i="1"/>
  <c r="AY164" i="1"/>
  <c r="E131" i="22"/>
  <c r="F131" i="22"/>
  <c r="Q131" i="22"/>
  <c r="R131" i="22"/>
  <c r="D131" i="22"/>
  <c r="AZ165" i="1"/>
  <c r="AY165" i="1"/>
  <c r="E132" i="22"/>
  <c r="F132" i="22"/>
  <c r="R132" i="22"/>
  <c r="D132" i="22"/>
  <c r="Q132" i="22"/>
  <c r="AZ166" i="1"/>
  <c r="AY166" i="1"/>
  <c r="E133" i="22"/>
  <c r="F133" i="22"/>
  <c r="Q133" i="22"/>
  <c r="R133" i="22"/>
  <c r="D133" i="22"/>
  <c r="AZ167" i="1"/>
  <c r="AY167" i="1"/>
  <c r="E134" i="22"/>
  <c r="F134" i="22"/>
  <c r="D134" i="22"/>
  <c r="R134" i="22"/>
  <c r="Q134" i="22"/>
  <c r="AZ168" i="1"/>
  <c r="AY168" i="1"/>
  <c r="E135" i="22"/>
  <c r="F135" i="22"/>
  <c r="D135" i="22"/>
  <c r="R135" i="22"/>
  <c r="Q135" i="22"/>
  <c r="AZ169" i="1"/>
  <c r="AY169" i="1"/>
  <c r="E136" i="22"/>
  <c r="F136" i="22"/>
  <c r="Q136" i="22"/>
  <c r="R136" i="22"/>
  <c r="D136" i="22"/>
  <c r="AZ170" i="1"/>
  <c r="AY170" i="1"/>
  <c r="E137" i="22"/>
  <c r="F137" i="22"/>
  <c r="Q137" i="22"/>
  <c r="R137" i="22"/>
  <c r="D137" i="22"/>
  <c r="AZ171" i="1"/>
  <c r="AY171" i="1"/>
  <c r="E138" i="22"/>
  <c r="F138" i="22"/>
  <c r="Q138" i="22"/>
  <c r="R138" i="22"/>
  <c r="D138" i="22"/>
  <c r="AZ172" i="1"/>
  <c r="AY172" i="1"/>
  <c r="E139" i="22"/>
  <c r="F139" i="22"/>
  <c r="D139" i="22"/>
  <c r="R139" i="22"/>
  <c r="Q139" i="22"/>
  <c r="AZ173" i="1"/>
  <c r="AY173" i="1"/>
  <c r="E140" i="22"/>
  <c r="F140" i="22"/>
  <c r="Q140" i="22"/>
  <c r="R140" i="22"/>
  <c r="D140" i="22"/>
  <c r="AZ174" i="1"/>
  <c r="AY174" i="1"/>
  <c r="E141" i="22"/>
  <c r="F141" i="22"/>
  <c r="Q141" i="22"/>
  <c r="R141" i="22"/>
  <c r="D141" i="22"/>
  <c r="AZ176" i="1"/>
  <c r="AY176" i="1"/>
  <c r="E142" i="22"/>
  <c r="F142" i="22"/>
  <c r="Q142" i="22"/>
  <c r="R142" i="22"/>
  <c r="D142" i="22"/>
  <c r="AZ177" i="1"/>
  <c r="AY177" i="1"/>
  <c r="E143" i="22"/>
  <c r="F143" i="22"/>
  <c r="Q143" i="22"/>
  <c r="R143" i="22"/>
  <c r="D143" i="22"/>
  <c r="AZ178" i="1"/>
  <c r="AY178" i="1"/>
  <c r="E144" i="22"/>
  <c r="F144" i="22"/>
  <c r="Q144" i="22"/>
  <c r="R144" i="22"/>
  <c r="D144" i="22"/>
  <c r="AZ179" i="1"/>
  <c r="AY179" i="1"/>
  <c r="E145" i="22"/>
  <c r="F145" i="22"/>
  <c r="Q145" i="22"/>
  <c r="R145" i="22"/>
  <c r="D145" i="22"/>
  <c r="AZ180" i="1"/>
  <c r="AY180" i="1"/>
  <c r="E146" i="22"/>
  <c r="F146" i="22"/>
  <c r="Q146" i="22"/>
  <c r="R146" i="22"/>
  <c r="D146" i="22"/>
  <c r="AZ181" i="1"/>
  <c r="AY181" i="1"/>
  <c r="E147" i="22"/>
  <c r="F147" i="22"/>
  <c r="Q147" i="22"/>
  <c r="R147" i="22"/>
  <c r="D147" i="22"/>
  <c r="AZ183" i="1"/>
  <c r="AY183" i="1"/>
  <c r="E148" i="22"/>
  <c r="F148" i="22"/>
  <c r="Q148" i="22"/>
  <c r="R148" i="22"/>
  <c r="D148" i="22"/>
  <c r="AZ184" i="1"/>
  <c r="AY184" i="1"/>
  <c r="E149" i="22"/>
  <c r="F149" i="22"/>
  <c r="Q149" i="22"/>
  <c r="R149" i="22"/>
  <c r="D149" i="22"/>
  <c r="AZ185" i="1"/>
  <c r="AY185" i="1"/>
  <c r="E150" i="22"/>
  <c r="F150" i="22"/>
  <c r="Q150" i="22"/>
  <c r="R150" i="22"/>
  <c r="D150" i="22"/>
  <c r="AZ186" i="1"/>
  <c r="AY186" i="1"/>
  <c r="E151" i="22"/>
  <c r="F151" i="22"/>
  <c r="Q151" i="22"/>
  <c r="R151" i="22"/>
  <c r="D151" i="22"/>
  <c r="AZ187" i="1"/>
  <c r="AY187" i="1"/>
  <c r="E152" i="22"/>
  <c r="F152" i="22"/>
  <c r="Q152" i="22"/>
  <c r="R152" i="22"/>
  <c r="D152" i="22"/>
  <c r="AZ188" i="1"/>
  <c r="AY188" i="1"/>
  <c r="R153" i="22"/>
  <c r="Q153" i="22"/>
  <c r="E153" i="22"/>
  <c r="F153" i="22"/>
  <c r="D153" i="22"/>
  <c r="AZ189" i="1"/>
  <c r="AY189" i="1"/>
  <c r="R154" i="22"/>
  <c r="Q154" i="22"/>
  <c r="E154" i="22"/>
  <c r="F154" i="22"/>
  <c r="D154" i="22"/>
  <c r="AZ190" i="1"/>
  <c r="AY190" i="1"/>
  <c r="E155" i="22"/>
  <c r="F155" i="22"/>
  <c r="Q155" i="22"/>
  <c r="R155" i="22"/>
  <c r="D155" i="22"/>
  <c r="AZ192" i="1"/>
  <c r="AY192" i="1"/>
  <c r="E156" i="22"/>
  <c r="F156" i="22"/>
  <c r="D156" i="22"/>
  <c r="Q156" i="22"/>
  <c r="R156" i="22"/>
  <c r="AZ193" i="1"/>
  <c r="AY193" i="1"/>
  <c r="E157" i="22"/>
  <c r="F157" i="22"/>
  <c r="D157" i="22"/>
  <c r="R157" i="22"/>
  <c r="Q157" i="22"/>
  <c r="AZ194" i="1"/>
  <c r="AY194" i="1"/>
  <c r="E158" i="22"/>
  <c r="F158" i="22"/>
  <c r="D158" i="22"/>
  <c r="R158" i="22"/>
  <c r="Q158" i="22"/>
  <c r="AZ195" i="1"/>
  <c r="AY195" i="1"/>
  <c r="E159" i="22"/>
  <c r="F159" i="22"/>
  <c r="D159" i="22"/>
  <c r="R159" i="22"/>
  <c r="Q159" i="22"/>
  <c r="AZ196" i="1"/>
  <c r="AY196" i="1"/>
  <c r="E160" i="22"/>
  <c r="F160" i="22"/>
  <c r="D160" i="22"/>
  <c r="Q160" i="22"/>
  <c r="R160" i="22"/>
  <c r="AZ197" i="1"/>
  <c r="AY197" i="1"/>
  <c r="E161" i="22"/>
  <c r="F161" i="22"/>
  <c r="Q161" i="22"/>
  <c r="D161" i="22"/>
  <c r="R161" i="22"/>
  <c r="AZ198" i="1"/>
  <c r="AY198" i="1"/>
  <c r="E162" i="22"/>
  <c r="F162" i="22"/>
  <c r="Q162" i="22"/>
  <c r="R162" i="22"/>
  <c r="D162" i="22"/>
  <c r="AZ199" i="1"/>
  <c r="AY199" i="1"/>
  <c r="E163" i="22"/>
  <c r="F163" i="22"/>
  <c r="Q163" i="22"/>
  <c r="R163" i="22"/>
  <c r="D163" i="22"/>
  <c r="AZ200" i="1"/>
  <c r="AY200" i="1"/>
  <c r="E164" i="22"/>
  <c r="F164" i="22"/>
  <c r="Q164" i="22"/>
  <c r="R164" i="22"/>
  <c r="D164" i="22"/>
  <c r="AZ201" i="1"/>
  <c r="AY201" i="1"/>
  <c r="E165" i="22"/>
  <c r="F165" i="22"/>
  <c r="Q165" i="22"/>
  <c r="R165" i="22"/>
  <c r="D165" i="22"/>
  <c r="AZ202" i="1"/>
  <c r="AY202" i="1"/>
  <c r="E166" i="22"/>
  <c r="F166" i="22"/>
  <c r="Q166" i="22"/>
  <c r="R166" i="22"/>
  <c r="D166" i="22"/>
  <c r="AZ203" i="1"/>
  <c r="AY203" i="1"/>
  <c r="E167" i="22"/>
  <c r="F167" i="22"/>
  <c r="Q167" i="22"/>
  <c r="R167" i="22"/>
  <c r="D167" i="22"/>
  <c r="AZ204" i="1"/>
  <c r="AY204" i="1"/>
  <c r="E168" i="22"/>
  <c r="F168" i="22"/>
  <c r="Q168" i="22"/>
  <c r="R168" i="22"/>
  <c r="D168" i="22"/>
  <c r="AZ205" i="1"/>
  <c r="AY205" i="1"/>
  <c r="E169" i="22"/>
  <c r="F169" i="22"/>
  <c r="Q169" i="22"/>
  <c r="R169" i="22"/>
  <c r="D169" i="22"/>
  <c r="AZ206" i="1"/>
  <c r="AY206" i="1"/>
  <c r="E170" i="22"/>
  <c r="F170" i="22"/>
  <c r="D170" i="22"/>
  <c r="R170" i="22"/>
  <c r="Q170" i="22"/>
  <c r="AZ207" i="1"/>
  <c r="AY207" i="1"/>
  <c r="E171" i="22"/>
  <c r="F171" i="22"/>
  <c r="D171" i="22"/>
  <c r="Q171" i="22"/>
  <c r="R171" i="22"/>
  <c r="AZ209" i="1"/>
  <c r="AY209" i="1"/>
  <c r="E172" i="22"/>
  <c r="F172" i="22"/>
  <c r="Q172" i="22"/>
  <c r="R172" i="22"/>
  <c r="D172" i="22"/>
  <c r="AZ210" i="1"/>
  <c r="AY210" i="1"/>
  <c r="E173" i="22"/>
  <c r="F173" i="22"/>
  <c r="D173" i="22"/>
  <c r="Q173" i="22"/>
  <c r="R173" i="22"/>
  <c r="AZ211" i="1"/>
  <c r="AY211" i="1"/>
  <c r="E174" i="22"/>
  <c r="F174" i="22"/>
  <c r="D174" i="22"/>
  <c r="Q174" i="22"/>
  <c r="R174" i="22"/>
  <c r="AZ213" i="1"/>
  <c r="AY213" i="1"/>
  <c r="E175" i="22"/>
  <c r="F175" i="22"/>
  <c r="D175" i="22"/>
  <c r="Q175" i="22"/>
  <c r="R175" i="22"/>
  <c r="AZ214" i="1"/>
  <c r="AY214" i="1"/>
  <c r="E176" i="22"/>
  <c r="F176" i="22"/>
  <c r="D176" i="22"/>
  <c r="Q176" i="22"/>
  <c r="R176" i="22"/>
  <c r="AZ216" i="1"/>
  <c r="AY216" i="1"/>
  <c r="E177" i="22"/>
  <c r="F177" i="22"/>
  <c r="Q177" i="22"/>
  <c r="R177" i="22"/>
  <c r="D177" i="22"/>
  <c r="AZ217" i="1"/>
  <c r="AY217" i="1"/>
  <c r="E178" i="22"/>
  <c r="F178" i="22"/>
  <c r="Q178" i="22"/>
  <c r="R178" i="22"/>
  <c r="D178" i="22"/>
  <c r="AZ218" i="1"/>
  <c r="AY218" i="1"/>
  <c r="E179" i="22"/>
  <c r="F179" i="22"/>
  <c r="Q179" i="22"/>
  <c r="R179" i="22"/>
  <c r="D179" i="22"/>
  <c r="AZ219" i="1"/>
  <c r="AY219" i="1"/>
  <c r="E180" i="22"/>
  <c r="F180" i="22"/>
  <c r="Q180" i="22"/>
  <c r="R180" i="22"/>
  <c r="D180" i="22"/>
  <c r="AZ220" i="1"/>
  <c r="AY220" i="1"/>
  <c r="E181" i="22"/>
  <c r="F181" i="22"/>
  <c r="Q181" i="22"/>
  <c r="R181" i="22"/>
  <c r="D181" i="22"/>
  <c r="AZ221" i="1"/>
  <c r="AY221" i="1"/>
  <c r="E182" i="22"/>
  <c r="F182" i="22"/>
  <c r="Q182" i="22"/>
  <c r="R182" i="22"/>
  <c r="D182" i="22"/>
  <c r="AZ222" i="1"/>
  <c r="AY222" i="1"/>
  <c r="E183" i="22"/>
  <c r="F183" i="22"/>
  <c r="Q183" i="22"/>
  <c r="R183" i="22"/>
  <c r="D183" i="22"/>
  <c r="AZ223" i="1"/>
  <c r="AY223" i="1"/>
  <c r="E184" i="22"/>
  <c r="F184" i="22"/>
  <c r="Q184" i="22"/>
  <c r="R184" i="22"/>
  <c r="D184" i="22"/>
  <c r="AZ224" i="1"/>
  <c r="AY224" i="1"/>
  <c r="E185" i="22"/>
  <c r="F185" i="22"/>
  <c r="Q185" i="22"/>
  <c r="R185" i="22"/>
  <c r="D185" i="22"/>
  <c r="AZ225" i="1"/>
  <c r="AY225" i="1"/>
  <c r="G191" i="22"/>
  <c r="H191" i="22"/>
  <c r="G192" i="22"/>
  <c r="H192" i="22"/>
  <c r="G193" i="22"/>
  <c r="H193" i="22"/>
  <c r="G194" i="22"/>
  <c r="H194" i="22"/>
  <c r="G195" i="22"/>
  <c r="H195" i="22"/>
  <c r="G196" i="22"/>
  <c r="H196" i="22"/>
  <c r="G197" i="22"/>
  <c r="H197" i="22"/>
  <c r="G198" i="22"/>
  <c r="H198" i="22"/>
  <c r="G199" i="22"/>
  <c r="H199" i="22"/>
  <c r="E200" i="22"/>
  <c r="F200" i="22"/>
  <c r="Q200" i="22"/>
  <c r="R200" i="22"/>
  <c r="D200" i="22"/>
  <c r="AZ244" i="1"/>
  <c r="AY244" i="1"/>
  <c r="E201" i="22"/>
  <c r="F201" i="22"/>
  <c r="Q201" i="22"/>
  <c r="R201" i="22"/>
  <c r="D201" i="22"/>
  <c r="AZ245" i="1"/>
  <c r="AY245" i="1"/>
  <c r="E202" i="22"/>
  <c r="F202" i="22"/>
  <c r="Q202" i="22"/>
  <c r="R202" i="22"/>
  <c r="D202" i="22"/>
  <c r="AZ246" i="1"/>
  <c r="AY246" i="1"/>
  <c r="E203" i="22"/>
  <c r="F203" i="22"/>
  <c r="Q203" i="22"/>
  <c r="R203" i="22"/>
  <c r="D203" i="22"/>
  <c r="AZ247" i="1"/>
  <c r="AY247" i="1"/>
  <c r="E204" i="22"/>
  <c r="F204" i="22"/>
  <c r="Q204" i="22"/>
  <c r="R204" i="22"/>
  <c r="D204" i="22"/>
  <c r="AZ249" i="1"/>
  <c r="AY249" i="1"/>
  <c r="E205" i="22"/>
  <c r="F205" i="22"/>
  <c r="Q205" i="22"/>
  <c r="R205" i="22"/>
  <c r="D205" i="22"/>
  <c r="AZ250" i="1"/>
  <c r="AY250" i="1"/>
  <c r="E206" i="22"/>
  <c r="F206" i="22"/>
  <c r="Q206" i="22"/>
  <c r="R206" i="22"/>
  <c r="D206" i="22"/>
  <c r="AZ252" i="1"/>
  <c r="AY252" i="1"/>
  <c r="E207" i="22"/>
  <c r="F207" i="22"/>
  <c r="Q207" i="22"/>
  <c r="R207" i="22"/>
  <c r="D207" i="22"/>
  <c r="AZ253" i="1"/>
  <c r="AY253" i="1"/>
  <c r="E208" i="22"/>
  <c r="F208" i="22"/>
  <c r="Q208" i="22"/>
  <c r="R208" i="22"/>
  <c r="D208" i="22"/>
  <c r="AZ254" i="1"/>
  <c r="AY254" i="1"/>
  <c r="E209" i="22"/>
  <c r="F209" i="22"/>
  <c r="Q209" i="22"/>
  <c r="R209" i="22"/>
  <c r="D209" i="22"/>
  <c r="AZ255" i="1"/>
  <c r="AY255" i="1"/>
  <c r="E210" i="22"/>
  <c r="F210" i="22"/>
  <c r="D210" i="22"/>
  <c r="Q210" i="22"/>
  <c r="R210" i="22"/>
  <c r="AZ257" i="1"/>
  <c r="AY257" i="1"/>
  <c r="E212" i="22"/>
  <c r="F212" i="22"/>
  <c r="Q212" i="22"/>
  <c r="R212" i="22"/>
  <c r="D212" i="22"/>
  <c r="AZ261" i="1"/>
  <c r="AY261" i="1"/>
  <c r="E60" i="22"/>
  <c r="F60" i="22"/>
  <c r="Q60" i="22"/>
  <c r="R60" i="22"/>
  <c r="D60" i="22"/>
  <c r="E59" i="22"/>
  <c r="F59" i="22"/>
  <c r="Q59" i="22"/>
  <c r="R59" i="22"/>
  <c r="D59" i="22"/>
  <c r="G58" i="22"/>
  <c r="H58" i="22"/>
  <c r="G52" i="22"/>
  <c r="H52" i="22"/>
  <c r="G53" i="22"/>
  <c r="H53" i="22"/>
  <c r="G54" i="22"/>
  <c r="H54" i="22"/>
  <c r="G48" i="22"/>
  <c r="H48" i="22"/>
  <c r="G47" i="22"/>
  <c r="H47" i="22"/>
  <c r="G46" i="22"/>
  <c r="H46" i="22"/>
  <c r="G45" i="22"/>
  <c r="H45" i="22"/>
  <c r="G44" i="22"/>
  <c r="H44" i="22"/>
  <c r="H40" i="22"/>
  <c r="G40" i="22"/>
  <c r="G41" i="22"/>
  <c r="H41" i="22"/>
  <c r="G42" i="22"/>
  <c r="H42" i="22"/>
  <c r="G10" i="22"/>
  <c r="H10" i="22"/>
  <c r="G35" i="22"/>
  <c r="H35" i="22"/>
  <c r="H8" i="22"/>
  <c r="G8" i="22"/>
  <c r="G16" i="22"/>
  <c r="H16" i="22"/>
  <c r="H22" i="22"/>
  <c r="G22" i="22"/>
  <c r="H26" i="22"/>
  <c r="G26" i="22"/>
  <c r="G11" i="22"/>
  <c r="H11" i="22"/>
  <c r="H13" i="22"/>
  <c r="G13" i="22"/>
  <c r="H12" i="22"/>
  <c r="G12" i="22"/>
  <c r="H24" i="22"/>
  <c r="G24" i="22"/>
  <c r="H28" i="22"/>
  <c r="G28" i="22"/>
  <c r="H33" i="22"/>
  <c r="G33" i="22"/>
  <c r="G39" i="22"/>
  <c r="H39" i="22"/>
  <c r="H27" i="22"/>
  <c r="G27" i="22"/>
  <c r="G34" i="22"/>
  <c r="H34" i="22"/>
  <c r="H17" i="22"/>
  <c r="G17" i="22"/>
  <c r="G21" i="22"/>
  <c r="H21" i="22"/>
  <c r="H25" i="22"/>
  <c r="G25" i="22"/>
  <c r="G20" i="22"/>
  <c r="H20" i="22"/>
  <c r="H31" i="22"/>
  <c r="G31" i="22"/>
  <c r="H7" i="22"/>
  <c r="G7" i="22"/>
  <c r="H18" i="22"/>
  <c r="G18" i="22"/>
  <c r="H32" i="22"/>
  <c r="G32" i="22"/>
  <c r="H37" i="22"/>
  <c r="G37" i="22"/>
  <c r="G30" i="22"/>
  <c r="H30" i="22"/>
  <c r="H36" i="22"/>
  <c r="G36" i="22"/>
  <c r="G14" i="22"/>
  <c r="H14" i="22"/>
  <c r="H19" i="22"/>
  <c r="G19" i="22"/>
  <c r="H9" i="22"/>
  <c r="G9" i="22"/>
  <c r="G15" i="22"/>
  <c r="H15" i="22"/>
  <c r="H23" i="22"/>
  <c r="G23" i="22"/>
  <c r="H29" i="22"/>
  <c r="G29" i="22"/>
  <c r="G38" i="22"/>
  <c r="H38" i="22"/>
  <c r="G6" i="22"/>
  <c r="H6" i="22"/>
  <c r="I235" i="22" l="1"/>
  <c r="K235" i="22"/>
  <c r="M235" i="22"/>
  <c r="N235" i="22" s="1"/>
  <c r="I236" i="22"/>
  <c r="K236" i="22"/>
  <c r="M236" i="22"/>
  <c r="N236" i="22" s="1"/>
  <c r="I237" i="22"/>
  <c r="K237" i="22"/>
  <c r="M237" i="22"/>
  <c r="N237" i="22" s="1"/>
  <c r="I238" i="22"/>
  <c r="K238" i="22"/>
  <c r="M238" i="22"/>
  <c r="N238" i="22" s="1"/>
  <c r="I233" i="22"/>
  <c r="K233" i="22"/>
  <c r="M233" i="22"/>
  <c r="N233" i="22" s="1"/>
  <c r="I215" i="22"/>
  <c r="K215" i="22"/>
  <c r="M215" i="22"/>
  <c r="N215" i="22" s="1"/>
  <c r="I5" i="22"/>
  <c r="K5" i="22"/>
  <c r="M5" i="22"/>
  <c r="N5" i="22" s="1"/>
  <c r="I43" i="22"/>
  <c r="K43" i="22"/>
  <c r="M43" i="22"/>
  <c r="N43" i="22" s="1"/>
  <c r="I76" i="22"/>
  <c r="K76" i="22"/>
  <c r="M76" i="22"/>
  <c r="N76" i="22" s="1"/>
  <c r="I75" i="22"/>
  <c r="K75" i="22"/>
  <c r="M75" i="22"/>
  <c r="N75" i="22" s="1"/>
  <c r="I74" i="22"/>
  <c r="K74" i="22"/>
  <c r="I73" i="22"/>
  <c r="K73" i="22"/>
  <c r="M73" i="22"/>
  <c r="N73" i="22" s="1"/>
  <c r="I72" i="22"/>
  <c r="K72" i="22"/>
  <c r="M71" i="22"/>
  <c r="N71" i="22" s="1"/>
  <c r="I71" i="22"/>
  <c r="K71" i="22"/>
  <c r="I67" i="22"/>
  <c r="K67" i="22"/>
  <c r="M67" i="22"/>
  <c r="N67" i="22" s="1"/>
  <c r="I66" i="22"/>
  <c r="K66" i="22"/>
  <c r="M66" i="22"/>
  <c r="N66" i="22" s="1"/>
  <c r="I63" i="22"/>
  <c r="K63" i="22"/>
  <c r="M63" i="22"/>
  <c r="N63" i="22" s="1"/>
  <c r="I62" i="22"/>
  <c r="K62" i="22"/>
  <c r="M62" i="22"/>
  <c r="N62" i="22" s="1"/>
  <c r="I61" i="22"/>
  <c r="K61" i="22"/>
  <c r="M61" i="22"/>
  <c r="N61" i="22" s="1"/>
  <c r="I50" i="22"/>
  <c r="K50" i="22"/>
  <c r="M50" i="22"/>
  <c r="N50" i="22" s="1"/>
  <c r="I57" i="22"/>
  <c r="K57" i="22"/>
  <c r="M57" i="22"/>
  <c r="N57" i="22" s="1"/>
  <c r="I56" i="22"/>
  <c r="K56" i="22"/>
  <c r="M56" i="22"/>
  <c r="N56" i="22" s="1"/>
  <c r="I55" i="22"/>
  <c r="K55" i="22"/>
  <c r="M55" i="22"/>
  <c r="N55" i="22" s="1"/>
  <c r="I79" i="22"/>
  <c r="K79" i="22"/>
  <c r="M79" i="22"/>
  <c r="N79" i="22" s="1"/>
  <c r="I78" i="22"/>
  <c r="K78" i="22"/>
  <c r="M78" i="22"/>
  <c r="N78" i="22" s="1"/>
  <c r="I77" i="22"/>
  <c r="K77" i="22"/>
  <c r="M77" i="22"/>
  <c r="N77" i="22" s="1"/>
  <c r="I68" i="22"/>
  <c r="K68" i="22"/>
  <c r="I69" i="22"/>
  <c r="K69" i="22"/>
  <c r="I70" i="22"/>
  <c r="K70" i="22"/>
  <c r="I81" i="22"/>
  <c r="K81" i="22"/>
  <c r="I88" i="22"/>
  <c r="K88" i="22"/>
  <c r="I89" i="22"/>
  <c r="K89" i="22"/>
  <c r="I90" i="22"/>
  <c r="K90" i="22"/>
  <c r="I97" i="22"/>
  <c r="K97" i="22"/>
  <c r="M97" i="22"/>
  <c r="N97" i="22" s="1"/>
  <c r="I98" i="22"/>
  <c r="K98" i="22"/>
  <c r="M98" i="22"/>
  <c r="N98" i="22" s="1"/>
  <c r="I99" i="22"/>
  <c r="K99" i="22"/>
  <c r="M99" i="22"/>
  <c r="N99" i="22" s="1"/>
  <c r="I114" i="22"/>
  <c r="K114" i="22"/>
  <c r="M114" i="22"/>
  <c r="N114" i="22" s="1"/>
  <c r="I115" i="22"/>
  <c r="K115" i="22"/>
  <c r="M115" i="22"/>
  <c r="N115" i="22" s="1"/>
  <c r="I125" i="22"/>
  <c r="K125" i="22"/>
  <c r="M125" i="22"/>
  <c r="N125" i="22" s="1"/>
  <c r="M186" i="22"/>
  <c r="N186" i="22" s="1"/>
  <c r="I186" i="22"/>
  <c r="K186" i="22"/>
  <c r="I187" i="22"/>
  <c r="K187" i="22"/>
  <c r="M187" i="22"/>
  <c r="N187" i="22" s="1"/>
  <c r="I188" i="22"/>
  <c r="K188" i="22"/>
  <c r="M188" i="22"/>
  <c r="N188" i="22" s="1"/>
  <c r="I189" i="22"/>
  <c r="K189" i="22"/>
  <c r="M189" i="22"/>
  <c r="N189" i="22" s="1"/>
  <c r="I190" i="22"/>
  <c r="K190" i="22"/>
  <c r="I211" i="22"/>
  <c r="K211" i="22"/>
  <c r="M211" i="22"/>
  <c r="N211" i="22" s="1"/>
  <c r="I213" i="22"/>
  <c r="K213" i="22"/>
  <c r="M213" i="22"/>
  <c r="N213" i="22" s="1"/>
  <c r="I214" i="22"/>
  <c r="K214" i="22"/>
  <c r="M214" i="22"/>
  <c r="N214" i="22" s="1"/>
  <c r="I51" i="22"/>
  <c r="K51" i="22"/>
  <c r="M51" i="22"/>
  <c r="N51" i="22" s="1"/>
  <c r="I65" i="22"/>
  <c r="K65" i="22"/>
  <c r="M65" i="22"/>
  <c r="N65" i="22" s="1"/>
  <c r="I64" i="22"/>
  <c r="K64" i="22"/>
  <c r="M64" i="22"/>
  <c r="N64" i="22" s="1"/>
  <c r="I49" i="22"/>
  <c r="K49" i="22"/>
  <c r="M49" i="22"/>
  <c r="N49" i="22" s="1"/>
  <c r="M6" i="22"/>
  <c r="N6" i="22" s="1"/>
  <c r="I6" i="22"/>
  <c r="K6" i="22"/>
  <c r="M38" i="22"/>
  <c r="N38" i="22" s="1"/>
  <c r="K38" i="22"/>
  <c r="I38" i="22"/>
  <c r="M29" i="22"/>
  <c r="N29" i="22" s="1"/>
  <c r="I29" i="22"/>
  <c r="K29" i="22"/>
  <c r="M23" i="22"/>
  <c r="N23" i="22" s="1"/>
  <c r="I23" i="22"/>
  <c r="K23" i="22"/>
  <c r="M15" i="22"/>
  <c r="N15" i="22" s="1"/>
  <c r="K15" i="22"/>
  <c r="I15" i="22"/>
  <c r="M9" i="22"/>
  <c r="N9" i="22" s="1"/>
  <c r="K9" i="22"/>
  <c r="I9" i="22"/>
  <c r="M19" i="22"/>
  <c r="N19" i="22" s="1"/>
  <c r="K19" i="22"/>
  <c r="I19" i="22"/>
  <c r="M14" i="22"/>
  <c r="N14" i="22" s="1"/>
  <c r="I14" i="22"/>
  <c r="K14" i="22"/>
  <c r="M36" i="22"/>
  <c r="N36" i="22" s="1"/>
  <c r="I36" i="22"/>
  <c r="K36" i="22"/>
  <c r="M30" i="22"/>
  <c r="N30" i="22" s="1"/>
  <c r="I30" i="22"/>
  <c r="K30" i="22"/>
  <c r="M37" i="22"/>
  <c r="N37" i="22" s="1"/>
  <c r="I37" i="22"/>
  <c r="K37" i="22"/>
  <c r="M32" i="22"/>
  <c r="N32" i="22" s="1"/>
  <c r="K32" i="22"/>
  <c r="I32" i="22"/>
  <c r="M18" i="22"/>
  <c r="N18" i="22" s="1"/>
  <c r="I18" i="22"/>
  <c r="K18" i="22"/>
  <c r="M7" i="22"/>
  <c r="N7" i="22" s="1"/>
  <c r="I7" i="22"/>
  <c r="K7" i="22"/>
  <c r="M31" i="22"/>
  <c r="N31" i="22" s="1"/>
  <c r="I31" i="22"/>
  <c r="K31" i="22"/>
  <c r="M20" i="22"/>
  <c r="N20" i="22" s="1"/>
  <c r="K20" i="22"/>
  <c r="I20" i="22"/>
  <c r="M25" i="22"/>
  <c r="N25" i="22" s="1"/>
  <c r="K25" i="22"/>
  <c r="I25" i="22"/>
  <c r="M21" i="22"/>
  <c r="N21" i="22" s="1"/>
  <c r="K21" i="22"/>
  <c r="I21" i="22"/>
  <c r="M17" i="22"/>
  <c r="N17" i="22" s="1"/>
  <c r="I17" i="22"/>
  <c r="K17" i="22"/>
  <c r="M34" i="22"/>
  <c r="N34" i="22" s="1"/>
  <c r="I34" i="22"/>
  <c r="K34" i="22"/>
  <c r="M27" i="22"/>
  <c r="N27" i="22" s="1"/>
  <c r="K27" i="22"/>
  <c r="I27" i="22"/>
  <c r="M39" i="22"/>
  <c r="N39" i="22" s="1"/>
  <c r="K39" i="22"/>
  <c r="I39" i="22"/>
  <c r="M33" i="22"/>
  <c r="N33" i="22" s="1"/>
  <c r="I33" i="22"/>
  <c r="K33" i="22"/>
  <c r="M28" i="22"/>
  <c r="N28" i="22" s="1"/>
  <c r="I28" i="22"/>
  <c r="K28" i="22"/>
  <c r="M24" i="22"/>
  <c r="N24" i="22" s="1"/>
  <c r="I24" i="22"/>
  <c r="K24" i="22"/>
  <c r="M12" i="22"/>
  <c r="N12" i="22" s="1"/>
  <c r="K12" i="22"/>
  <c r="I12" i="22"/>
  <c r="M13" i="22"/>
  <c r="N13" i="22" s="1"/>
  <c r="K13" i="22"/>
  <c r="I13" i="22"/>
  <c r="M11" i="22"/>
  <c r="N11" i="22" s="1"/>
  <c r="I11" i="22"/>
  <c r="K11" i="22"/>
  <c r="M26" i="22"/>
  <c r="N26" i="22" s="1"/>
  <c r="K26" i="22"/>
  <c r="I26" i="22"/>
  <c r="M22" i="22"/>
  <c r="N22" i="22" s="1"/>
  <c r="I22" i="22"/>
  <c r="K22" i="22"/>
  <c r="M16" i="22"/>
  <c r="N16" i="22" s="1"/>
  <c r="I16" i="22"/>
  <c r="K16" i="22"/>
  <c r="K8" i="22"/>
  <c r="M8" i="22"/>
  <c r="N8" i="22" s="1"/>
  <c r="I8" i="22"/>
  <c r="M35" i="22"/>
  <c r="N35" i="22" s="1"/>
  <c r="K35" i="22"/>
  <c r="I35" i="22"/>
  <c r="M10" i="22"/>
  <c r="N10" i="22" s="1"/>
  <c r="I10" i="22"/>
  <c r="K10" i="22"/>
  <c r="M42" i="22"/>
  <c r="N42" i="22" s="1"/>
  <c r="I42" i="22"/>
  <c r="K42" i="22"/>
  <c r="M41" i="22"/>
  <c r="N41" i="22" s="1"/>
  <c r="I41" i="22"/>
  <c r="K41" i="22"/>
  <c r="M40" i="22"/>
  <c r="N40" i="22" s="1"/>
  <c r="K40" i="22"/>
  <c r="I40" i="22"/>
  <c r="I44" i="22"/>
  <c r="K44" i="22"/>
  <c r="M44" i="22"/>
  <c r="N44" i="22" s="1"/>
  <c r="I45" i="22"/>
  <c r="K45" i="22"/>
  <c r="M45" i="22"/>
  <c r="N45" i="22" s="1"/>
  <c r="I46" i="22"/>
  <c r="K46" i="22"/>
  <c r="M46" i="22"/>
  <c r="N46" i="22" s="1"/>
  <c r="I47" i="22"/>
  <c r="K47" i="22"/>
  <c r="M47" i="22"/>
  <c r="N47" i="22" s="1"/>
  <c r="I48" i="22"/>
  <c r="K48" i="22"/>
  <c r="M48" i="22"/>
  <c r="N48" i="22" s="1"/>
  <c r="I54" i="22"/>
  <c r="K54" i="22"/>
  <c r="M54" i="22"/>
  <c r="N54" i="22" s="1"/>
  <c r="I53" i="22"/>
  <c r="K53" i="22"/>
  <c r="M53" i="22"/>
  <c r="N53" i="22" s="1"/>
  <c r="I52" i="22"/>
  <c r="K52" i="22"/>
  <c r="M52" i="22"/>
  <c r="N52" i="22" s="1"/>
  <c r="I58" i="22"/>
  <c r="K58" i="22"/>
  <c r="M58" i="22"/>
  <c r="N58" i="22" s="1"/>
  <c r="G59" i="22"/>
  <c r="H59" i="22"/>
  <c r="G60" i="22"/>
  <c r="H60" i="22"/>
  <c r="G212" i="22"/>
  <c r="H212" i="22"/>
  <c r="G210" i="22"/>
  <c r="H210" i="22"/>
  <c r="G209" i="22"/>
  <c r="H209" i="22"/>
  <c r="G208" i="22"/>
  <c r="H208" i="22"/>
  <c r="G207" i="22"/>
  <c r="H207" i="22"/>
  <c r="G206" i="22"/>
  <c r="H206" i="22"/>
  <c r="G205" i="22"/>
  <c r="H205" i="22"/>
  <c r="G204" i="22"/>
  <c r="H204" i="22"/>
  <c r="G203" i="22"/>
  <c r="H203" i="22"/>
  <c r="G202" i="22"/>
  <c r="H202" i="22"/>
  <c r="G201" i="22"/>
  <c r="H201" i="22"/>
  <c r="G200" i="22"/>
  <c r="H200" i="22"/>
  <c r="I199" i="22"/>
  <c r="K199" i="22"/>
  <c r="M199" i="22"/>
  <c r="N199" i="22" s="1"/>
  <c r="I198" i="22"/>
  <c r="K198" i="22"/>
  <c r="M198" i="22"/>
  <c r="N198" i="22" s="1"/>
  <c r="I197" i="22"/>
  <c r="K197" i="22"/>
  <c r="M197" i="22"/>
  <c r="N197" i="22" s="1"/>
  <c r="I196" i="22"/>
  <c r="K196" i="22"/>
  <c r="M196" i="22"/>
  <c r="N196" i="22" s="1"/>
  <c r="I195" i="22"/>
  <c r="K195" i="22"/>
  <c r="M195" i="22"/>
  <c r="N195" i="22" s="1"/>
  <c r="I194" i="22"/>
  <c r="K194" i="22"/>
  <c r="M194" i="22"/>
  <c r="N194" i="22" s="1"/>
  <c r="I193" i="22"/>
  <c r="K193" i="22"/>
  <c r="M193" i="22"/>
  <c r="N193" i="22" s="1"/>
  <c r="I192" i="22"/>
  <c r="K192" i="22"/>
  <c r="M192" i="22"/>
  <c r="N192" i="22" s="1"/>
  <c r="M191" i="22"/>
  <c r="N191" i="22" s="1"/>
  <c r="I191" i="22"/>
  <c r="K191" i="22"/>
  <c r="G185" i="22"/>
  <c r="H185" i="22"/>
  <c r="G184" i="22"/>
  <c r="H184" i="22"/>
  <c r="G183" i="22"/>
  <c r="H183" i="22"/>
  <c r="G182" i="22"/>
  <c r="H182" i="22"/>
  <c r="G181" i="22"/>
  <c r="H181" i="22"/>
  <c r="G180" i="22"/>
  <c r="H180" i="22"/>
  <c r="G179" i="22"/>
  <c r="H179" i="22"/>
  <c r="G178" i="22"/>
  <c r="H178" i="22"/>
  <c r="G177" i="22"/>
  <c r="H177" i="22"/>
  <c r="G176" i="22"/>
  <c r="H176" i="22"/>
  <c r="G175" i="22"/>
  <c r="H175" i="22"/>
  <c r="G174" i="22"/>
  <c r="H174" i="22"/>
  <c r="G173" i="22"/>
  <c r="H173" i="22"/>
  <c r="G172" i="22"/>
  <c r="H172" i="22"/>
  <c r="G171" i="22"/>
  <c r="H171" i="22"/>
  <c r="G170" i="22"/>
  <c r="H170" i="22"/>
  <c r="G169" i="22"/>
  <c r="H169" i="22"/>
  <c r="G168" i="22"/>
  <c r="H168" i="22"/>
  <c r="G167" i="22"/>
  <c r="H167" i="22"/>
  <c r="G166" i="22"/>
  <c r="H166" i="22"/>
  <c r="G165" i="22"/>
  <c r="H165" i="22"/>
  <c r="G164" i="22"/>
  <c r="H164" i="22"/>
  <c r="G163" i="22"/>
  <c r="H163" i="22"/>
  <c r="G162" i="22"/>
  <c r="H162" i="22"/>
  <c r="G161" i="22"/>
  <c r="H161" i="22"/>
  <c r="G160" i="22"/>
  <c r="H160" i="22"/>
  <c r="G159" i="22"/>
  <c r="H159" i="22"/>
  <c r="G158" i="22"/>
  <c r="H158" i="22"/>
  <c r="G157" i="22"/>
  <c r="H157" i="22"/>
  <c r="G156" i="22"/>
  <c r="H156" i="22"/>
  <c r="G155" i="22"/>
  <c r="H155" i="22"/>
  <c r="G154" i="22"/>
  <c r="H154" i="22"/>
  <c r="G153" i="22"/>
  <c r="H153" i="22"/>
  <c r="G152" i="22"/>
  <c r="H152" i="22"/>
  <c r="G151" i="22"/>
  <c r="H151" i="22"/>
  <c r="G150" i="22"/>
  <c r="H150" i="22"/>
  <c r="G149" i="22"/>
  <c r="H149" i="22"/>
  <c r="G148" i="22"/>
  <c r="H148" i="22"/>
  <c r="G147" i="22"/>
  <c r="H147" i="22"/>
  <c r="G146" i="22"/>
  <c r="H146" i="22"/>
  <c r="G145" i="22"/>
  <c r="H145" i="22"/>
  <c r="G144" i="22"/>
  <c r="H144" i="22"/>
  <c r="G143" i="22"/>
  <c r="H143" i="22"/>
  <c r="G142" i="22"/>
  <c r="H142" i="22"/>
  <c r="G141" i="22"/>
  <c r="H141" i="22"/>
  <c r="G140" i="22"/>
  <c r="H140" i="22"/>
  <c r="G139" i="22"/>
  <c r="H139" i="22"/>
  <c r="G138" i="22"/>
  <c r="H138" i="22"/>
  <c r="G137" i="22"/>
  <c r="H137" i="22"/>
  <c r="G136" i="22"/>
  <c r="H136" i="22"/>
  <c r="G135" i="22"/>
  <c r="H135" i="22"/>
  <c r="G134" i="22"/>
  <c r="H134" i="22"/>
  <c r="G133" i="22"/>
  <c r="H133" i="22"/>
  <c r="G132" i="22"/>
  <c r="H132" i="22"/>
  <c r="G131" i="22"/>
  <c r="H131" i="22"/>
  <c r="G130" i="22"/>
  <c r="H130" i="22"/>
  <c r="G129" i="22"/>
  <c r="H129" i="22"/>
  <c r="G128" i="22"/>
  <c r="H128" i="22"/>
  <c r="G127" i="22"/>
  <c r="H127" i="22"/>
  <c r="G126" i="22"/>
  <c r="H126" i="22"/>
  <c r="G124" i="22"/>
  <c r="H124" i="22"/>
  <c r="G123" i="22"/>
  <c r="H123" i="22"/>
  <c r="G122" i="22"/>
  <c r="H122" i="22"/>
  <c r="G121" i="22"/>
  <c r="H121" i="22"/>
  <c r="G120" i="22"/>
  <c r="H120" i="22"/>
  <c r="G119" i="22"/>
  <c r="H119" i="22"/>
  <c r="G117" i="22"/>
  <c r="H117" i="22"/>
  <c r="G116" i="22"/>
  <c r="H116" i="22"/>
  <c r="I113" i="22"/>
  <c r="K113" i="22"/>
  <c r="M113" i="22"/>
  <c r="N113" i="22" s="1"/>
  <c r="I112" i="22"/>
  <c r="K112" i="22"/>
  <c r="I111" i="22"/>
  <c r="K111" i="22"/>
  <c r="M111" i="22"/>
  <c r="N111" i="22" s="1"/>
  <c r="G110" i="22"/>
  <c r="H110" i="22"/>
  <c r="G109" i="22"/>
  <c r="H109" i="22"/>
  <c r="G108" i="22"/>
  <c r="H108" i="22"/>
  <c r="G107" i="22"/>
  <c r="H107" i="22"/>
  <c r="G106" i="22"/>
  <c r="H106" i="22"/>
  <c r="G105" i="22"/>
  <c r="H105" i="22"/>
  <c r="G104" i="22"/>
  <c r="H104" i="22"/>
  <c r="G103" i="22"/>
  <c r="H103" i="22"/>
  <c r="G102" i="22"/>
  <c r="H102" i="22"/>
  <c r="G101" i="22"/>
  <c r="H101" i="22"/>
  <c r="G100" i="22"/>
  <c r="H100" i="22"/>
  <c r="G96" i="22"/>
  <c r="H96" i="22"/>
  <c r="G95" i="22"/>
  <c r="H95" i="22"/>
  <c r="G94" i="22"/>
  <c r="H94" i="22"/>
  <c r="G93" i="22"/>
  <c r="H93" i="22"/>
  <c r="G92" i="22"/>
  <c r="H92" i="22"/>
  <c r="G91" i="22"/>
  <c r="H91" i="22"/>
  <c r="G87" i="22"/>
  <c r="H87" i="22"/>
  <c r="G86" i="22"/>
  <c r="H86" i="22"/>
  <c r="G85" i="22"/>
  <c r="H85" i="22"/>
  <c r="G84" i="22"/>
  <c r="H84" i="22"/>
  <c r="G83" i="22"/>
  <c r="H83" i="22"/>
  <c r="G82" i="22"/>
  <c r="H82" i="22"/>
  <c r="G80" i="22"/>
  <c r="H80" i="22"/>
  <c r="G118" i="22"/>
  <c r="H118" i="22"/>
  <c r="I234" i="22"/>
  <c r="K234" i="22"/>
  <c r="M234" i="22"/>
  <c r="N234" i="22" s="1"/>
  <c r="I232" i="22"/>
  <c r="K232" i="22"/>
  <c r="M232" i="22"/>
  <c r="N232" i="22" s="1"/>
  <c r="I231" i="22"/>
  <c r="K231" i="22"/>
  <c r="M231" i="22"/>
  <c r="N231" i="22" s="1"/>
  <c r="I230" i="22"/>
  <c r="K230" i="22"/>
  <c r="M230" i="22"/>
  <c r="N230" i="22" s="1"/>
  <c r="I229" i="22"/>
  <c r="K229" i="22"/>
  <c r="M229" i="22"/>
  <c r="N229" i="22" s="1"/>
  <c r="I228" i="22"/>
  <c r="K228" i="22"/>
  <c r="M228" i="22"/>
  <c r="N228" i="22" s="1"/>
  <c r="I227" i="22"/>
  <c r="K227" i="22"/>
  <c r="M227" i="22"/>
  <c r="N227" i="22" s="1"/>
  <c r="I226" i="22"/>
  <c r="K226" i="22"/>
  <c r="M226" i="22"/>
  <c r="N226" i="22" s="1"/>
  <c r="I225" i="22"/>
  <c r="K225" i="22"/>
  <c r="M225" i="22"/>
  <c r="N225" i="22" s="1"/>
  <c r="I224" i="22"/>
  <c r="K224" i="22"/>
  <c r="M224" i="22"/>
  <c r="N224" i="22" s="1"/>
  <c r="I223" i="22"/>
  <c r="K223" i="22"/>
  <c r="M223" i="22"/>
  <c r="N223" i="22" s="1"/>
  <c r="I222" i="22"/>
  <c r="K222" i="22"/>
  <c r="M222" i="22"/>
  <c r="N222" i="22" s="1"/>
  <c r="I221" i="22"/>
  <c r="K221" i="22"/>
  <c r="M221" i="22"/>
  <c r="N221" i="22" s="1"/>
  <c r="I220" i="22"/>
  <c r="K220" i="22"/>
  <c r="M220" i="22"/>
  <c r="N220" i="22" s="1"/>
  <c r="I219" i="22"/>
  <c r="K219" i="22"/>
  <c r="M219" i="22"/>
  <c r="N219" i="22" s="1"/>
  <c r="I218" i="22"/>
  <c r="K218" i="22"/>
  <c r="M218" i="22"/>
  <c r="N218" i="22" s="1"/>
  <c r="G217" i="22"/>
  <c r="H217" i="22"/>
  <c r="I216" i="22"/>
  <c r="K216" i="22"/>
  <c r="M216" i="22"/>
  <c r="N216" i="22" s="1"/>
  <c r="L49" i="22" l="1"/>
  <c r="O49" i="22"/>
  <c r="P49" i="22" s="1"/>
  <c r="V49" i="22"/>
  <c r="W49" i="22"/>
  <c r="L64" i="22"/>
  <c r="O64" i="22"/>
  <c r="P64" i="22" s="1"/>
  <c r="V64" i="22"/>
  <c r="W64" i="22"/>
  <c r="L65" i="22"/>
  <c r="O65" i="22"/>
  <c r="P65" i="22" s="1"/>
  <c r="V65" i="22"/>
  <c r="W65" i="22"/>
  <c r="L51" i="22"/>
  <c r="O51" i="22"/>
  <c r="P51" i="22" s="1"/>
  <c r="V51" i="22"/>
  <c r="W51" i="22"/>
  <c r="L214" i="22"/>
  <c r="O214" i="22"/>
  <c r="P214" i="22" s="1"/>
  <c r="V214" i="22"/>
  <c r="W214" i="22"/>
  <c r="L213" i="22"/>
  <c r="O213" i="22"/>
  <c r="P213" i="22" s="1"/>
  <c r="V213" i="22"/>
  <c r="W213" i="22"/>
  <c r="L211" i="22"/>
  <c r="O211" i="22"/>
  <c r="P211" i="22" s="1"/>
  <c r="V211" i="22"/>
  <c r="W211" i="22"/>
  <c r="L190" i="22"/>
  <c r="O190" i="22"/>
  <c r="P190" i="22" s="1"/>
  <c r="V190" i="22"/>
  <c r="W190" i="22"/>
  <c r="L189" i="22"/>
  <c r="O189" i="22"/>
  <c r="P189" i="22" s="1"/>
  <c r="V189" i="22"/>
  <c r="W189" i="22"/>
  <c r="L188" i="22"/>
  <c r="O188" i="22"/>
  <c r="P188" i="22" s="1"/>
  <c r="V188" i="22"/>
  <c r="W188" i="22"/>
  <c r="L187" i="22"/>
  <c r="O187" i="22"/>
  <c r="P187" i="22" s="1"/>
  <c r="V187" i="22"/>
  <c r="W187" i="22"/>
  <c r="L186" i="22"/>
  <c r="O186" i="22"/>
  <c r="P186" i="22" s="1"/>
  <c r="V186" i="22"/>
  <c r="W186" i="22"/>
  <c r="L125" i="22"/>
  <c r="O125" i="22"/>
  <c r="P125" i="22" s="1"/>
  <c r="V125" i="22"/>
  <c r="W125" i="22"/>
  <c r="L115" i="22"/>
  <c r="O115" i="22"/>
  <c r="P115" i="22" s="1"/>
  <c r="V115" i="22"/>
  <c r="W115" i="22"/>
  <c r="L114" i="22"/>
  <c r="O114" i="22"/>
  <c r="P114" i="22" s="1"/>
  <c r="V114" i="22"/>
  <c r="W114" i="22"/>
  <c r="L99" i="22"/>
  <c r="O99" i="22"/>
  <c r="P99" i="22" s="1"/>
  <c r="V99" i="22"/>
  <c r="W99" i="22"/>
  <c r="L98" i="22"/>
  <c r="O98" i="22"/>
  <c r="P98" i="22" s="1"/>
  <c r="V98" i="22"/>
  <c r="W98" i="22"/>
  <c r="L97" i="22"/>
  <c r="O97" i="22"/>
  <c r="P97" i="22" s="1"/>
  <c r="V97" i="22"/>
  <c r="W97" i="22"/>
  <c r="L90" i="22"/>
  <c r="O90" i="22"/>
  <c r="P90" i="22" s="1"/>
  <c r="V90" i="22"/>
  <c r="W90" i="22"/>
  <c r="L89" i="22"/>
  <c r="O89" i="22"/>
  <c r="P89" i="22" s="1"/>
  <c r="V89" i="22"/>
  <c r="W89" i="22"/>
  <c r="L88" i="22"/>
  <c r="O88" i="22"/>
  <c r="P88" i="22" s="1"/>
  <c r="V88" i="22"/>
  <c r="W88" i="22"/>
  <c r="L81" i="22"/>
  <c r="O81" i="22"/>
  <c r="P81" i="22" s="1"/>
  <c r="V81" i="22"/>
  <c r="W81" i="22"/>
  <c r="L70" i="22"/>
  <c r="O70" i="22"/>
  <c r="P70" i="22" s="1"/>
  <c r="V70" i="22"/>
  <c r="W70" i="22"/>
  <c r="L69" i="22"/>
  <c r="O69" i="22"/>
  <c r="P69" i="22" s="1"/>
  <c r="V69" i="22"/>
  <c r="W69" i="22"/>
  <c r="L68" i="22"/>
  <c r="O68" i="22"/>
  <c r="P68" i="22" s="1"/>
  <c r="V68" i="22"/>
  <c r="W68" i="22"/>
  <c r="L77" i="22"/>
  <c r="O77" i="22"/>
  <c r="P77" i="22" s="1"/>
  <c r="V77" i="22"/>
  <c r="W77" i="22"/>
  <c r="L78" i="22"/>
  <c r="O78" i="22"/>
  <c r="P78" i="22" s="1"/>
  <c r="V78" i="22"/>
  <c r="W78" i="22"/>
  <c r="L79" i="22"/>
  <c r="O79" i="22"/>
  <c r="P79" i="22" s="1"/>
  <c r="V79" i="22"/>
  <c r="W79" i="22"/>
  <c r="L55" i="22"/>
  <c r="O55" i="22"/>
  <c r="P55" i="22" s="1"/>
  <c r="V55" i="22"/>
  <c r="W55" i="22"/>
  <c r="L56" i="22"/>
  <c r="O56" i="22"/>
  <c r="P56" i="22" s="1"/>
  <c r="V56" i="22"/>
  <c r="W56" i="22"/>
  <c r="L57" i="22"/>
  <c r="O57" i="22"/>
  <c r="P57" i="22" s="1"/>
  <c r="V57" i="22"/>
  <c r="W57" i="22"/>
  <c r="L50" i="22"/>
  <c r="O50" i="22"/>
  <c r="P50" i="22" s="1"/>
  <c r="V50" i="22"/>
  <c r="W50" i="22"/>
  <c r="L61" i="22"/>
  <c r="O61" i="22"/>
  <c r="P61" i="22" s="1"/>
  <c r="V61" i="22"/>
  <c r="W61" i="22"/>
  <c r="L62" i="22"/>
  <c r="O62" i="22"/>
  <c r="P62" i="22" s="1"/>
  <c r="V62" i="22"/>
  <c r="W62" i="22"/>
  <c r="L63" i="22"/>
  <c r="O63" i="22"/>
  <c r="P63" i="22" s="1"/>
  <c r="V63" i="22"/>
  <c r="W63" i="22"/>
  <c r="L66" i="22"/>
  <c r="O66" i="22"/>
  <c r="P66" i="22" s="1"/>
  <c r="V66" i="22"/>
  <c r="W66" i="22"/>
  <c r="L67" i="22"/>
  <c r="O67" i="22"/>
  <c r="P67" i="22" s="1"/>
  <c r="V67" i="22"/>
  <c r="W67" i="22"/>
  <c r="L71" i="22"/>
  <c r="O71" i="22"/>
  <c r="P71" i="22" s="1"/>
  <c r="V71" i="22"/>
  <c r="W71" i="22"/>
  <c r="L72" i="22"/>
  <c r="O72" i="22"/>
  <c r="P72" i="22" s="1"/>
  <c r="V72" i="22"/>
  <c r="W72" i="22"/>
  <c r="L73" i="22"/>
  <c r="O73" i="22"/>
  <c r="P73" i="22" s="1"/>
  <c r="V73" i="22"/>
  <c r="W73" i="22"/>
  <c r="L74" i="22"/>
  <c r="O74" i="22"/>
  <c r="P74" i="22" s="1"/>
  <c r="V74" i="22"/>
  <c r="W74" i="22"/>
  <c r="L75" i="22"/>
  <c r="O75" i="22"/>
  <c r="P75" i="22" s="1"/>
  <c r="V75" i="22"/>
  <c r="W75" i="22"/>
  <c r="L76" i="22"/>
  <c r="O76" i="22"/>
  <c r="P76" i="22" s="1"/>
  <c r="V76" i="22"/>
  <c r="W76" i="22"/>
  <c r="L43" i="22"/>
  <c r="O43" i="22"/>
  <c r="P43" i="22" s="1"/>
  <c r="V43" i="22"/>
  <c r="W43" i="22"/>
  <c r="L5" i="22"/>
  <c r="O5" i="22"/>
  <c r="P5" i="22" s="1"/>
  <c r="V5" i="22"/>
  <c r="W5" i="22"/>
  <c r="L215" i="22"/>
  <c r="O215" i="22"/>
  <c r="P215" i="22" s="1"/>
  <c r="V215" i="22"/>
  <c r="W215" i="22"/>
  <c r="L233" i="22"/>
  <c r="O233" i="22"/>
  <c r="P233" i="22" s="1"/>
  <c r="V233" i="22"/>
  <c r="W233" i="22"/>
  <c r="L238" i="22"/>
  <c r="O238" i="22"/>
  <c r="P238" i="22" s="1"/>
  <c r="V238" i="22"/>
  <c r="W238" i="22"/>
  <c r="L237" i="22"/>
  <c r="O237" i="22"/>
  <c r="P237" i="22" s="1"/>
  <c r="V237" i="22"/>
  <c r="W237" i="22"/>
  <c r="L236" i="22"/>
  <c r="O236" i="22"/>
  <c r="P236" i="22" s="1"/>
  <c r="V236" i="22"/>
  <c r="W236" i="22"/>
  <c r="L235" i="22"/>
  <c r="O235" i="22"/>
  <c r="P235" i="22" s="1"/>
  <c r="V235" i="22"/>
  <c r="W235" i="22"/>
  <c r="L216" i="22"/>
  <c r="O216" i="22"/>
  <c r="P216" i="22" s="1"/>
  <c r="V216" i="22"/>
  <c r="W216" i="22"/>
  <c r="I217" i="22"/>
  <c r="K217" i="22"/>
  <c r="M217" i="22"/>
  <c r="N217" i="22" s="1"/>
  <c r="L218" i="22"/>
  <c r="O218" i="22"/>
  <c r="P218" i="22" s="1"/>
  <c r="V218" i="22"/>
  <c r="W218" i="22"/>
  <c r="L219" i="22"/>
  <c r="O219" i="22"/>
  <c r="P219" i="22" s="1"/>
  <c r="V219" i="22"/>
  <c r="W219" i="22"/>
  <c r="L220" i="22"/>
  <c r="O220" i="22"/>
  <c r="P220" i="22" s="1"/>
  <c r="V220" i="22"/>
  <c r="W220" i="22"/>
  <c r="L221" i="22"/>
  <c r="O221" i="22"/>
  <c r="P221" i="22" s="1"/>
  <c r="V221" i="22"/>
  <c r="W221" i="22"/>
  <c r="L222" i="22"/>
  <c r="O222" i="22"/>
  <c r="P222" i="22" s="1"/>
  <c r="V222" i="22"/>
  <c r="W222" i="22"/>
  <c r="L223" i="22"/>
  <c r="O223" i="22"/>
  <c r="P223" i="22" s="1"/>
  <c r="V223" i="22"/>
  <c r="W223" i="22"/>
  <c r="L224" i="22"/>
  <c r="O224" i="22"/>
  <c r="P224" i="22" s="1"/>
  <c r="V224" i="22"/>
  <c r="W224" i="22"/>
  <c r="L225" i="22"/>
  <c r="O225" i="22"/>
  <c r="P225" i="22" s="1"/>
  <c r="V225" i="22"/>
  <c r="W225" i="22"/>
  <c r="L226" i="22"/>
  <c r="O226" i="22"/>
  <c r="P226" i="22" s="1"/>
  <c r="V226" i="22"/>
  <c r="W226" i="22"/>
  <c r="L227" i="22"/>
  <c r="O227" i="22"/>
  <c r="P227" i="22" s="1"/>
  <c r="V227" i="22"/>
  <c r="W227" i="22"/>
  <c r="L228" i="22"/>
  <c r="O228" i="22"/>
  <c r="P228" i="22" s="1"/>
  <c r="V228" i="22"/>
  <c r="W228" i="22"/>
  <c r="L229" i="22"/>
  <c r="O229" i="22"/>
  <c r="P229" i="22" s="1"/>
  <c r="V229" i="22"/>
  <c r="W229" i="22"/>
  <c r="L230" i="22"/>
  <c r="O230" i="22"/>
  <c r="P230" i="22" s="1"/>
  <c r="V230" i="22"/>
  <c r="W230" i="22"/>
  <c r="L231" i="22"/>
  <c r="O231" i="22"/>
  <c r="P231" i="22" s="1"/>
  <c r="V231" i="22"/>
  <c r="W231" i="22"/>
  <c r="L232" i="22"/>
  <c r="O232" i="22"/>
  <c r="P232" i="22" s="1"/>
  <c r="V232" i="22"/>
  <c r="W232" i="22"/>
  <c r="L234" i="22"/>
  <c r="O234" i="22"/>
  <c r="P234" i="22" s="1"/>
  <c r="V234" i="22"/>
  <c r="W234" i="22"/>
  <c r="I118" i="22"/>
  <c r="K118" i="22"/>
  <c r="M118" i="22"/>
  <c r="N118" i="22" s="1"/>
  <c r="I80" i="22"/>
  <c r="K80" i="22"/>
  <c r="I82" i="22"/>
  <c r="K82" i="22"/>
  <c r="I83" i="22"/>
  <c r="K83" i="22"/>
  <c r="I84" i="22"/>
  <c r="K84" i="22"/>
  <c r="M84" i="22"/>
  <c r="N84" i="22" s="1"/>
  <c r="I85" i="22"/>
  <c r="K85" i="22"/>
  <c r="M85" i="22"/>
  <c r="N85" i="22" s="1"/>
  <c r="I86" i="22"/>
  <c r="K86" i="22"/>
  <c r="M86" i="22"/>
  <c r="N86" i="22" s="1"/>
  <c r="I87" i="22"/>
  <c r="K87" i="22"/>
  <c r="M87" i="22"/>
  <c r="N87" i="22" s="1"/>
  <c r="I91" i="22"/>
  <c r="K91" i="22"/>
  <c r="I92" i="22"/>
  <c r="K92" i="22"/>
  <c r="M92" i="22"/>
  <c r="N92" i="22" s="1"/>
  <c r="I93" i="22"/>
  <c r="K93" i="22"/>
  <c r="M93" i="22"/>
  <c r="N93" i="22" s="1"/>
  <c r="I94" i="22"/>
  <c r="K94" i="22"/>
  <c r="I95" i="22"/>
  <c r="K95" i="22"/>
  <c r="M95" i="22"/>
  <c r="N95" i="22" s="1"/>
  <c r="I96" i="22"/>
  <c r="K96" i="22"/>
  <c r="I100" i="22"/>
  <c r="K100" i="22"/>
  <c r="M100" i="22"/>
  <c r="N100" i="22" s="1"/>
  <c r="I101" i="22"/>
  <c r="K101" i="22"/>
  <c r="M101" i="22"/>
  <c r="N101" i="22" s="1"/>
  <c r="I102" i="22"/>
  <c r="K102" i="22"/>
  <c r="M102" i="22"/>
  <c r="N102" i="22" s="1"/>
  <c r="I103" i="22"/>
  <c r="K103" i="22"/>
  <c r="M103" i="22"/>
  <c r="N103" i="22" s="1"/>
  <c r="I104" i="22"/>
  <c r="K104" i="22"/>
  <c r="I105" i="22"/>
  <c r="K105" i="22"/>
  <c r="I106" i="22"/>
  <c r="K106" i="22"/>
  <c r="I107" i="22"/>
  <c r="K107" i="22"/>
  <c r="I108" i="22"/>
  <c r="K108" i="22"/>
  <c r="I109" i="22"/>
  <c r="K109" i="22"/>
  <c r="I110" i="22"/>
  <c r="K110" i="22"/>
  <c r="L111" i="22"/>
  <c r="O111" i="22"/>
  <c r="P111" i="22" s="1"/>
  <c r="V111" i="22"/>
  <c r="W111" i="22"/>
  <c r="L112" i="22"/>
  <c r="O112" i="22"/>
  <c r="P112" i="22" s="1"/>
  <c r="V112" i="22"/>
  <c r="W112" i="22"/>
  <c r="L113" i="22"/>
  <c r="O113" i="22"/>
  <c r="P113" i="22" s="1"/>
  <c r="V113" i="22"/>
  <c r="W113" i="22"/>
  <c r="I116" i="22"/>
  <c r="K116" i="22"/>
  <c r="M116" i="22"/>
  <c r="N116" i="22" s="1"/>
  <c r="I117" i="22"/>
  <c r="K117" i="22"/>
  <c r="M117" i="22"/>
  <c r="N117" i="22" s="1"/>
  <c r="I119" i="22"/>
  <c r="K119" i="22"/>
  <c r="M119" i="22"/>
  <c r="N119" i="22" s="1"/>
  <c r="I120" i="22"/>
  <c r="K120" i="22"/>
  <c r="M120" i="22"/>
  <c r="N120" i="22" s="1"/>
  <c r="I121" i="22"/>
  <c r="K121" i="22"/>
  <c r="M121" i="22"/>
  <c r="N121" i="22" s="1"/>
  <c r="I122" i="22"/>
  <c r="K122" i="22"/>
  <c r="M122" i="22"/>
  <c r="N122" i="22" s="1"/>
  <c r="I123" i="22"/>
  <c r="K123" i="22"/>
  <c r="M123" i="22"/>
  <c r="N123" i="22" s="1"/>
  <c r="I124" i="22"/>
  <c r="K124" i="22"/>
  <c r="M124" i="22"/>
  <c r="N124" i="22" s="1"/>
  <c r="I126" i="22"/>
  <c r="K126" i="22"/>
  <c r="M126" i="22"/>
  <c r="N126" i="22" s="1"/>
  <c r="I127" i="22"/>
  <c r="K127" i="22"/>
  <c r="M127" i="22"/>
  <c r="N127" i="22" s="1"/>
  <c r="I128" i="22"/>
  <c r="K128" i="22"/>
  <c r="M128" i="22"/>
  <c r="N128" i="22" s="1"/>
  <c r="I129" i="22"/>
  <c r="K129" i="22"/>
  <c r="M129" i="22"/>
  <c r="N129" i="22" s="1"/>
  <c r="I130" i="22"/>
  <c r="K130" i="22"/>
  <c r="M130" i="22"/>
  <c r="N130" i="22" s="1"/>
  <c r="I131" i="22"/>
  <c r="K131" i="22"/>
  <c r="M131" i="22"/>
  <c r="N131" i="22" s="1"/>
  <c r="I132" i="22"/>
  <c r="K132" i="22"/>
  <c r="M132" i="22"/>
  <c r="N132" i="22" s="1"/>
  <c r="I133" i="22"/>
  <c r="K133" i="22"/>
  <c r="M133" i="22"/>
  <c r="N133" i="22" s="1"/>
  <c r="I134" i="22"/>
  <c r="K134" i="22"/>
  <c r="M134" i="22"/>
  <c r="N134" i="22" s="1"/>
  <c r="I135" i="22"/>
  <c r="K135" i="22"/>
  <c r="M135" i="22"/>
  <c r="N135" i="22" s="1"/>
  <c r="I136" i="22"/>
  <c r="K136" i="22"/>
  <c r="M136" i="22"/>
  <c r="N136" i="22" s="1"/>
  <c r="I137" i="22"/>
  <c r="K137" i="22"/>
  <c r="M137" i="22"/>
  <c r="N137" i="22" s="1"/>
  <c r="I138" i="22"/>
  <c r="K138" i="22"/>
  <c r="M138" i="22"/>
  <c r="N138" i="22" s="1"/>
  <c r="I139" i="22"/>
  <c r="K139" i="22"/>
  <c r="M139" i="22"/>
  <c r="N139" i="22" s="1"/>
  <c r="I140" i="22"/>
  <c r="K140" i="22"/>
  <c r="M140" i="22"/>
  <c r="N140" i="22" s="1"/>
  <c r="I141" i="22"/>
  <c r="K141" i="22"/>
  <c r="M141" i="22"/>
  <c r="N141" i="22" s="1"/>
  <c r="I142" i="22"/>
  <c r="K142" i="22"/>
  <c r="M142" i="22"/>
  <c r="N142" i="22" s="1"/>
  <c r="I143" i="22"/>
  <c r="K143" i="22"/>
  <c r="M143" i="22"/>
  <c r="N143" i="22" s="1"/>
  <c r="I144" i="22"/>
  <c r="K144" i="22"/>
  <c r="M144" i="22"/>
  <c r="N144" i="22" s="1"/>
  <c r="I145" i="22"/>
  <c r="K145" i="22"/>
  <c r="M145" i="22"/>
  <c r="N145" i="22" s="1"/>
  <c r="I146" i="22"/>
  <c r="K146" i="22"/>
  <c r="M146" i="22"/>
  <c r="N146" i="22" s="1"/>
  <c r="I147" i="22"/>
  <c r="K147" i="22"/>
  <c r="M147" i="22"/>
  <c r="N147" i="22" s="1"/>
  <c r="I148" i="22"/>
  <c r="K148" i="22"/>
  <c r="M148" i="22"/>
  <c r="N148" i="22" s="1"/>
  <c r="I149" i="22"/>
  <c r="K149" i="22"/>
  <c r="M149" i="22"/>
  <c r="N149" i="22" s="1"/>
  <c r="I150" i="22"/>
  <c r="K150" i="22"/>
  <c r="M150" i="22"/>
  <c r="N150" i="22" s="1"/>
  <c r="I151" i="22"/>
  <c r="K151" i="22"/>
  <c r="M151" i="22"/>
  <c r="N151" i="22" s="1"/>
  <c r="I152" i="22"/>
  <c r="K152" i="22"/>
  <c r="M152" i="22"/>
  <c r="N152" i="22" s="1"/>
  <c r="I153" i="22"/>
  <c r="K153" i="22"/>
  <c r="M153" i="22"/>
  <c r="N153" i="22" s="1"/>
  <c r="I154" i="22"/>
  <c r="K154" i="22"/>
  <c r="M154" i="22"/>
  <c r="N154" i="22" s="1"/>
  <c r="I155" i="22"/>
  <c r="K155" i="22"/>
  <c r="M155" i="22"/>
  <c r="N155" i="22" s="1"/>
  <c r="I156" i="22"/>
  <c r="K156" i="22"/>
  <c r="M156" i="22"/>
  <c r="N156" i="22" s="1"/>
  <c r="I157" i="22"/>
  <c r="K157" i="22"/>
  <c r="M157" i="22"/>
  <c r="N157" i="22" s="1"/>
  <c r="I158" i="22"/>
  <c r="K158" i="22"/>
  <c r="M158" i="22"/>
  <c r="N158" i="22" s="1"/>
  <c r="I159" i="22"/>
  <c r="K159" i="22"/>
  <c r="M159" i="22"/>
  <c r="N159" i="22" s="1"/>
  <c r="I160" i="22"/>
  <c r="K160" i="22"/>
  <c r="M160" i="22"/>
  <c r="N160" i="22" s="1"/>
  <c r="I161" i="22"/>
  <c r="K161" i="22"/>
  <c r="M161" i="22"/>
  <c r="N161" i="22" s="1"/>
  <c r="I162" i="22"/>
  <c r="K162" i="22"/>
  <c r="M162" i="22"/>
  <c r="N162" i="22" s="1"/>
  <c r="I163" i="22"/>
  <c r="K163" i="22"/>
  <c r="M163" i="22"/>
  <c r="N163" i="22" s="1"/>
  <c r="I164" i="22"/>
  <c r="K164" i="22"/>
  <c r="M164" i="22"/>
  <c r="N164" i="22" s="1"/>
  <c r="I165" i="22"/>
  <c r="K165" i="22"/>
  <c r="M165" i="22"/>
  <c r="N165" i="22" s="1"/>
  <c r="I166" i="22"/>
  <c r="K166" i="22"/>
  <c r="M166" i="22"/>
  <c r="N166" i="22" s="1"/>
  <c r="I167" i="22"/>
  <c r="K167" i="22"/>
  <c r="M167" i="22"/>
  <c r="N167" i="22" s="1"/>
  <c r="I168" i="22"/>
  <c r="K168" i="22"/>
  <c r="M168" i="22"/>
  <c r="N168" i="22" s="1"/>
  <c r="I169" i="22"/>
  <c r="K169" i="22"/>
  <c r="M169" i="22"/>
  <c r="N169" i="22" s="1"/>
  <c r="I170" i="22"/>
  <c r="K170" i="22"/>
  <c r="M170" i="22"/>
  <c r="N170" i="22" s="1"/>
  <c r="I171" i="22"/>
  <c r="K171" i="22"/>
  <c r="I172" i="22"/>
  <c r="K172" i="22"/>
  <c r="I173" i="22"/>
  <c r="K173" i="22"/>
  <c r="M174" i="22"/>
  <c r="N174" i="22" s="1"/>
  <c r="I174" i="22"/>
  <c r="K174" i="22"/>
  <c r="I175" i="22"/>
  <c r="K175" i="22"/>
  <c r="M175" i="22"/>
  <c r="N175" i="22" s="1"/>
  <c r="I176" i="22"/>
  <c r="K176" i="22"/>
  <c r="I177" i="22"/>
  <c r="K177" i="22"/>
  <c r="I178" i="22"/>
  <c r="K178" i="22"/>
  <c r="I179" i="22"/>
  <c r="K179" i="22"/>
  <c r="I180" i="22"/>
  <c r="K180" i="22"/>
  <c r="I181" i="22"/>
  <c r="K181" i="22"/>
  <c r="I182" i="22"/>
  <c r="K182" i="22"/>
  <c r="I183" i="22"/>
  <c r="K183" i="22"/>
  <c r="I184" i="22"/>
  <c r="K184" i="22"/>
  <c r="I185" i="22"/>
  <c r="K185" i="22"/>
  <c r="L191" i="22"/>
  <c r="O191" i="22"/>
  <c r="P191" i="22" s="1"/>
  <c r="V191" i="22"/>
  <c r="W191" i="22"/>
  <c r="L192" i="22"/>
  <c r="O192" i="22"/>
  <c r="P192" i="22" s="1"/>
  <c r="V192" i="22"/>
  <c r="W192" i="22"/>
  <c r="L193" i="22"/>
  <c r="O193" i="22"/>
  <c r="P193" i="22" s="1"/>
  <c r="V193" i="22"/>
  <c r="W193" i="22"/>
  <c r="L194" i="22"/>
  <c r="O194" i="22"/>
  <c r="P194" i="22" s="1"/>
  <c r="V194" i="22"/>
  <c r="W194" i="22"/>
  <c r="L195" i="22"/>
  <c r="O195" i="22"/>
  <c r="P195" i="22" s="1"/>
  <c r="V195" i="22"/>
  <c r="W195" i="22"/>
  <c r="L196" i="22"/>
  <c r="O196" i="22"/>
  <c r="P196" i="22" s="1"/>
  <c r="V196" i="22"/>
  <c r="W196" i="22"/>
  <c r="L197" i="22"/>
  <c r="O197" i="22"/>
  <c r="P197" i="22" s="1"/>
  <c r="V197" i="22"/>
  <c r="W197" i="22"/>
  <c r="L198" i="22"/>
  <c r="O198" i="22"/>
  <c r="P198" i="22" s="1"/>
  <c r="V198" i="22"/>
  <c r="W198" i="22"/>
  <c r="L199" i="22"/>
  <c r="O199" i="22"/>
  <c r="P199" i="22" s="1"/>
  <c r="V199" i="22"/>
  <c r="W199" i="22"/>
  <c r="I200" i="22"/>
  <c r="K200" i="22"/>
  <c r="M200" i="22"/>
  <c r="N200" i="22" s="1"/>
  <c r="I201" i="22"/>
  <c r="K201" i="22"/>
  <c r="M201" i="22"/>
  <c r="N201" i="22" s="1"/>
  <c r="I202" i="22"/>
  <c r="K202" i="22"/>
  <c r="M202" i="22"/>
  <c r="N202" i="22" s="1"/>
  <c r="I203" i="22"/>
  <c r="K203" i="22"/>
  <c r="M203" i="22"/>
  <c r="N203" i="22" s="1"/>
  <c r="I204" i="22"/>
  <c r="K204" i="22"/>
  <c r="M204" i="22"/>
  <c r="N204" i="22" s="1"/>
  <c r="I205" i="22"/>
  <c r="K205" i="22"/>
  <c r="M206" i="22"/>
  <c r="N206" i="22" s="1"/>
  <c r="I206" i="22"/>
  <c r="K206" i="22"/>
  <c r="I207" i="22"/>
  <c r="K207" i="22"/>
  <c r="M207" i="22"/>
  <c r="N207" i="22" s="1"/>
  <c r="I208" i="22"/>
  <c r="K208" i="22"/>
  <c r="M208" i="22"/>
  <c r="N208" i="22" s="1"/>
  <c r="I209" i="22"/>
  <c r="K209" i="22"/>
  <c r="M209" i="22"/>
  <c r="N209" i="22" s="1"/>
  <c r="I210" i="22"/>
  <c r="K210" i="22"/>
  <c r="M210" i="22"/>
  <c r="N210" i="22" s="1"/>
  <c r="I212" i="22"/>
  <c r="K212" i="22"/>
  <c r="M212" i="22"/>
  <c r="N212" i="22" s="1"/>
  <c r="I60" i="22"/>
  <c r="K60" i="22"/>
  <c r="M60" i="22"/>
  <c r="N60" i="22" s="1"/>
  <c r="I59" i="22"/>
  <c r="K59" i="22"/>
  <c r="M59" i="22"/>
  <c r="N59" i="22" s="1"/>
  <c r="L58" i="22"/>
  <c r="O58" i="22"/>
  <c r="P58" i="22" s="1"/>
  <c r="V58" i="22"/>
  <c r="W58" i="22"/>
  <c r="L52" i="22"/>
  <c r="O52" i="22"/>
  <c r="P52" i="22" s="1"/>
  <c r="V52" i="22"/>
  <c r="W52" i="22"/>
  <c r="L53" i="22"/>
  <c r="O53" i="22"/>
  <c r="P53" i="22" s="1"/>
  <c r="V53" i="22"/>
  <c r="W53" i="22"/>
  <c r="L54" i="22"/>
  <c r="O54" i="22"/>
  <c r="P54" i="22" s="1"/>
  <c r="V54" i="22"/>
  <c r="W54" i="22"/>
  <c r="L48" i="22"/>
  <c r="O48" i="22"/>
  <c r="P48" i="22" s="1"/>
  <c r="V48" i="22"/>
  <c r="W48" i="22"/>
  <c r="L47" i="22"/>
  <c r="O47" i="22"/>
  <c r="P47" i="22" s="1"/>
  <c r="V47" i="22"/>
  <c r="W47" i="22"/>
  <c r="L46" i="22"/>
  <c r="O46" i="22"/>
  <c r="P46" i="22" s="1"/>
  <c r="V46" i="22"/>
  <c r="W46" i="22"/>
  <c r="L45" i="22"/>
  <c r="O45" i="22"/>
  <c r="P45" i="22" s="1"/>
  <c r="V45" i="22"/>
  <c r="W45" i="22"/>
  <c r="L44" i="22"/>
  <c r="O44" i="22"/>
  <c r="P44" i="22" s="1"/>
  <c r="V44" i="22"/>
  <c r="W44" i="22"/>
  <c r="O40" i="22"/>
  <c r="P40" i="22" s="1"/>
  <c r="L40" i="22"/>
  <c r="V40" i="22"/>
  <c r="W40" i="22"/>
  <c r="O41" i="22"/>
  <c r="P41" i="22" s="1"/>
  <c r="L41" i="22"/>
  <c r="W41" i="22" s="1"/>
  <c r="V41" i="22"/>
  <c r="L42" i="22"/>
  <c r="O42" i="22"/>
  <c r="P42" i="22" s="1"/>
  <c r="W42" i="22"/>
  <c r="V42" i="22"/>
  <c r="O10" i="22"/>
  <c r="P10" i="22" s="1"/>
  <c r="L10" i="22"/>
  <c r="V10" i="22"/>
  <c r="W10" i="22"/>
  <c r="L35" i="22"/>
  <c r="O35" i="22"/>
  <c r="P35" i="22" s="1"/>
  <c r="V35" i="22"/>
  <c r="W35" i="22"/>
  <c r="L8" i="22"/>
  <c r="O8" i="22"/>
  <c r="P8" i="22" s="1"/>
  <c r="W8" i="22" s="1"/>
  <c r="V8" i="22"/>
  <c r="O16" i="22"/>
  <c r="P16" i="22" s="1"/>
  <c r="L16" i="22"/>
  <c r="V16" i="22"/>
  <c r="W16" i="22"/>
  <c r="O22" i="22"/>
  <c r="P22" i="22" s="1"/>
  <c r="L22" i="22"/>
  <c r="V22" i="22"/>
  <c r="W22" i="22"/>
  <c r="O26" i="22"/>
  <c r="P26" i="22" s="1"/>
  <c r="L26" i="22"/>
  <c r="V26" i="22"/>
  <c r="W26" i="22"/>
  <c r="L11" i="22"/>
  <c r="O11" i="22"/>
  <c r="P11" i="22" s="1"/>
  <c r="W11" i="22" s="1"/>
  <c r="V11" i="22"/>
  <c r="O13" i="22"/>
  <c r="P13" i="22" s="1"/>
  <c r="L13" i="22"/>
  <c r="W13" i="22" s="1"/>
  <c r="V13" i="22"/>
  <c r="L12" i="22"/>
  <c r="O12" i="22"/>
  <c r="P12" i="22" s="1"/>
  <c r="W12" i="22" s="1"/>
  <c r="V12" i="22"/>
  <c r="L24" i="22"/>
  <c r="O24" i="22"/>
  <c r="P24" i="22" s="1"/>
  <c r="W24" i="22" s="1"/>
  <c r="V24" i="22"/>
  <c r="O28" i="22"/>
  <c r="P28" i="22" s="1"/>
  <c r="V28" i="22"/>
  <c r="L28" i="22"/>
  <c r="W28" i="22" s="1"/>
  <c r="O33" i="22"/>
  <c r="P33" i="22" s="1"/>
  <c r="L33" i="22"/>
  <c r="W33" i="22" s="1"/>
  <c r="V33" i="22"/>
  <c r="O39" i="22"/>
  <c r="P39" i="22" s="1"/>
  <c r="L39" i="22"/>
  <c r="W39" i="22" s="1"/>
  <c r="V39" i="22"/>
  <c r="O27" i="22"/>
  <c r="P27" i="22" s="1"/>
  <c r="L27" i="22"/>
  <c r="V27" i="22"/>
  <c r="W27" i="22"/>
  <c r="L34" i="22"/>
  <c r="O34" i="22"/>
  <c r="P34" i="22" s="1"/>
  <c r="V34" i="22"/>
  <c r="W34" i="22"/>
  <c r="O17" i="22"/>
  <c r="P17" i="22" s="1"/>
  <c r="L17" i="22"/>
  <c r="V17" i="22"/>
  <c r="W17" i="22"/>
  <c r="O21" i="22"/>
  <c r="P21" i="22" s="1"/>
  <c r="L21" i="22"/>
  <c r="V21" i="22"/>
  <c r="W21" i="22"/>
  <c r="L25" i="22"/>
  <c r="O25" i="22"/>
  <c r="P25" i="22" s="1"/>
  <c r="W25" i="22" s="1"/>
  <c r="V25" i="22"/>
  <c r="L20" i="22"/>
  <c r="O20" i="22"/>
  <c r="P20" i="22" s="1"/>
  <c r="W20" i="22"/>
  <c r="V20" i="22"/>
  <c r="O31" i="22"/>
  <c r="P31" i="22" s="1"/>
  <c r="V31" i="22"/>
  <c r="L31" i="22"/>
  <c r="W31" i="22" s="1"/>
  <c r="O7" i="22"/>
  <c r="P7" i="22" s="1"/>
  <c r="V7" i="22"/>
  <c r="L7" i="22"/>
  <c r="W7" i="22" s="1"/>
  <c r="O18" i="22"/>
  <c r="P18" i="22" s="1"/>
  <c r="L18" i="22"/>
  <c r="V18" i="22"/>
  <c r="W18" i="22"/>
  <c r="L32" i="22"/>
  <c r="O32" i="22"/>
  <c r="P32" i="22" s="1"/>
  <c r="V32" i="22"/>
  <c r="W32" i="22"/>
  <c r="O37" i="22"/>
  <c r="P37" i="22" s="1"/>
  <c r="L37" i="22"/>
  <c r="V37" i="22"/>
  <c r="W37" i="22"/>
  <c r="O30" i="22"/>
  <c r="P30" i="22" s="1"/>
  <c r="L30" i="22"/>
  <c r="W30" i="22" s="1"/>
  <c r="V30" i="22"/>
  <c r="O36" i="22"/>
  <c r="P36" i="22" s="1"/>
  <c r="V36" i="22"/>
  <c r="L36" i="22"/>
  <c r="W36" i="22" s="1"/>
  <c r="L14" i="22"/>
  <c r="O14" i="22"/>
  <c r="P14" i="22" s="1"/>
  <c r="V14" i="22"/>
  <c r="W14" i="22"/>
  <c r="O19" i="22"/>
  <c r="P19" i="22" s="1"/>
  <c r="L19" i="22"/>
  <c r="W19" i="22" s="1"/>
  <c r="V19" i="22"/>
  <c r="L9" i="22"/>
  <c r="O9" i="22"/>
  <c r="P9" i="22" s="1"/>
  <c r="W9" i="22" s="1"/>
  <c r="V9" i="22"/>
  <c r="L15" i="22"/>
  <c r="O15" i="22"/>
  <c r="P15" i="22" s="1"/>
  <c r="V15" i="22"/>
  <c r="W15" i="22"/>
  <c r="L23" i="22"/>
  <c r="O23" i="22"/>
  <c r="P23" i="22" s="1"/>
  <c r="W23" i="22" s="1"/>
  <c r="V23" i="22"/>
  <c r="O29" i="22"/>
  <c r="P29" i="22" s="1"/>
  <c r="L29" i="22"/>
  <c r="W29" i="22"/>
  <c r="V29" i="22"/>
  <c r="O38" i="22"/>
  <c r="P38" i="22" s="1"/>
  <c r="L38" i="22"/>
  <c r="W38" i="22"/>
  <c r="V38" i="22"/>
  <c r="L6" i="22"/>
  <c r="O6" i="22"/>
  <c r="P6" i="22" s="1"/>
  <c r="V6" i="22"/>
  <c r="W6" i="22"/>
  <c r="U235" i="22" l="1"/>
  <c r="Y235" i="22"/>
  <c r="X235" i="22"/>
  <c r="Z235" i="22"/>
  <c r="U236" i="22"/>
  <c r="Y236" i="22"/>
  <c r="X236" i="22"/>
  <c r="Z236" i="22"/>
  <c r="U237" i="22"/>
  <c r="Y237" i="22"/>
  <c r="X237" i="22"/>
  <c r="Z237" i="22"/>
  <c r="U238" i="22"/>
  <c r="Y238" i="22"/>
  <c r="X238" i="22"/>
  <c r="Z238" i="22"/>
  <c r="U233" i="22"/>
  <c r="Y233" i="22"/>
  <c r="X233" i="22"/>
  <c r="Z233" i="22"/>
  <c r="Y215" i="22"/>
  <c r="U215" i="22"/>
  <c r="X215" i="22"/>
  <c r="Z215" i="22"/>
  <c r="Y5" i="22"/>
  <c r="U5" i="22"/>
  <c r="Z5" i="22"/>
  <c r="X5" i="22"/>
  <c r="Y43" i="22"/>
  <c r="U43" i="22"/>
  <c r="Z43" i="22"/>
  <c r="X43" i="22"/>
  <c r="Y76" i="22"/>
  <c r="U76" i="22"/>
  <c r="X76" i="22"/>
  <c r="Z76" i="22"/>
  <c r="Y75" i="22"/>
  <c r="U75" i="22"/>
  <c r="X75" i="22"/>
  <c r="Z75" i="22"/>
  <c r="Y74" i="22"/>
  <c r="U74" i="22"/>
  <c r="S74" i="22"/>
  <c r="T74" i="22" s="1"/>
  <c r="Z74" i="22"/>
  <c r="Y73" i="22"/>
  <c r="U73" i="22"/>
  <c r="Z73" i="22"/>
  <c r="X73" i="22"/>
  <c r="Y72" i="22"/>
  <c r="U72" i="22"/>
  <c r="S72" i="22"/>
  <c r="T72" i="22" s="1"/>
  <c r="Z72" i="22"/>
  <c r="Y71" i="22"/>
  <c r="U71" i="22"/>
  <c r="Z71" i="22"/>
  <c r="X71" i="22"/>
  <c r="Y67" i="22"/>
  <c r="U67" i="22"/>
  <c r="Z67" i="22"/>
  <c r="X67" i="22"/>
  <c r="Y66" i="22"/>
  <c r="U66" i="22"/>
  <c r="X66" i="22"/>
  <c r="Z66" i="22"/>
  <c r="Y63" i="22"/>
  <c r="U63" i="22"/>
  <c r="X63" i="22"/>
  <c r="Z63" i="22"/>
  <c r="Y62" i="22"/>
  <c r="U62" i="22"/>
  <c r="X62" i="22"/>
  <c r="Z62" i="22"/>
  <c r="Y61" i="22"/>
  <c r="U61" i="22"/>
  <c r="X61" i="22"/>
  <c r="Z61" i="22"/>
  <c r="Y50" i="22"/>
  <c r="U50" i="22"/>
  <c r="X50" i="22"/>
  <c r="Z50" i="22"/>
  <c r="Y57" i="22"/>
  <c r="U57" i="22"/>
  <c r="X57" i="22"/>
  <c r="Z57" i="22"/>
  <c r="Y56" i="22"/>
  <c r="U56" i="22"/>
  <c r="X56" i="22"/>
  <c r="Z56" i="22"/>
  <c r="Y55" i="22"/>
  <c r="U55" i="22"/>
  <c r="X55" i="22"/>
  <c r="Z55" i="22"/>
  <c r="Y79" i="22"/>
  <c r="U79" i="22"/>
  <c r="X79" i="22"/>
  <c r="Z79" i="22"/>
  <c r="Y78" i="22"/>
  <c r="U78" i="22"/>
  <c r="X78" i="22"/>
  <c r="Z78" i="22"/>
  <c r="Y77" i="22"/>
  <c r="U77" i="22"/>
  <c r="X77" i="22"/>
  <c r="Z77" i="22"/>
  <c r="Y68" i="22"/>
  <c r="U68" i="22"/>
  <c r="S68" i="22"/>
  <c r="T68" i="22" s="1"/>
  <c r="Z68" i="22"/>
  <c r="Y69" i="22"/>
  <c r="U69" i="22"/>
  <c r="S69" i="22"/>
  <c r="T69" i="22" s="1"/>
  <c r="Z69" i="22"/>
  <c r="Y70" i="22"/>
  <c r="U70" i="22"/>
  <c r="S70" i="22"/>
  <c r="T70" i="22" s="1"/>
  <c r="Z70" i="22"/>
  <c r="Y81" i="22"/>
  <c r="U81" i="22"/>
  <c r="S81" i="22"/>
  <c r="T81" i="22" s="1"/>
  <c r="Z81" i="22"/>
  <c r="Y88" i="22"/>
  <c r="U88" i="22"/>
  <c r="S88" i="22"/>
  <c r="T88" i="22" s="1"/>
  <c r="Z88" i="22"/>
  <c r="Y89" i="22"/>
  <c r="U89" i="22"/>
  <c r="S89" i="22"/>
  <c r="T89" i="22" s="1"/>
  <c r="Z89" i="22"/>
  <c r="Y90" i="22"/>
  <c r="U90" i="22"/>
  <c r="S90" i="22"/>
  <c r="T90" i="22" s="1"/>
  <c r="Z90" i="22"/>
  <c r="Y97" i="22"/>
  <c r="U97" i="22"/>
  <c r="X97" i="22"/>
  <c r="Z97" i="22"/>
  <c r="Y98" i="22"/>
  <c r="U98" i="22"/>
  <c r="X98" i="22"/>
  <c r="Z98" i="22"/>
  <c r="Y99" i="22"/>
  <c r="U99" i="22"/>
  <c r="X99" i="22"/>
  <c r="Z99" i="22"/>
  <c r="Y114" i="22"/>
  <c r="U114" i="22"/>
  <c r="X114" i="22"/>
  <c r="Z114" i="22"/>
  <c r="Y115" i="22"/>
  <c r="U115" i="22"/>
  <c r="X115" i="22"/>
  <c r="Z115" i="22"/>
  <c r="Y125" i="22"/>
  <c r="U125" i="22"/>
  <c r="X125" i="22"/>
  <c r="Z125" i="22"/>
  <c r="Y186" i="22"/>
  <c r="U186" i="22"/>
  <c r="Z186" i="22"/>
  <c r="X186" i="22"/>
  <c r="Y187" i="22"/>
  <c r="U187" i="22"/>
  <c r="X187" i="22"/>
  <c r="Z187" i="22"/>
  <c r="Y188" i="22"/>
  <c r="U188" i="22"/>
  <c r="X188" i="22"/>
  <c r="Z188" i="22"/>
  <c r="Y189" i="22"/>
  <c r="U189" i="22"/>
  <c r="X189" i="22"/>
  <c r="Z189" i="22"/>
  <c r="Y190" i="22"/>
  <c r="U190" i="22"/>
  <c r="S190" i="22"/>
  <c r="T190" i="22" s="1"/>
  <c r="Z190" i="22"/>
  <c r="Y211" i="22"/>
  <c r="U211" i="22"/>
  <c r="X211" i="22"/>
  <c r="Z211" i="22"/>
  <c r="Y213" i="22"/>
  <c r="U213" i="22"/>
  <c r="X213" i="22"/>
  <c r="Z213" i="22"/>
  <c r="Y214" i="22"/>
  <c r="U214" i="22"/>
  <c r="X214" i="22"/>
  <c r="Z214" i="22"/>
  <c r="Y51" i="22"/>
  <c r="U51" i="22"/>
  <c r="X51" i="22"/>
  <c r="Z51" i="22"/>
  <c r="Y65" i="22"/>
  <c r="U65" i="22"/>
  <c r="X65" i="22"/>
  <c r="Z65" i="22"/>
  <c r="Y64" i="22"/>
  <c r="U64" i="22"/>
  <c r="X64" i="22"/>
  <c r="Z64" i="22"/>
  <c r="Y49" i="22"/>
  <c r="U49" i="22"/>
  <c r="X49" i="22"/>
  <c r="Z49" i="22"/>
  <c r="Y6" i="22"/>
  <c r="U6" i="22"/>
  <c r="Z6" i="22"/>
  <c r="X6" i="22"/>
  <c r="Z38" i="22"/>
  <c r="X38" i="22"/>
  <c r="Y38" i="22"/>
  <c r="U38" i="22"/>
  <c r="Z29" i="22"/>
  <c r="X29" i="22"/>
  <c r="Y29" i="22"/>
  <c r="U29" i="22"/>
  <c r="Z23" i="22"/>
  <c r="X23" i="22"/>
  <c r="Y23" i="22"/>
  <c r="U23" i="22"/>
  <c r="Y15" i="22"/>
  <c r="U15" i="22"/>
  <c r="Z15" i="22"/>
  <c r="X15" i="22"/>
  <c r="Z9" i="22"/>
  <c r="X9" i="22"/>
  <c r="Y9" i="22"/>
  <c r="U9" i="22"/>
  <c r="Z19" i="22"/>
  <c r="X19" i="22"/>
  <c r="Y19" i="22"/>
  <c r="U19" i="22"/>
  <c r="Y14" i="22"/>
  <c r="U14" i="22"/>
  <c r="Z14" i="22"/>
  <c r="X14" i="22"/>
  <c r="Y36" i="22"/>
  <c r="U36" i="22"/>
  <c r="Z36" i="22"/>
  <c r="X36" i="22"/>
  <c r="Z30" i="22"/>
  <c r="X30" i="22"/>
  <c r="Y30" i="22"/>
  <c r="U30" i="22"/>
  <c r="Y37" i="22"/>
  <c r="U37" i="22"/>
  <c r="Z37" i="22"/>
  <c r="X37" i="22"/>
  <c r="Y32" i="22"/>
  <c r="U32" i="22"/>
  <c r="Z32" i="22"/>
  <c r="X32" i="22"/>
  <c r="Y18" i="22"/>
  <c r="U18" i="22"/>
  <c r="Z18" i="22"/>
  <c r="X18" i="22"/>
  <c r="Y7" i="22"/>
  <c r="U7" i="22"/>
  <c r="Z7" i="22"/>
  <c r="X7" i="22"/>
  <c r="Y31" i="22"/>
  <c r="U31" i="22"/>
  <c r="Z31" i="22"/>
  <c r="X31" i="22"/>
  <c r="Z20" i="22"/>
  <c r="X20" i="22"/>
  <c r="Y20" i="22"/>
  <c r="U20" i="22"/>
  <c r="Z25" i="22"/>
  <c r="X25" i="22"/>
  <c r="Y25" i="22"/>
  <c r="U25" i="22"/>
  <c r="Y21" i="22"/>
  <c r="U21" i="22"/>
  <c r="Z21" i="22"/>
  <c r="X21" i="22"/>
  <c r="Y17" i="22"/>
  <c r="U17" i="22"/>
  <c r="Z17" i="22"/>
  <c r="X17" i="22"/>
  <c r="Y34" i="22"/>
  <c r="U34" i="22"/>
  <c r="Z34" i="22"/>
  <c r="X34" i="22"/>
  <c r="Y27" i="22"/>
  <c r="U27" i="22"/>
  <c r="Z27" i="22"/>
  <c r="X27" i="22"/>
  <c r="Z39" i="22"/>
  <c r="X39" i="22"/>
  <c r="Y39" i="22"/>
  <c r="U39" i="22"/>
  <c r="Z33" i="22"/>
  <c r="X33" i="22"/>
  <c r="Y33" i="22"/>
  <c r="U33" i="22"/>
  <c r="Y28" i="22"/>
  <c r="U28" i="22"/>
  <c r="Z28" i="22"/>
  <c r="X28" i="22"/>
  <c r="Z24" i="22"/>
  <c r="X24" i="22"/>
  <c r="Y24" i="22"/>
  <c r="U24" i="22"/>
  <c r="Z12" i="22"/>
  <c r="X12" i="22"/>
  <c r="Y12" i="22"/>
  <c r="U12" i="22"/>
  <c r="Z13" i="22"/>
  <c r="X13" i="22"/>
  <c r="Y13" i="22"/>
  <c r="U13" i="22"/>
  <c r="Z11" i="22"/>
  <c r="X11" i="22"/>
  <c r="Y11" i="22"/>
  <c r="U11" i="22"/>
  <c r="Y26" i="22"/>
  <c r="U26" i="22"/>
  <c r="Z26" i="22"/>
  <c r="X26" i="22"/>
  <c r="Y22" i="22"/>
  <c r="U22" i="22"/>
  <c r="Z22" i="22"/>
  <c r="X22" i="22"/>
  <c r="Y16" i="22"/>
  <c r="U16" i="22"/>
  <c r="Z16" i="22"/>
  <c r="X16" i="22"/>
  <c r="Z8" i="22"/>
  <c r="X8" i="22"/>
  <c r="Y8" i="22"/>
  <c r="U8" i="22"/>
  <c r="Y35" i="22"/>
  <c r="U35" i="22"/>
  <c r="Z35" i="22"/>
  <c r="X35" i="22"/>
  <c r="Y10" i="22"/>
  <c r="U10" i="22"/>
  <c r="Z10" i="22"/>
  <c r="X10" i="22"/>
  <c r="Z42" i="22"/>
  <c r="X42" i="22"/>
  <c r="Y42" i="22"/>
  <c r="U42" i="22"/>
  <c r="Z41" i="22"/>
  <c r="X41" i="22"/>
  <c r="Y41" i="22"/>
  <c r="U41" i="22"/>
  <c r="Y40" i="22"/>
  <c r="U40" i="22"/>
  <c r="Z40" i="22"/>
  <c r="X40" i="22"/>
  <c r="Y44" i="22"/>
  <c r="U44" i="22"/>
  <c r="X44" i="22"/>
  <c r="Z44" i="22"/>
  <c r="Y45" i="22"/>
  <c r="U45" i="22"/>
  <c r="X45" i="22"/>
  <c r="Z45" i="22"/>
  <c r="Y46" i="22"/>
  <c r="U46" i="22"/>
  <c r="X46" i="22"/>
  <c r="Z46" i="22"/>
  <c r="Y47" i="22"/>
  <c r="U47" i="22"/>
  <c r="X47" i="22"/>
  <c r="Z47" i="22"/>
  <c r="Y48" i="22"/>
  <c r="U48" i="22"/>
  <c r="X48" i="22"/>
  <c r="Z48" i="22"/>
  <c r="Y54" i="22"/>
  <c r="U54" i="22"/>
  <c r="X54" i="22"/>
  <c r="Z54" i="22"/>
  <c r="Y53" i="22"/>
  <c r="U53" i="22"/>
  <c r="X53" i="22"/>
  <c r="Z53" i="22"/>
  <c r="Y52" i="22"/>
  <c r="U52" i="22"/>
  <c r="X52" i="22"/>
  <c r="Z52" i="22"/>
  <c r="Y58" i="22"/>
  <c r="U58" i="22"/>
  <c r="X58" i="22"/>
  <c r="Z58" i="22"/>
  <c r="L59" i="22"/>
  <c r="O59" i="22"/>
  <c r="P59" i="22" s="1"/>
  <c r="V59" i="22"/>
  <c r="W59" i="22"/>
  <c r="L60" i="22"/>
  <c r="O60" i="22"/>
  <c r="P60" i="22" s="1"/>
  <c r="V60" i="22"/>
  <c r="W60" i="22"/>
  <c r="L212" i="22"/>
  <c r="O212" i="22"/>
  <c r="P212" i="22" s="1"/>
  <c r="V212" i="22"/>
  <c r="W212" i="22"/>
  <c r="L210" i="22"/>
  <c r="O210" i="22"/>
  <c r="P210" i="22" s="1"/>
  <c r="V210" i="22"/>
  <c r="W210" i="22"/>
  <c r="L209" i="22"/>
  <c r="O209" i="22"/>
  <c r="P209" i="22" s="1"/>
  <c r="V209" i="22"/>
  <c r="W209" i="22"/>
  <c r="L208" i="22"/>
  <c r="O208" i="22"/>
  <c r="P208" i="22" s="1"/>
  <c r="V208" i="22"/>
  <c r="W208" i="22"/>
  <c r="L207" i="22"/>
  <c r="O207" i="22"/>
  <c r="P207" i="22" s="1"/>
  <c r="V207" i="22"/>
  <c r="W207" i="22"/>
  <c r="L206" i="22"/>
  <c r="O206" i="22"/>
  <c r="P206" i="22" s="1"/>
  <c r="V206" i="22"/>
  <c r="W206" i="22"/>
  <c r="L205" i="22"/>
  <c r="O205" i="22"/>
  <c r="P205" i="22" s="1"/>
  <c r="V205" i="22"/>
  <c r="W205" i="22"/>
  <c r="L204" i="22"/>
  <c r="O204" i="22"/>
  <c r="P204" i="22" s="1"/>
  <c r="V204" i="22"/>
  <c r="W204" i="22"/>
  <c r="L203" i="22"/>
  <c r="O203" i="22"/>
  <c r="P203" i="22" s="1"/>
  <c r="V203" i="22"/>
  <c r="W203" i="22"/>
  <c r="L202" i="22"/>
  <c r="O202" i="22"/>
  <c r="P202" i="22" s="1"/>
  <c r="V202" i="22"/>
  <c r="W202" i="22"/>
  <c r="L201" i="22"/>
  <c r="O201" i="22"/>
  <c r="P201" i="22" s="1"/>
  <c r="V201" i="22"/>
  <c r="W201" i="22"/>
  <c r="L200" i="22"/>
  <c r="O200" i="22"/>
  <c r="P200" i="22" s="1"/>
  <c r="V200" i="22"/>
  <c r="W200" i="22"/>
  <c r="Y199" i="22"/>
  <c r="U199" i="22"/>
  <c r="X199" i="22"/>
  <c r="Z199" i="22"/>
  <c r="Y198" i="22"/>
  <c r="U198" i="22"/>
  <c r="X198" i="22"/>
  <c r="Z198" i="22"/>
  <c r="Y197" i="22"/>
  <c r="U197" i="22"/>
  <c r="X197" i="22"/>
  <c r="Z197" i="22"/>
  <c r="Y196" i="22"/>
  <c r="U196" i="22"/>
  <c r="X196" i="22"/>
  <c r="Z196" i="22"/>
  <c r="Y195" i="22"/>
  <c r="U195" i="22"/>
  <c r="X195" i="22"/>
  <c r="Z195" i="22"/>
  <c r="Y194" i="22"/>
  <c r="U194" i="22"/>
  <c r="X194" i="22"/>
  <c r="Z194" i="22"/>
  <c r="Y193" i="22"/>
  <c r="U193" i="22"/>
  <c r="X193" i="22"/>
  <c r="Z193" i="22"/>
  <c r="Y192" i="22"/>
  <c r="U192" i="22"/>
  <c r="X192" i="22"/>
  <c r="Z192" i="22"/>
  <c r="Y191" i="22"/>
  <c r="U191" i="22"/>
  <c r="Z191" i="22"/>
  <c r="X191" i="22"/>
  <c r="L185" i="22"/>
  <c r="O185" i="22"/>
  <c r="P185" i="22" s="1"/>
  <c r="V185" i="22"/>
  <c r="W185" i="22"/>
  <c r="L184" i="22"/>
  <c r="O184" i="22"/>
  <c r="P184" i="22" s="1"/>
  <c r="V184" i="22"/>
  <c r="W184" i="22"/>
  <c r="L183" i="22"/>
  <c r="O183" i="22"/>
  <c r="P183" i="22" s="1"/>
  <c r="V183" i="22"/>
  <c r="W183" i="22"/>
  <c r="L182" i="22"/>
  <c r="O182" i="22"/>
  <c r="P182" i="22" s="1"/>
  <c r="V182" i="22"/>
  <c r="W182" i="22"/>
  <c r="L181" i="22"/>
  <c r="O181" i="22"/>
  <c r="P181" i="22" s="1"/>
  <c r="V181" i="22"/>
  <c r="W181" i="22"/>
  <c r="L180" i="22"/>
  <c r="O180" i="22"/>
  <c r="P180" i="22" s="1"/>
  <c r="V180" i="22"/>
  <c r="W180" i="22"/>
  <c r="L179" i="22"/>
  <c r="O179" i="22"/>
  <c r="P179" i="22" s="1"/>
  <c r="V179" i="22"/>
  <c r="W179" i="22"/>
  <c r="L178" i="22"/>
  <c r="O178" i="22"/>
  <c r="P178" i="22" s="1"/>
  <c r="V178" i="22"/>
  <c r="W178" i="22"/>
  <c r="L177" i="22"/>
  <c r="O177" i="22"/>
  <c r="P177" i="22" s="1"/>
  <c r="V177" i="22"/>
  <c r="W177" i="22"/>
  <c r="L176" i="22"/>
  <c r="O176" i="22"/>
  <c r="P176" i="22" s="1"/>
  <c r="V176" i="22"/>
  <c r="W176" i="22"/>
  <c r="L175" i="22"/>
  <c r="O175" i="22"/>
  <c r="P175" i="22" s="1"/>
  <c r="V175" i="22"/>
  <c r="W175" i="22"/>
  <c r="L174" i="22"/>
  <c r="O174" i="22"/>
  <c r="P174" i="22" s="1"/>
  <c r="V174" i="22"/>
  <c r="W174" i="22"/>
  <c r="L173" i="22"/>
  <c r="O173" i="22"/>
  <c r="P173" i="22" s="1"/>
  <c r="V173" i="22"/>
  <c r="W173" i="22"/>
  <c r="L172" i="22"/>
  <c r="O172" i="22"/>
  <c r="P172" i="22" s="1"/>
  <c r="V172" i="22"/>
  <c r="W172" i="22"/>
  <c r="L171" i="22"/>
  <c r="O171" i="22"/>
  <c r="P171" i="22" s="1"/>
  <c r="V171" i="22"/>
  <c r="W171" i="22"/>
  <c r="L170" i="22"/>
  <c r="O170" i="22"/>
  <c r="P170" i="22" s="1"/>
  <c r="V170" i="22"/>
  <c r="W170" i="22"/>
  <c r="L169" i="22"/>
  <c r="O169" i="22"/>
  <c r="P169" i="22" s="1"/>
  <c r="V169" i="22"/>
  <c r="W169" i="22"/>
  <c r="L168" i="22"/>
  <c r="O168" i="22"/>
  <c r="P168" i="22" s="1"/>
  <c r="V168" i="22"/>
  <c r="W168" i="22"/>
  <c r="L167" i="22"/>
  <c r="O167" i="22"/>
  <c r="P167" i="22" s="1"/>
  <c r="V167" i="22"/>
  <c r="W167" i="22"/>
  <c r="L166" i="22"/>
  <c r="O166" i="22"/>
  <c r="P166" i="22" s="1"/>
  <c r="V166" i="22"/>
  <c r="W166" i="22"/>
  <c r="L165" i="22"/>
  <c r="O165" i="22"/>
  <c r="P165" i="22" s="1"/>
  <c r="V165" i="22"/>
  <c r="W165" i="22"/>
  <c r="L164" i="22"/>
  <c r="O164" i="22"/>
  <c r="P164" i="22" s="1"/>
  <c r="V164" i="22"/>
  <c r="W164" i="22"/>
  <c r="L163" i="22"/>
  <c r="O163" i="22"/>
  <c r="P163" i="22" s="1"/>
  <c r="V163" i="22"/>
  <c r="W163" i="22"/>
  <c r="L162" i="22"/>
  <c r="O162" i="22"/>
  <c r="P162" i="22" s="1"/>
  <c r="V162" i="22"/>
  <c r="W162" i="22"/>
  <c r="L161" i="22"/>
  <c r="O161" i="22"/>
  <c r="P161" i="22" s="1"/>
  <c r="V161" i="22"/>
  <c r="W161" i="22"/>
  <c r="L160" i="22"/>
  <c r="O160" i="22"/>
  <c r="P160" i="22" s="1"/>
  <c r="V160" i="22"/>
  <c r="W160" i="22"/>
  <c r="L159" i="22"/>
  <c r="O159" i="22"/>
  <c r="P159" i="22" s="1"/>
  <c r="V159" i="22"/>
  <c r="W159" i="22"/>
  <c r="L158" i="22"/>
  <c r="O158" i="22"/>
  <c r="P158" i="22" s="1"/>
  <c r="V158" i="22"/>
  <c r="W158" i="22"/>
  <c r="L157" i="22"/>
  <c r="O157" i="22"/>
  <c r="P157" i="22" s="1"/>
  <c r="V157" i="22"/>
  <c r="W157" i="22"/>
  <c r="L156" i="22"/>
  <c r="O156" i="22"/>
  <c r="P156" i="22" s="1"/>
  <c r="V156" i="22"/>
  <c r="W156" i="22"/>
  <c r="L155" i="22"/>
  <c r="O155" i="22"/>
  <c r="P155" i="22" s="1"/>
  <c r="V155" i="22"/>
  <c r="W155" i="22"/>
  <c r="L154" i="22"/>
  <c r="O154" i="22"/>
  <c r="P154" i="22" s="1"/>
  <c r="V154" i="22"/>
  <c r="W154" i="22"/>
  <c r="L153" i="22"/>
  <c r="O153" i="22"/>
  <c r="P153" i="22" s="1"/>
  <c r="V153" i="22"/>
  <c r="W153" i="22"/>
  <c r="L152" i="22"/>
  <c r="O152" i="22"/>
  <c r="P152" i="22" s="1"/>
  <c r="V152" i="22"/>
  <c r="W152" i="22"/>
  <c r="L151" i="22"/>
  <c r="O151" i="22"/>
  <c r="P151" i="22" s="1"/>
  <c r="V151" i="22"/>
  <c r="W151" i="22"/>
  <c r="L150" i="22"/>
  <c r="O150" i="22"/>
  <c r="P150" i="22" s="1"/>
  <c r="V150" i="22"/>
  <c r="W150" i="22"/>
  <c r="L149" i="22"/>
  <c r="O149" i="22"/>
  <c r="P149" i="22" s="1"/>
  <c r="V149" i="22"/>
  <c r="W149" i="22"/>
  <c r="L148" i="22"/>
  <c r="O148" i="22"/>
  <c r="P148" i="22" s="1"/>
  <c r="V148" i="22"/>
  <c r="W148" i="22"/>
  <c r="L147" i="22"/>
  <c r="O147" i="22"/>
  <c r="P147" i="22" s="1"/>
  <c r="V147" i="22"/>
  <c r="W147" i="22"/>
  <c r="L146" i="22"/>
  <c r="O146" i="22"/>
  <c r="P146" i="22" s="1"/>
  <c r="V146" i="22"/>
  <c r="W146" i="22"/>
  <c r="L145" i="22"/>
  <c r="O145" i="22"/>
  <c r="P145" i="22" s="1"/>
  <c r="V145" i="22"/>
  <c r="W145" i="22"/>
  <c r="L144" i="22"/>
  <c r="O144" i="22"/>
  <c r="P144" i="22" s="1"/>
  <c r="V144" i="22"/>
  <c r="W144" i="22"/>
  <c r="L143" i="22"/>
  <c r="O143" i="22"/>
  <c r="P143" i="22" s="1"/>
  <c r="V143" i="22"/>
  <c r="W143" i="22"/>
  <c r="L142" i="22"/>
  <c r="O142" i="22"/>
  <c r="P142" i="22" s="1"/>
  <c r="V142" i="22"/>
  <c r="W142" i="22"/>
  <c r="L141" i="22"/>
  <c r="O141" i="22"/>
  <c r="P141" i="22" s="1"/>
  <c r="V141" i="22"/>
  <c r="W141" i="22"/>
  <c r="L140" i="22"/>
  <c r="O140" i="22"/>
  <c r="P140" i="22" s="1"/>
  <c r="V140" i="22"/>
  <c r="W140" i="22"/>
  <c r="L139" i="22"/>
  <c r="O139" i="22"/>
  <c r="P139" i="22" s="1"/>
  <c r="V139" i="22"/>
  <c r="W139" i="22"/>
  <c r="L138" i="22"/>
  <c r="O138" i="22"/>
  <c r="P138" i="22" s="1"/>
  <c r="V138" i="22"/>
  <c r="W138" i="22"/>
  <c r="L137" i="22"/>
  <c r="O137" i="22"/>
  <c r="P137" i="22" s="1"/>
  <c r="V137" i="22"/>
  <c r="W137" i="22"/>
  <c r="L136" i="22"/>
  <c r="O136" i="22"/>
  <c r="P136" i="22" s="1"/>
  <c r="V136" i="22"/>
  <c r="W136" i="22"/>
  <c r="L135" i="22"/>
  <c r="O135" i="22"/>
  <c r="P135" i="22" s="1"/>
  <c r="V135" i="22"/>
  <c r="W135" i="22"/>
  <c r="L134" i="22"/>
  <c r="O134" i="22"/>
  <c r="P134" i="22" s="1"/>
  <c r="V134" i="22"/>
  <c r="W134" i="22"/>
  <c r="L133" i="22"/>
  <c r="O133" i="22"/>
  <c r="P133" i="22" s="1"/>
  <c r="V133" i="22"/>
  <c r="W133" i="22"/>
  <c r="L132" i="22"/>
  <c r="O132" i="22"/>
  <c r="P132" i="22" s="1"/>
  <c r="V132" i="22"/>
  <c r="W132" i="22"/>
  <c r="L131" i="22"/>
  <c r="O131" i="22"/>
  <c r="P131" i="22" s="1"/>
  <c r="V131" i="22"/>
  <c r="W131" i="22"/>
  <c r="L130" i="22"/>
  <c r="O130" i="22"/>
  <c r="P130" i="22" s="1"/>
  <c r="V130" i="22"/>
  <c r="W130" i="22"/>
  <c r="L129" i="22"/>
  <c r="O129" i="22"/>
  <c r="P129" i="22" s="1"/>
  <c r="V129" i="22"/>
  <c r="W129" i="22"/>
  <c r="L128" i="22"/>
  <c r="O128" i="22"/>
  <c r="P128" i="22" s="1"/>
  <c r="V128" i="22"/>
  <c r="W128" i="22"/>
  <c r="L127" i="22"/>
  <c r="O127" i="22"/>
  <c r="P127" i="22" s="1"/>
  <c r="V127" i="22"/>
  <c r="W127" i="22"/>
  <c r="L126" i="22"/>
  <c r="O126" i="22"/>
  <c r="P126" i="22" s="1"/>
  <c r="V126" i="22"/>
  <c r="W126" i="22"/>
  <c r="L124" i="22"/>
  <c r="O124" i="22"/>
  <c r="P124" i="22" s="1"/>
  <c r="V124" i="22"/>
  <c r="W124" i="22"/>
  <c r="L123" i="22"/>
  <c r="O123" i="22"/>
  <c r="P123" i="22" s="1"/>
  <c r="V123" i="22"/>
  <c r="W123" i="22"/>
  <c r="L122" i="22"/>
  <c r="O122" i="22"/>
  <c r="P122" i="22" s="1"/>
  <c r="V122" i="22"/>
  <c r="W122" i="22"/>
  <c r="L121" i="22"/>
  <c r="O121" i="22"/>
  <c r="P121" i="22" s="1"/>
  <c r="V121" i="22"/>
  <c r="W121" i="22"/>
  <c r="L120" i="22"/>
  <c r="O120" i="22"/>
  <c r="P120" i="22" s="1"/>
  <c r="V120" i="22"/>
  <c r="W120" i="22"/>
  <c r="L119" i="22"/>
  <c r="O119" i="22"/>
  <c r="P119" i="22" s="1"/>
  <c r="V119" i="22"/>
  <c r="W119" i="22"/>
  <c r="L117" i="22"/>
  <c r="O117" i="22"/>
  <c r="P117" i="22" s="1"/>
  <c r="V117" i="22"/>
  <c r="W117" i="22"/>
  <c r="L116" i="22"/>
  <c r="O116" i="22"/>
  <c r="P116" i="22" s="1"/>
  <c r="V116" i="22"/>
  <c r="W116" i="22"/>
  <c r="Y113" i="22"/>
  <c r="U113" i="22"/>
  <c r="X113" i="22"/>
  <c r="Z113" i="22"/>
  <c r="Y112" i="22"/>
  <c r="U112" i="22"/>
  <c r="S112" i="22"/>
  <c r="T112" i="22" s="1"/>
  <c r="Z112" i="22"/>
  <c r="Y111" i="22"/>
  <c r="U111" i="22"/>
  <c r="X111" i="22"/>
  <c r="Z111" i="22"/>
  <c r="L110" i="22"/>
  <c r="O110" i="22"/>
  <c r="P110" i="22" s="1"/>
  <c r="V110" i="22"/>
  <c r="W110" i="22"/>
  <c r="L109" i="22"/>
  <c r="O109" i="22"/>
  <c r="P109" i="22" s="1"/>
  <c r="V109" i="22"/>
  <c r="W109" i="22"/>
  <c r="L108" i="22"/>
  <c r="O108" i="22"/>
  <c r="P108" i="22" s="1"/>
  <c r="V108" i="22"/>
  <c r="W108" i="22"/>
  <c r="L107" i="22"/>
  <c r="O107" i="22"/>
  <c r="P107" i="22" s="1"/>
  <c r="V107" i="22"/>
  <c r="W107" i="22"/>
  <c r="L106" i="22"/>
  <c r="O106" i="22"/>
  <c r="P106" i="22" s="1"/>
  <c r="V106" i="22"/>
  <c r="W106" i="22"/>
  <c r="L105" i="22"/>
  <c r="O105" i="22"/>
  <c r="P105" i="22" s="1"/>
  <c r="V105" i="22"/>
  <c r="W105" i="22"/>
  <c r="L104" i="22"/>
  <c r="O104" i="22"/>
  <c r="P104" i="22" s="1"/>
  <c r="V104" i="22"/>
  <c r="W104" i="22"/>
  <c r="L103" i="22"/>
  <c r="O103" i="22"/>
  <c r="P103" i="22" s="1"/>
  <c r="V103" i="22"/>
  <c r="W103" i="22"/>
  <c r="L102" i="22"/>
  <c r="O102" i="22"/>
  <c r="P102" i="22" s="1"/>
  <c r="V102" i="22"/>
  <c r="W102" i="22"/>
  <c r="L101" i="22"/>
  <c r="O101" i="22"/>
  <c r="P101" i="22" s="1"/>
  <c r="V101" i="22"/>
  <c r="W101" i="22"/>
  <c r="L100" i="22"/>
  <c r="O100" i="22"/>
  <c r="P100" i="22" s="1"/>
  <c r="V100" i="22"/>
  <c r="W100" i="22"/>
  <c r="L96" i="22"/>
  <c r="O96" i="22"/>
  <c r="P96" i="22" s="1"/>
  <c r="V96" i="22"/>
  <c r="W96" i="22"/>
  <c r="L95" i="22"/>
  <c r="O95" i="22"/>
  <c r="P95" i="22" s="1"/>
  <c r="V95" i="22"/>
  <c r="W95" i="22"/>
  <c r="L94" i="22"/>
  <c r="O94" i="22"/>
  <c r="P94" i="22" s="1"/>
  <c r="V94" i="22"/>
  <c r="W94" i="22"/>
  <c r="L93" i="22"/>
  <c r="O93" i="22"/>
  <c r="P93" i="22" s="1"/>
  <c r="V93" i="22"/>
  <c r="W93" i="22"/>
  <c r="L92" i="22"/>
  <c r="O92" i="22"/>
  <c r="P92" i="22" s="1"/>
  <c r="V92" i="22"/>
  <c r="W92" i="22"/>
  <c r="L91" i="22"/>
  <c r="O91" i="22"/>
  <c r="P91" i="22" s="1"/>
  <c r="V91" i="22"/>
  <c r="W91" i="22"/>
  <c r="L87" i="22"/>
  <c r="O87" i="22"/>
  <c r="P87" i="22" s="1"/>
  <c r="V87" i="22"/>
  <c r="W87" i="22"/>
  <c r="L86" i="22"/>
  <c r="O86" i="22"/>
  <c r="P86" i="22" s="1"/>
  <c r="V86" i="22"/>
  <c r="W86" i="22"/>
  <c r="L85" i="22"/>
  <c r="O85" i="22"/>
  <c r="P85" i="22" s="1"/>
  <c r="V85" i="22"/>
  <c r="W85" i="22"/>
  <c r="L84" i="22"/>
  <c r="O84" i="22"/>
  <c r="P84" i="22" s="1"/>
  <c r="V84" i="22"/>
  <c r="W84" i="22"/>
  <c r="L83" i="22"/>
  <c r="O83" i="22"/>
  <c r="P83" i="22" s="1"/>
  <c r="V83" i="22"/>
  <c r="W83" i="22"/>
  <c r="L82" i="22"/>
  <c r="O82" i="22"/>
  <c r="P82" i="22" s="1"/>
  <c r="V82" i="22"/>
  <c r="W82" i="22"/>
  <c r="L80" i="22"/>
  <c r="O80" i="22"/>
  <c r="P80" i="22" s="1"/>
  <c r="V80" i="22"/>
  <c r="W80" i="22"/>
  <c r="L118" i="22"/>
  <c r="O118" i="22"/>
  <c r="P118" i="22" s="1"/>
  <c r="V118" i="22"/>
  <c r="W118" i="22"/>
  <c r="Y234" i="22"/>
  <c r="U234" i="22"/>
  <c r="X234" i="22"/>
  <c r="Z234" i="22"/>
  <c r="Y232" i="22"/>
  <c r="U232" i="22"/>
  <c r="X232" i="22"/>
  <c r="Z232" i="22"/>
  <c r="Y231" i="22"/>
  <c r="U231" i="22"/>
  <c r="X231" i="22"/>
  <c r="Z231" i="22"/>
  <c r="Y230" i="22"/>
  <c r="U230" i="22"/>
  <c r="X230" i="22"/>
  <c r="Z230" i="22"/>
  <c r="Y229" i="22"/>
  <c r="U229" i="22"/>
  <c r="X229" i="22"/>
  <c r="Z229" i="22"/>
  <c r="Y228" i="22"/>
  <c r="U228" i="22"/>
  <c r="X228" i="22"/>
  <c r="Z228" i="22"/>
  <c r="Y227" i="22"/>
  <c r="U227" i="22"/>
  <c r="X227" i="22"/>
  <c r="Z227" i="22"/>
  <c r="Y226" i="22"/>
  <c r="U226" i="22"/>
  <c r="X226" i="22"/>
  <c r="Z226" i="22"/>
  <c r="Y225" i="22"/>
  <c r="U225" i="22"/>
  <c r="X225" i="22"/>
  <c r="Z225" i="22"/>
  <c r="Y224" i="22"/>
  <c r="U224" i="22"/>
  <c r="X224" i="22"/>
  <c r="Z224" i="22"/>
  <c r="Y223" i="22"/>
  <c r="U223" i="22"/>
  <c r="X223" i="22"/>
  <c r="Z223" i="22"/>
  <c r="Y222" i="22"/>
  <c r="U222" i="22"/>
  <c r="X222" i="22"/>
  <c r="Z222" i="22"/>
  <c r="Y221" i="22"/>
  <c r="U221" i="22"/>
  <c r="X221" i="22"/>
  <c r="Z221" i="22"/>
  <c r="Y220" i="22"/>
  <c r="U220" i="22"/>
  <c r="X220" i="22"/>
  <c r="Z220" i="22"/>
  <c r="Y219" i="22"/>
  <c r="U219" i="22"/>
  <c r="X219" i="22"/>
  <c r="Z219" i="22"/>
  <c r="Y218" i="22"/>
  <c r="U218" i="22"/>
  <c r="X218" i="22"/>
  <c r="Z218" i="22"/>
  <c r="L217" i="22"/>
  <c r="O217" i="22"/>
  <c r="P217" i="22" s="1"/>
  <c r="V217" i="22"/>
  <c r="W217" i="22"/>
  <c r="Y216" i="22"/>
  <c r="U216" i="22"/>
  <c r="X216" i="22"/>
  <c r="Z216" i="22"/>
  <c r="AF190" i="22" l="1"/>
  <c r="X190" i="22"/>
  <c r="X90" i="22"/>
  <c r="AF90" i="22"/>
  <c r="AG90" i="22" s="1"/>
  <c r="X89" i="22"/>
  <c r="AF89" i="22"/>
  <c r="X88" i="22"/>
  <c r="AF88" i="22"/>
  <c r="AG89" i="22" s="1"/>
  <c r="X81" i="22"/>
  <c r="AF81" i="22"/>
  <c r="AG81" i="22" s="1"/>
  <c r="AF70" i="22"/>
  <c r="X70" i="22"/>
  <c r="X69" i="22"/>
  <c r="AF69" i="22"/>
  <c r="AF68" i="22"/>
  <c r="X68" i="22"/>
  <c r="AF72" i="22"/>
  <c r="X72" i="22"/>
  <c r="X74" i="22"/>
  <c r="AF74" i="22"/>
  <c r="Y217" i="22"/>
  <c r="U217" i="22"/>
  <c r="X217" i="22"/>
  <c r="Z217" i="22"/>
  <c r="Y118" i="22"/>
  <c r="U118" i="22"/>
  <c r="X118" i="22"/>
  <c r="Z118" i="22"/>
  <c r="Y80" i="22"/>
  <c r="U80" i="22"/>
  <c r="S80" i="22"/>
  <c r="T80" i="22" s="1"/>
  <c r="Z80" i="22"/>
  <c r="Y82" i="22"/>
  <c r="U82" i="22"/>
  <c r="S82" i="22"/>
  <c r="T82" i="22" s="1"/>
  <c r="Z82" i="22"/>
  <c r="Y83" i="22"/>
  <c r="U83" i="22"/>
  <c r="S83" i="22"/>
  <c r="T83" i="22" s="1"/>
  <c r="Z83" i="22"/>
  <c r="Y84" i="22"/>
  <c r="U84" i="22"/>
  <c r="X84" i="22"/>
  <c r="Z84" i="22"/>
  <c r="Y85" i="22"/>
  <c r="U85" i="22"/>
  <c r="X85" i="22"/>
  <c r="Z85" i="22"/>
  <c r="Y86" i="22"/>
  <c r="U86" i="22"/>
  <c r="X86" i="22"/>
  <c r="Z86" i="22"/>
  <c r="Y87" i="22"/>
  <c r="U87" i="22"/>
  <c r="X87" i="22"/>
  <c r="Z87" i="22"/>
  <c r="Y91" i="22"/>
  <c r="U91" i="22"/>
  <c r="S91" i="22"/>
  <c r="T91" i="22" s="1"/>
  <c r="Z91" i="22"/>
  <c r="Y92" i="22"/>
  <c r="U92" i="22"/>
  <c r="X92" i="22"/>
  <c r="Z92" i="22"/>
  <c r="Y93" i="22"/>
  <c r="U93" i="22"/>
  <c r="X93" i="22"/>
  <c r="Z93" i="22"/>
  <c r="Y94" i="22"/>
  <c r="U94" i="22"/>
  <c r="S94" i="22"/>
  <c r="T94" i="22" s="1"/>
  <c r="Z94" i="22"/>
  <c r="Y95" i="22"/>
  <c r="U95" i="22"/>
  <c r="X95" i="22"/>
  <c r="Z95" i="22"/>
  <c r="Y96" i="22"/>
  <c r="U96" i="22"/>
  <c r="S96" i="22"/>
  <c r="T96" i="22" s="1"/>
  <c r="Z96" i="22"/>
  <c r="Y100" i="22"/>
  <c r="U100" i="22"/>
  <c r="X100" i="22"/>
  <c r="Z100" i="22"/>
  <c r="Y101" i="22"/>
  <c r="U101" i="22"/>
  <c r="X101" i="22"/>
  <c r="Z101" i="22"/>
  <c r="Y102" i="22"/>
  <c r="U102" i="22"/>
  <c r="X102" i="22"/>
  <c r="Z102" i="22"/>
  <c r="Y103" i="22"/>
  <c r="U103" i="22"/>
  <c r="X103" i="22"/>
  <c r="Z103" i="22"/>
  <c r="Y104" i="22"/>
  <c r="U104" i="22"/>
  <c r="S104" i="22"/>
  <c r="T104" i="22" s="1"/>
  <c r="Z104" i="22"/>
  <c r="Y105" i="22"/>
  <c r="U105" i="22"/>
  <c r="S105" i="22"/>
  <c r="T105" i="22" s="1"/>
  <c r="Z105" i="22"/>
  <c r="Y106" i="22"/>
  <c r="U106" i="22"/>
  <c r="S106" i="22"/>
  <c r="T106" i="22" s="1"/>
  <c r="Z106" i="22"/>
  <c r="Y107" i="22"/>
  <c r="U107" i="22"/>
  <c r="S107" i="22"/>
  <c r="T107" i="22" s="1"/>
  <c r="Z107" i="22"/>
  <c r="Y108" i="22"/>
  <c r="U108" i="22"/>
  <c r="S108" i="22"/>
  <c r="T108" i="22" s="1"/>
  <c r="Z108" i="22"/>
  <c r="Y109" i="22"/>
  <c r="U109" i="22"/>
  <c r="S109" i="22"/>
  <c r="T109" i="22" s="1"/>
  <c r="Z109" i="22"/>
  <c r="Y110" i="22"/>
  <c r="U110" i="22"/>
  <c r="S110" i="22"/>
  <c r="T110" i="22" s="1"/>
  <c r="Z110" i="22"/>
  <c r="X112" i="22"/>
  <c r="AF112" i="22"/>
  <c r="AG113" i="22" s="1"/>
  <c r="Y116" i="22"/>
  <c r="U116" i="22"/>
  <c r="X116" i="22"/>
  <c r="Z116" i="22"/>
  <c r="Y117" i="22"/>
  <c r="U117" i="22"/>
  <c r="X117" i="22"/>
  <c r="Z117" i="22"/>
  <c r="Y119" i="22"/>
  <c r="U119" i="22"/>
  <c r="X119" i="22"/>
  <c r="Z119" i="22"/>
  <c r="Y120" i="22"/>
  <c r="U120" i="22"/>
  <c r="X120" i="22"/>
  <c r="Z120" i="22"/>
  <c r="Y121" i="22"/>
  <c r="U121" i="22"/>
  <c r="X121" i="22"/>
  <c r="Z121" i="22"/>
  <c r="Y122" i="22"/>
  <c r="U122" i="22"/>
  <c r="X122" i="22"/>
  <c r="Z122" i="22"/>
  <c r="Y123" i="22"/>
  <c r="U123" i="22"/>
  <c r="X123" i="22"/>
  <c r="Z123" i="22"/>
  <c r="Y124" i="22"/>
  <c r="U124" i="22"/>
  <c r="X124" i="22"/>
  <c r="Z124" i="22"/>
  <c r="Y126" i="22"/>
  <c r="U126" i="22"/>
  <c r="X126" i="22"/>
  <c r="Z126" i="22"/>
  <c r="Y127" i="22"/>
  <c r="U127" i="22"/>
  <c r="X127" i="22"/>
  <c r="Z127" i="22"/>
  <c r="Y128" i="22"/>
  <c r="U128" i="22"/>
  <c r="X128" i="22"/>
  <c r="Z128" i="22"/>
  <c r="Y129" i="22"/>
  <c r="U129" i="22"/>
  <c r="X129" i="22"/>
  <c r="Z129" i="22"/>
  <c r="Y130" i="22"/>
  <c r="U130" i="22"/>
  <c r="X130" i="22"/>
  <c r="Z130" i="22"/>
  <c r="Y131" i="22"/>
  <c r="U131" i="22"/>
  <c r="X131" i="22"/>
  <c r="Z131" i="22"/>
  <c r="Y132" i="22"/>
  <c r="U132" i="22"/>
  <c r="X132" i="22"/>
  <c r="Z132" i="22"/>
  <c r="Y133" i="22"/>
  <c r="U133" i="22"/>
  <c r="X133" i="22"/>
  <c r="Z133" i="22"/>
  <c r="Y134" i="22"/>
  <c r="U134" i="22"/>
  <c r="X134" i="22"/>
  <c r="Z134" i="22"/>
  <c r="Y135" i="22"/>
  <c r="U135" i="22"/>
  <c r="X135" i="22"/>
  <c r="Z135" i="22"/>
  <c r="Y136" i="22"/>
  <c r="U136" i="22"/>
  <c r="X136" i="22"/>
  <c r="Z136" i="22"/>
  <c r="Y137" i="22"/>
  <c r="U137" i="22"/>
  <c r="X137" i="22"/>
  <c r="Z137" i="22"/>
  <c r="Y138" i="22"/>
  <c r="U138" i="22"/>
  <c r="X138" i="22"/>
  <c r="Z138" i="22"/>
  <c r="Y139" i="22"/>
  <c r="U139" i="22"/>
  <c r="X139" i="22"/>
  <c r="Z139" i="22"/>
  <c r="Y140" i="22"/>
  <c r="U140" i="22"/>
  <c r="X140" i="22"/>
  <c r="Z140" i="22"/>
  <c r="Y141" i="22"/>
  <c r="U141" i="22"/>
  <c r="X141" i="22"/>
  <c r="Z141" i="22"/>
  <c r="Y142" i="22"/>
  <c r="U142" i="22"/>
  <c r="X142" i="22"/>
  <c r="Z142" i="22"/>
  <c r="Y143" i="22"/>
  <c r="U143" i="22"/>
  <c r="X143" i="22"/>
  <c r="Z143" i="22"/>
  <c r="Y144" i="22"/>
  <c r="U144" i="22"/>
  <c r="X144" i="22"/>
  <c r="Z144" i="22"/>
  <c r="Y145" i="22"/>
  <c r="U145" i="22"/>
  <c r="X145" i="22"/>
  <c r="Z145" i="22"/>
  <c r="Y146" i="22"/>
  <c r="U146" i="22"/>
  <c r="X146" i="22"/>
  <c r="Z146" i="22"/>
  <c r="Y147" i="22"/>
  <c r="U147" i="22"/>
  <c r="X147" i="22"/>
  <c r="Z147" i="22"/>
  <c r="Y148" i="22"/>
  <c r="U148" i="22"/>
  <c r="X148" i="22"/>
  <c r="Z148" i="22"/>
  <c r="Y149" i="22"/>
  <c r="U149" i="22"/>
  <c r="X149" i="22"/>
  <c r="Z149" i="22"/>
  <c r="Y150" i="22"/>
  <c r="U150" i="22"/>
  <c r="X150" i="22"/>
  <c r="Z150" i="22"/>
  <c r="Y151" i="22"/>
  <c r="U151" i="22"/>
  <c r="X151" i="22"/>
  <c r="Z151" i="22"/>
  <c r="Y152" i="22"/>
  <c r="U152" i="22"/>
  <c r="X152" i="22"/>
  <c r="Z152" i="22"/>
  <c r="Y153" i="22"/>
  <c r="U153" i="22"/>
  <c r="X153" i="22"/>
  <c r="Z153" i="22"/>
  <c r="Y154" i="22"/>
  <c r="U154" i="22"/>
  <c r="X154" i="22"/>
  <c r="Z154" i="22"/>
  <c r="Y155" i="22"/>
  <c r="U155" i="22"/>
  <c r="X155" i="22"/>
  <c r="Z155" i="22"/>
  <c r="Y156" i="22"/>
  <c r="U156" i="22"/>
  <c r="X156" i="22"/>
  <c r="Z156" i="22"/>
  <c r="Y157" i="22"/>
  <c r="U157" i="22"/>
  <c r="X157" i="22"/>
  <c r="Z157" i="22"/>
  <c r="Y158" i="22"/>
  <c r="U158" i="22"/>
  <c r="X158" i="22"/>
  <c r="Z158" i="22"/>
  <c r="Y159" i="22"/>
  <c r="U159" i="22"/>
  <c r="X159" i="22"/>
  <c r="Z159" i="22"/>
  <c r="Y160" i="22"/>
  <c r="U160" i="22"/>
  <c r="X160" i="22"/>
  <c r="Z160" i="22"/>
  <c r="Y161" i="22"/>
  <c r="U161" i="22"/>
  <c r="X161" i="22"/>
  <c r="Z161" i="22"/>
  <c r="Y162" i="22"/>
  <c r="U162" i="22"/>
  <c r="X162" i="22"/>
  <c r="Z162" i="22"/>
  <c r="Y163" i="22"/>
  <c r="U163" i="22"/>
  <c r="X163" i="22"/>
  <c r="Z163" i="22"/>
  <c r="Y164" i="22"/>
  <c r="U164" i="22"/>
  <c r="X164" i="22"/>
  <c r="Z164" i="22"/>
  <c r="Y165" i="22"/>
  <c r="U165" i="22"/>
  <c r="X165" i="22"/>
  <c r="Z165" i="22"/>
  <c r="Y166" i="22"/>
  <c r="U166" i="22"/>
  <c r="X166" i="22"/>
  <c r="Z166" i="22"/>
  <c r="Y167" i="22"/>
  <c r="U167" i="22"/>
  <c r="X167" i="22"/>
  <c r="Z167" i="22"/>
  <c r="Y168" i="22"/>
  <c r="U168" i="22"/>
  <c r="X168" i="22"/>
  <c r="Z168" i="22"/>
  <c r="Y169" i="22"/>
  <c r="U169" i="22"/>
  <c r="X169" i="22"/>
  <c r="Z169" i="22"/>
  <c r="Y170" i="22"/>
  <c r="U170" i="22"/>
  <c r="X170" i="22"/>
  <c r="Z170" i="22"/>
  <c r="Y171" i="22"/>
  <c r="U171" i="22"/>
  <c r="S171" i="22"/>
  <c r="T171" i="22" s="1"/>
  <c r="Z171" i="22"/>
  <c r="Y172" i="22"/>
  <c r="U172" i="22"/>
  <c r="S172" i="22"/>
  <c r="T172" i="22" s="1"/>
  <c r="Z172" i="22"/>
  <c r="Y173" i="22"/>
  <c r="U173" i="22"/>
  <c r="S173" i="22"/>
  <c r="T173" i="22" s="1"/>
  <c r="Z173" i="22"/>
  <c r="Y174" i="22"/>
  <c r="U174" i="22"/>
  <c r="Z174" i="22"/>
  <c r="X174" i="22"/>
  <c r="Y175" i="22"/>
  <c r="U175" i="22"/>
  <c r="X175" i="22"/>
  <c r="Z175" i="22"/>
  <c r="Y176" i="22"/>
  <c r="U176" i="22"/>
  <c r="S176" i="22"/>
  <c r="T176" i="22" s="1"/>
  <c r="Z176" i="22"/>
  <c r="Y177" i="22"/>
  <c r="U177" i="22"/>
  <c r="S177" i="22"/>
  <c r="T177" i="22" s="1"/>
  <c r="Z177" i="22"/>
  <c r="Y178" i="22"/>
  <c r="U178" i="22"/>
  <c r="S178" i="22"/>
  <c r="T178" i="22" s="1"/>
  <c r="Z178" i="22"/>
  <c r="Y179" i="22"/>
  <c r="U179" i="22"/>
  <c r="S179" i="22"/>
  <c r="T179" i="22" s="1"/>
  <c r="Z179" i="22"/>
  <c r="Y180" i="22"/>
  <c r="U180" i="22"/>
  <c r="S180" i="22"/>
  <c r="T180" i="22" s="1"/>
  <c r="Z180" i="22"/>
  <c r="Y181" i="22"/>
  <c r="U181" i="22"/>
  <c r="S181" i="22"/>
  <c r="T181" i="22" s="1"/>
  <c r="Z181" i="22"/>
  <c r="Y182" i="22"/>
  <c r="U182" i="22"/>
  <c r="S182" i="22"/>
  <c r="T182" i="22" s="1"/>
  <c r="Z182" i="22"/>
  <c r="Y183" i="22"/>
  <c r="U183" i="22"/>
  <c r="S183" i="22"/>
  <c r="T183" i="22" s="1"/>
  <c r="Z183" i="22"/>
  <c r="Y184" i="22"/>
  <c r="U184" i="22"/>
  <c r="S184" i="22"/>
  <c r="T184" i="22" s="1"/>
  <c r="Z184" i="22"/>
  <c r="Y185" i="22"/>
  <c r="U185" i="22"/>
  <c r="S185" i="22"/>
  <c r="T185" i="22" s="1"/>
  <c r="Z185" i="22"/>
  <c r="Y200" i="22"/>
  <c r="U200" i="22"/>
  <c r="X200" i="22"/>
  <c r="Z200" i="22"/>
  <c r="Y201" i="22"/>
  <c r="U201" i="22"/>
  <c r="X201" i="22"/>
  <c r="Z201" i="22"/>
  <c r="Y202" i="22"/>
  <c r="U202" i="22"/>
  <c r="X202" i="22"/>
  <c r="Z202" i="22"/>
  <c r="Y203" i="22"/>
  <c r="U203" i="22"/>
  <c r="X203" i="22"/>
  <c r="Z203" i="22"/>
  <c r="Y204" i="22"/>
  <c r="U204" i="22"/>
  <c r="X204" i="22"/>
  <c r="Z204" i="22"/>
  <c r="Y205" i="22"/>
  <c r="U205" i="22"/>
  <c r="S205" i="22"/>
  <c r="T205" i="22" s="1"/>
  <c r="Z205" i="22"/>
  <c r="Y206" i="22"/>
  <c r="U206" i="22"/>
  <c r="Z206" i="22"/>
  <c r="X206" i="22"/>
  <c r="Y207" i="22"/>
  <c r="U207" i="22"/>
  <c r="X207" i="22"/>
  <c r="Z207" i="22"/>
  <c r="Y208" i="22"/>
  <c r="U208" i="22"/>
  <c r="X208" i="22"/>
  <c r="Z208" i="22"/>
  <c r="Y209" i="22"/>
  <c r="U209" i="22"/>
  <c r="X209" i="22"/>
  <c r="Z209" i="22"/>
  <c r="Y210" i="22"/>
  <c r="U210" i="22"/>
  <c r="X210" i="22"/>
  <c r="Z210" i="22"/>
  <c r="Y212" i="22"/>
  <c r="U212" i="22"/>
  <c r="X212" i="22"/>
  <c r="Z212" i="22"/>
  <c r="Y60" i="22"/>
  <c r="U60" i="22"/>
  <c r="X60" i="22"/>
  <c r="Z60" i="22"/>
  <c r="Y59" i="22"/>
  <c r="U59" i="22"/>
  <c r="X59" i="22"/>
  <c r="Z59" i="22"/>
  <c r="AG74" i="22" l="1"/>
  <c r="AG175" i="22"/>
  <c r="AG190" i="22"/>
  <c r="AG24" i="22"/>
  <c r="AF205" i="22"/>
  <c r="AG205" i="22" s="1"/>
  <c r="X205" i="22"/>
  <c r="X185" i="22"/>
  <c r="AF185" i="22"/>
  <c r="X184" i="22"/>
  <c r="AF184" i="22"/>
  <c r="X183" i="22"/>
  <c r="AF183" i="22"/>
  <c r="X182" i="22"/>
  <c r="AF182" i="22"/>
  <c r="X181" i="22"/>
  <c r="AF181" i="22"/>
  <c r="X180" i="22"/>
  <c r="AF180" i="22"/>
  <c r="X179" i="22"/>
  <c r="AF179" i="22"/>
  <c r="X178" i="22"/>
  <c r="AF178" i="22"/>
  <c r="X177" i="22"/>
  <c r="AF177" i="22"/>
  <c r="AF176" i="22"/>
  <c r="AG185" i="22" s="1"/>
  <c r="X176" i="22"/>
  <c r="X173" i="22"/>
  <c r="AF173" i="22"/>
  <c r="X172" i="22"/>
  <c r="AF172" i="22"/>
  <c r="AF171" i="22"/>
  <c r="AG173" i="22" s="1"/>
  <c r="X171" i="22"/>
  <c r="X110" i="22"/>
  <c r="AF110" i="22"/>
  <c r="X109" i="22"/>
  <c r="AF109" i="22"/>
  <c r="X108" i="22"/>
  <c r="AF108" i="22"/>
  <c r="X107" i="22"/>
  <c r="AF107" i="22"/>
  <c r="X106" i="22"/>
  <c r="AF106" i="22"/>
  <c r="X105" i="22"/>
  <c r="AF105" i="22"/>
  <c r="X104" i="22"/>
  <c r="AF104" i="22"/>
  <c r="AG110" i="22" s="1"/>
  <c r="X96" i="22"/>
  <c r="AF96" i="22"/>
  <c r="X94" i="22"/>
  <c r="AF94" i="22"/>
  <c r="AG96" i="22" s="1"/>
  <c r="X91" i="22"/>
  <c r="AF91" i="22"/>
  <c r="AG91" i="22" s="1"/>
  <c r="X83" i="22"/>
  <c r="AF83" i="22"/>
  <c r="X82" i="22"/>
  <c r="AF82" i="22"/>
  <c r="AG83" i="22" s="1"/>
  <c r="X80" i="22"/>
  <c r="AF80" i="22"/>
  <c r="AG80" i="22" s="1"/>
</calcChain>
</file>

<file path=xl/sharedStrings.xml><?xml version="1.0" encoding="utf-8"?>
<sst xmlns="http://schemas.openxmlformats.org/spreadsheetml/2006/main" count="1342" uniqueCount="519">
  <si>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</si>
  <si>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</si>
  <si>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</si>
  <si>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</si>
  <si>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</si>
  <si>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</si>
  <si>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</si>
  <si>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</si>
  <si>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</si>
  <si>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</si>
  <si>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</si>
  <si>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</si>
  <si>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</si>
  <si>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</si>
  <si>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</si>
  <si>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</si>
  <si>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</si>
  <si>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</si>
  <si>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</si>
  <si>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</si>
  <si>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</si>
  <si>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</si>
  <si>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</si>
  <si>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</si>
  <si>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</si>
  <si>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</si>
  <si>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</si>
  <si>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</si>
  <si>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</si>
  <si>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</si>
  <si>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</si>
  <si>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</si>
  <si>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</si>
  <si>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</si>
  <si>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</si>
  <si>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</si>
  <si>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</si>
  <si>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</si>
  <si>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</si>
  <si>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</si>
  <si>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</si>
  <si>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</si>
  <si>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</si>
  <si>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</si>
  <si>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</si>
  <si>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</si>
  <si>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</si>
  <si>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</si>
  <si>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</si>
  <si>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</si>
  <si>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</si>
  <si>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</si>
  <si>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</si>
  <si>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</si>
  <si>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</si>
  <si>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</si>
  <si>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</si>
  <si>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</si>
  <si>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</si>
  <si>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</si>
  <si>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</si>
  <si>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</si>
  <si>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</si>
  <si>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</si>
  <si>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</si>
  <si>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</si>
  <si>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</si>
  <si>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</si>
  <si>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</si>
  <si>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</si>
  <si>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</si>
  <si>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</si>
  <si>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</si>
  <si>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</si>
  <si>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</si>
  <si>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</si>
  <si>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</si>
  <si>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</si>
  <si>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</si>
  <si>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</si>
  <si>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</si>
  <si>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</si>
  <si>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</si>
  <si>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</si>
  <si>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</si>
  <si>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FAKTUR_H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</si>
  <si>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</si>
  <si>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</si>
  <si>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</si>
  <si>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</si>
  <si>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</si>
  <si>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</si>
  <si>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</si>
  <si>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</si>
  <si>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Column2</t>
  </si>
  <si>
    <t>PARAMA</t>
  </si>
  <si>
    <t>QTY/ CTN_H</t>
  </si>
  <si>
    <t>Column3</t>
  </si>
  <si>
    <t>//DB2</t>
  </si>
  <si>
    <t>NB NOTA_C_QTY</t>
  </si>
  <si>
    <t>ID BARANG</t>
  </si>
  <si>
    <t>B</t>
  </si>
  <si>
    <t>DISKON_H</t>
  </si>
  <si>
    <t>CV PARAMA CREATIVINDO</t>
  </si>
  <si>
    <t>Column4</t>
  </si>
  <si>
    <t>DISC 3</t>
  </si>
  <si>
    <t>DISC 3-</t>
  </si>
  <si>
    <t>NATURAL CAHAYA LESTARI</t>
  </si>
  <si>
    <t>NCL</t>
  </si>
  <si>
    <t>UNTANA</t>
  </si>
  <si>
    <t>LSN</t>
  </si>
  <si>
    <t>PCS</t>
  </si>
  <si>
    <t>BINTANG SAUDARA</t>
  </si>
  <si>
    <t>TGL.NOTA_H</t>
  </si>
  <si>
    <t>NO.NOTA_H</t>
  </si>
  <si>
    <t>TOPLA FONDAMEN SUKSES</t>
  </si>
  <si>
    <t>TOPLA</t>
  </si>
  <si>
    <t>Row Labels</t>
  </si>
  <si>
    <t>Grand Total</t>
  </si>
  <si>
    <t>Column5</t>
  </si>
  <si>
    <t>Column6</t>
  </si>
  <si>
    <t>Column13</t>
  </si>
  <si>
    <t>Column14</t>
  </si>
  <si>
    <t>Column15</t>
  </si>
  <si>
    <t>//db</t>
  </si>
  <si>
    <t>dbconcat</t>
  </si>
  <si>
    <t>isis</t>
  </si>
  <si>
    <t>stns</t>
  </si>
  <si>
    <t>isin</t>
  </si>
  <si>
    <t>stnn</t>
  </si>
  <si>
    <t>Column22</t>
  </si>
  <si>
    <t>Column23</t>
  </si>
  <si>
    <t>Column24</t>
  </si>
  <si>
    <t>Column25</t>
  </si>
  <si>
    <t>Column222</t>
  </si>
  <si>
    <t>Column223</t>
  </si>
  <si>
    <t>Column224</t>
  </si>
  <si>
    <t>Column2222</t>
  </si>
  <si>
    <t>TGL DATANG</t>
  </si>
  <si>
    <t>TGL INPUT</t>
  </si>
  <si>
    <t>KETERANGAN CONDRO</t>
  </si>
  <si>
    <t>ISI (TOTAL)</t>
  </si>
  <si>
    <t>SATUAN</t>
  </si>
  <si>
    <t>HRG / CTN</t>
  </si>
  <si>
    <t>Column7</t>
  </si>
  <si>
    <t>Column8</t>
  </si>
  <si>
    <t>Column9</t>
  </si>
  <si>
    <t>Column32</t>
  </si>
  <si>
    <t>Column10</t>
  </si>
  <si>
    <t>Column11</t>
  </si>
  <si>
    <t>c_stn</t>
  </si>
  <si>
    <t>NO NOTA</t>
  </si>
  <si>
    <t>JUD311/24</t>
  </si>
  <si>
    <t>117/IV</t>
  </si>
  <si>
    <t>ETJ</t>
  </si>
  <si>
    <t>EX5.24</t>
  </si>
  <si>
    <t>SO2024040085229</t>
  </si>
  <si>
    <t>HN052024024</t>
  </si>
  <si>
    <t>25</t>
  </si>
  <si>
    <t>HM/72/05-24H</t>
  </si>
  <si>
    <t>F30.24</t>
  </si>
  <si>
    <t>SI.2024.05.00022</t>
  </si>
  <si>
    <t>HN052024068</t>
  </si>
  <si>
    <t>F23.24</t>
  </si>
  <si>
    <t>SO2024040085095</t>
  </si>
  <si>
    <t>DB STATIONERY</t>
  </si>
  <si>
    <t>JUE167/24</t>
  </si>
  <si>
    <t>60 LSN</t>
  </si>
  <si>
    <t>144 LSN</t>
  </si>
  <si>
    <t>JUE166/24</t>
  </si>
  <si>
    <t>BONUS</t>
  </si>
  <si>
    <t>120 LSN</t>
  </si>
  <si>
    <t>JUE165/24</t>
  </si>
  <si>
    <t>144 PCS</t>
  </si>
  <si>
    <t>460193</t>
  </si>
  <si>
    <t>HM/079/05-24H</t>
  </si>
  <si>
    <t>HM/078/05-24H</t>
  </si>
  <si>
    <t>HM/081/05-24H</t>
  </si>
  <si>
    <t>HN052024083</t>
  </si>
  <si>
    <t>24/V/097</t>
  </si>
  <si>
    <t>24/V/154</t>
  </si>
  <si>
    <t>JUE261/24</t>
  </si>
  <si>
    <t>SI-2024/05-0135/M</t>
  </si>
  <si>
    <t>M44</t>
  </si>
  <si>
    <t>SI-2024/05-0136</t>
  </si>
  <si>
    <t>24/YS/V/060</t>
  </si>
  <si>
    <t>SBS</t>
  </si>
  <si>
    <t>WE0341B1</t>
  </si>
  <si>
    <t>N02</t>
  </si>
  <si>
    <t>FZ5.24</t>
  </si>
  <si>
    <t>24/V/134</t>
  </si>
  <si>
    <t>HN052024233</t>
  </si>
  <si>
    <t>PK-240500073</t>
  </si>
  <si>
    <t>JUE430/24</t>
  </si>
  <si>
    <t>72 PCS</t>
  </si>
  <si>
    <t>HM/091/05-24H</t>
  </si>
  <si>
    <t>96 PCS</t>
  </si>
  <si>
    <t>HM/092/05-24H</t>
  </si>
  <si>
    <t>HM/090/05-24H</t>
  </si>
  <si>
    <t>120 PCS</t>
  </si>
  <si>
    <t>G61.24</t>
  </si>
  <si>
    <t>250 LSN</t>
  </si>
  <si>
    <t>SO2024050085691</t>
  </si>
  <si>
    <t>ENTER 30CM 675</t>
  </si>
  <si>
    <t>PAPER BAG COKLAT BESAR TEBAL</t>
  </si>
  <si>
    <t>JUE605/24</t>
  </si>
  <si>
    <t>GEL ZHIXIN + REFILL G 3122</t>
  </si>
  <si>
    <t>GEL ZHIXIN + REFILL G 3164</t>
  </si>
  <si>
    <t>GEL ZHIXIN + REFILL G 3165</t>
  </si>
  <si>
    <t>GEL ZHIXIN + REFILL G 3156</t>
  </si>
  <si>
    <t>GEL ZHIXIN + REFILL G 3162</t>
  </si>
  <si>
    <t>GEL ZHIXIN + REFILL G 3119</t>
  </si>
  <si>
    <t>GEL ZHIXIN + REFILL G 5025</t>
  </si>
  <si>
    <t>GEL ZHIXIN + REFILL G 3118</t>
  </si>
  <si>
    <t>GEL ZHIXIN + REFILL G 3128</t>
  </si>
  <si>
    <t>GEL ZHIXIN + REFILL G 3129</t>
  </si>
  <si>
    <t>GEL ZHIXIN + REFILL G 3125</t>
  </si>
  <si>
    <t>GEL ZHIXIN + REFILL G 3167</t>
  </si>
  <si>
    <t>GEL DEBOZZ 0.5 DB G05</t>
  </si>
  <si>
    <t>GEL TECHJOB TG346-B</t>
  </si>
  <si>
    <t>MIRACLE ABADI</t>
  </si>
  <si>
    <t>KERTAS CREPE SMALL JERSY</t>
  </si>
  <si>
    <t>PAK</t>
  </si>
  <si>
    <t>235 PAK</t>
  </si>
  <si>
    <t>KERTAS CREPE SMALL JERSY MP</t>
  </si>
  <si>
    <t>WHITE BOARD XG POLOS 2S/ 20X30</t>
  </si>
  <si>
    <t>WHITE BOARD XG POLOS 2S/ 25X35</t>
  </si>
  <si>
    <t>WE0590B</t>
  </si>
  <si>
    <t>WE0535B1</t>
  </si>
  <si>
    <t>BINDER NOTE FANCY SLIP A5-1903CT/ VINTAGE</t>
  </si>
  <si>
    <t>BINDER NOTE FANCY SLIP A5-19030C/ OLD CITY</t>
  </si>
  <si>
    <t>BINDER NOTE FANCY SLIP A5-1903SS/ SKY</t>
  </si>
  <si>
    <t>BINDER NOTE FANCY SLIP A5-SF 1925KM/ SR</t>
  </si>
  <si>
    <t>BINDER NOTE FANCY SLIP A5-SF 1925/ CUTE</t>
  </si>
  <si>
    <t>BINDER NOTE FANCY SLIP A5-SF 1926/ D</t>
  </si>
  <si>
    <t>SURAT JALAN TH031/5/2024</t>
  </si>
  <si>
    <t>L L GASTA A5 100GRAM VINTAGE</t>
  </si>
  <si>
    <t>L L GASTA A5 100GRAM FR</t>
  </si>
  <si>
    <t>L L GASTA A5 100GRAM HK</t>
  </si>
  <si>
    <t>L L GASTA A5 100GRAM TSUM</t>
  </si>
  <si>
    <t>PCM A 1151</t>
  </si>
  <si>
    <t>PALET ANGGUR</t>
  </si>
  <si>
    <t>PALET APEL</t>
  </si>
  <si>
    <t>GEL ZHIXIN + REFILL G 5005</t>
  </si>
  <si>
    <t>360 PAK</t>
  </si>
  <si>
    <t>SURAT JALAN</t>
  </si>
  <si>
    <t>DHM/046/05-24C</t>
  </si>
  <si>
    <t>SAHABAT REJEKI</t>
  </si>
  <si>
    <t>SIW/0423/05-24</t>
  </si>
  <si>
    <t>PENCIL CASE 6675 2 ZIPPER MIX TANPA MIKA</t>
  </si>
  <si>
    <t>540 PCS</t>
  </si>
  <si>
    <t>68 PCS</t>
  </si>
  <si>
    <t>SKETCH BOOK 8K HMX-45002 TOWN (45LBR)</t>
  </si>
  <si>
    <t>SKETCH BOOK 8K HMX-45003 GIRL (45LBR)</t>
  </si>
  <si>
    <t>517</t>
  </si>
  <si>
    <t>526</t>
  </si>
  <si>
    <t>530</t>
  </si>
  <si>
    <t>(All)</t>
  </si>
  <si>
    <t/>
  </si>
  <si>
    <t>SURYA PRATAMA</t>
  </si>
  <si>
    <t>24/V/366</t>
  </si>
  <si>
    <t>100 PCS</t>
  </si>
  <si>
    <t>24/V/272</t>
  </si>
  <si>
    <t>PISAU LIPAT MINI (PEMES RENTENG) VTRO MCK01</t>
  </si>
  <si>
    <t>RAUTAN TOPLES BIG 158 (SANRIO)</t>
  </si>
  <si>
    <t>TOP</t>
  </si>
  <si>
    <t>RAUTAN TOPLES BIG 623 (OMG KUROMI)</t>
  </si>
  <si>
    <t>240 LSN</t>
  </si>
  <si>
    <t>60 TOPLES</t>
  </si>
  <si>
    <t>48 TOPLES</t>
  </si>
  <si>
    <t>24/1/413</t>
  </si>
  <si>
    <t>GEL PEN ZHUI ZHUA 1020</t>
  </si>
  <si>
    <t>192 LSN</t>
  </si>
  <si>
    <t>GX5.24</t>
  </si>
  <si>
    <t>H0424</t>
  </si>
  <si>
    <t>DUTA BUANA</t>
  </si>
  <si>
    <t>HM/099/05-24H</t>
  </si>
  <si>
    <t>BALLPEN GEL TF-1190 HTM 0.3MM HIGHTECH</t>
  </si>
  <si>
    <t>96 LSN</t>
  </si>
  <si>
    <t>JUE642/24</t>
  </si>
  <si>
    <t>GEL DEBOZZ 0.5 DB-G05</t>
  </si>
  <si>
    <t>GEL TECHJOB TG 346-B</t>
  </si>
  <si>
    <t>ISI GEL TIZO 1.0 TG 308-AR</t>
  </si>
  <si>
    <t>80 PCS</t>
  </si>
  <si>
    <t>COMBI</t>
  </si>
  <si>
    <t>0606</t>
  </si>
  <si>
    <t>8 LSN</t>
  </si>
  <si>
    <t>48 LSN</t>
  </si>
  <si>
    <t>6 PCS</t>
  </si>
  <si>
    <t>SURAT JALAN : TH033/5/2024</t>
  </si>
  <si>
    <t>YUSHINCA</t>
  </si>
  <si>
    <t>24/YS/V/105</t>
  </si>
  <si>
    <t>24 PCS</t>
  </si>
  <si>
    <t>F24F000020</t>
  </si>
  <si>
    <t>216 PCS</t>
  </si>
  <si>
    <t>WF0002B1</t>
  </si>
  <si>
    <t>240 PCS</t>
  </si>
  <si>
    <t>WF0003B1</t>
  </si>
  <si>
    <t>PCP GASTA PC-201M/ METALIK</t>
  </si>
  <si>
    <t>24 LSN</t>
  </si>
  <si>
    <t>WF0004A</t>
  </si>
  <si>
    <t>PALET GAMBAR BIOLA-APEL BUTEK/ WAP-202</t>
  </si>
  <si>
    <t>ACRYLIC COLORS PAINT V-TRO</t>
  </si>
  <si>
    <t>WATER COLORS PAINT V TRO</t>
  </si>
  <si>
    <t>BNL AA0321-02/ A6-80/ LIFE GLOWING</t>
  </si>
  <si>
    <t>BNL AA0321-03/ A6-80/ BALLOON</t>
  </si>
  <si>
    <t>BNL AA0321-01/ A6-80/ FRUIT</t>
  </si>
  <si>
    <t>PALET GAMBAR BIOLA-ANGGUR BUTEK/ WAG-201</t>
  </si>
  <si>
    <t>DOC RIT INFINITY</t>
  </si>
  <si>
    <t>DOC RIT PRESTIGE</t>
  </si>
  <si>
    <t>WARNA BIRU</t>
  </si>
  <si>
    <t>WARNA CAMPUR</t>
  </si>
  <si>
    <t>CORRECTION TAPE MT-737A/5X16/+REFILL</t>
  </si>
  <si>
    <t>ELEVATED TRAY MICROTOP 604 HITAM</t>
  </si>
  <si>
    <t>DOKUMEN KEEPER DK-40 BIRU</t>
  </si>
  <si>
    <t>DOKUMEN KEEPER DK-40 HITAM</t>
  </si>
  <si>
    <t>DOKUMEN KEEPER DK-40 MERAH</t>
  </si>
  <si>
    <t>DOKUMEN KEEPER DK-60 HITAM</t>
  </si>
  <si>
    <t>DOKUMEN KEEPER DK-60 MERAH</t>
  </si>
  <si>
    <t>CAT AIR OPINI 110@216</t>
  </si>
  <si>
    <t>CAT AIR OPINI 120 @144</t>
  </si>
  <si>
    <t>M/102/06-24H</t>
  </si>
  <si>
    <t>SET</t>
  </si>
  <si>
    <t>72 SET</t>
  </si>
  <si>
    <t>GLORY</t>
  </si>
  <si>
    <t>N 31</t>
  </si>
  <si>
    <t>AG CK POLOS</t>
  </si>
  <si>
    <t>DISKON CAH 5%</t>
  </si>
  <si>
    <t>HANSA</t>
  </si>
  <si>
    <t>HN0622024083</t>
  </si>
  <si>
    <t>MALAM SHINTOENG K 6-12W</t>
  </si>
  <si>
    <t>MARCONATA</t>
  </si>
  <si>
    <t>06736</t>
  </si>
  <si>
    <t>AG BRANDED KCG BUAYA</t>
  </si>
  <si>
    <t>AG BRANDED KCG 237 BRILLIANT</t>
  </si>
  <si>
    <t>AG BRANDED KCG LV BUNGA</t>
  </si>
  <si>
    <t>AG BRANDED KCG LV KOTAK</t>
  </si>
  <si>
    <t>0618</t>
  </si>
  <si>
    <t>DOC RIT BRILLIANT</t>
  </si>
  <si>
    <t>0617</t>
  </si>
  <si>
    <t>HN062024109</t>
  </si>
  <si>
    <t>MALAM SHINTOENG B 6-12W</t>
  </si>
  <si>
    <t>PMJP</t>
  </si>
  <si>
    <t>03139</t>
  </si>
  <si>
    <t>STABILLO TZ 8001</t>
  </si>
  <si>
    <t>MAGIC BOARD 908</t>
  </si>
  <si>
    <t>MAGIC BOARD 906</t>
  </si>
  <si>
    <t>SO2024060086055</t>
  </si>
  <si>
    <t>ACRYLIC SISIPAN KERTAS A5 T (15 X 21 CM)</t>
  </si>
  <si>
    <t>AGENDA DIARY D-128</t>
  </si>
  <si>
    <t xml:space="preserve">BUKU MEWARNAI BTS/ MIX 2201 </t>
  </si>
  <si>
    <t>SKETCH BOOK A5-3555</t>
  </si>
  <si>
    <t>DAVIS MANDIRI GLOBALINDO</t>
  </si>
  <si>
    <t>80838/JL/UTM/0624</t>
  </si>
  <si>
    <t>GEL PEN G 8002</t>
  </si>
  <si>
    <t>GEL PEN DV-8003 (IPEN 14)</t>
  </si>
  <si>
    <t>HN062024104</t>
  </si>
  <si>
    <t>MALAM SHINTOENG K 1W POLOS</t>
  </si>
  <si>
    <t>MALAM SHINTOENG TG 6-12W</t>
  </si>
  <si>
    <t>MALAM SHINTOENG TG 1W POLOS</t>
  </si>
  <si>
    <t>MALAM SHINTOENG B 1W POLOS</t>
  </si>
  <si>
    <t>MALAM SHINTOENG JUMBO POLOS</t>
  </si>
  <si>
    <t>24/YS/VI/027</t>
  </si>
  <si>
    <t>ZIPPER BAG FANCY RB-127 DL RESLETING KAIN</t>
  </si>
  <si>
    <t>ZIPPER BAG FANCY RB-129 A4 RESLETING KAIN</t>
  </si>
  <si>
    <t>ZIPPER BAG FANCY RB-130 B4 RESLETING KAIN</t>
  </si>
  <si>
    <t>30 LSN</t>
  </si>
  <si>
    <t>1 C = 120LSN + 1C 92LSN</t>
  </si>
  <si>
    <t>1C = 97 LSN</t>
  </si>
  <si>
    <t>I13.24</t>
  </si>
  <si>
    <t>ENTER BUSUR NO 4 TBL</t>
  </si>
  <si>
    <t>ENTER BUSUR NO 120</t>
  </si>
  <si>
    <t>KOJIKO LABEL 99</t>
  </si>
  <si>
    <t>ENTER GB 40 CM TBL</t>
  </si>
  <si>
    <t>ENTER GB 60 CM TBL</t>
  </si>
  <si>
    <t>ENTER DISP BESI 505</t>
  </si>
  <si>
    <t>JUF310/24</t>
  </si>
  <si>
    <t>P WARNA KAYAGI 24W KY-CP0724</t>
  </si>
  <si>
    <t>ISI PENSIL 2B 2.0 DB-IMP062</t>
  </si>
  <si>
    <t>R TOPLES XLG 17PCS R-5857</t>
  </si>
  <si>
    <t>RAUTAN KITTY  TOPLES R-5842</t>
  </si>
  <si>
    <t>RAUTAN MEJA BONEKA SX-0065 L</t>
  </si>
  <si>
    <t>GEL TIZO FANCY S-3 TG30801-F</t>
  </si>
  <si>
    <t>GEL TIZO FANCY S-3 TG30802-F</t>
  </si>
  <si>
    <t>GEL TIZO FANCY TG31475-F</t>
  </si>
  <si>
    <t>GEL TIZO FANCY TG30541-F</t>
  </si>
  <si>
    <t>GEL TIZO FANCY TG31035-F</t>
  </si>
  <si>
    <t>GEL TIZO FANCY TG348-F</t>
  </si>
  <si>
    <t>GEL TIZO FANCY TG31590-F</t>
  </si>
  <si>
    <t>GEL TIZO FANCY TG31763-F</t>
  </si>
  <si>
    <t>GEL TIZO FANCY TG31975-F</t>
  </si>
  <si>
    <t>JUF309/24</t>
  </si>
  <si>
    <t>MEK PENSIL TIZO G-9001A</t>
  </si>
  <si>
    <t>MEK TIZO G9005A</t>
  </si>
  <si>
    <t>MEK PENSIL TIZO G9006A</t>
  </si>
  <si>
    <t>MEK PENSIL TIZO G9007A</t>
  </si>
  <si>
    <t>MEK PENSIL TIZO G9008A</t>
  </si>
  <si>
    <t>MEK PENSIL TIZO G9009A</t>
  </si>
  <si>
    <t>MEKANIK TIZI 24PCS G09261</t>
  </si>
  <si>
    <t>P MEK TIZI 24 PCS  G09302</t>
  </si>
  <si>
    <t>MEK PENSIL TIZI 24PCS G09305</t>
  </si>
  <si>
    <t>MEK PENSIL 24PCS G09308</t>
  </si>
  <si>
    <t>MEK PENSIL TIZI 24PCS G09310</t>
  </si>
  <si>
    <t>MEP PENSIL TIZI 24PCS G09312</t>
  </si>
  <si>
    <t>MEK PENSIL 24PCS G09301</t>
  </si>
  <si>
    <t>MEK PRNSIL 24PCS G09309</t>
  </si>
  <si>
    <t>MEK PENSIL TIZO G9000A</t>
  </si>
  <si>
    <t>JUF308/24</t>
  </si>
  <si>
    <t>GEL INK TIANJIAO BIRU TZ-501B</t>
  </si>
  <si>
    <t>GEL TIZO RETRC 0.5 TG690</t>
  </si>
  <si>
    <t>GEL TIZO 1.0 TG630-A</t>
  </si>
  <si>
    <t>GEL TIZO TG31060</t>
  </si>
  <si>
    <t>SEMI GEL TIZO TB-SG09</t>
  </si>
  <si>
    <t>MEKANIK 2.0MM TM030-B</t>
  </si>
  <si>
    <t>MEK PENSIL 2.0 TIZO TM 030A-2</t>
  </si>
  <si>
    <t>MEK PENSIL 2.0  TM01800</t>
  </si>
  <si>
    <t>MEK PENSIL 2.0 TIZO TM030A-1</t>
  </si>
  <si>
    <t>MEK PENSIL 2.0 TIZO TM02930</t>
  </si>
  <si>
    <t>MEKANIK PENSIL TIZO TM01500</t>
  </si>
  <si>
    <t>PENSIL WARNA TWIN KY-CP1224</t>
  </si>
  <si>
    <t>PENSIL 12W PANJANG KY CP 1210</t>
  </si>
  <si>
    <t>GEL TIZO TG 31220</t>
  </si>
  <si>
    <t>GEL PEN WEIYADA E681</t>
  </si>
  <si>
    <t>HN062024160</t>
  </si>
  <si>
    <t>LILIN SHINTOENG 12 BTG</t>
  </si>
  <si>
    <t>PELNA</t>
  </si>
  <si>
    <t>PELNA LAPTOP TABLE</t>
  </si>
  <si>
    <t>BONUS PROMO</t>
  </si>
  <si>
    <t>GEL PEN KOALA GP-168-A MERAH</t>
  </si>
  <si>
    <t>GEL PEN KOALA GP-168-B BR</t>
  </si>
  <si>
    <t>GEL PEN KOALA GP-168-C HJ</t>
  </si>
  <si>
    <t>GEL PEN KOALA GP-168-D VL</t>
  </si>
  <si>
    <t>GEL PEN KOALA GP-168-E OR</t>
  </si>
  <si>
    <t>GEL PEN KOALA GP-168-F BR TUA</t>
  </si>
  <si>
    <t>GEL PEN KOALA GP-168-G PK</t>
  </si>
  <si>
    <t>GEL PEN KOALA GP-168-H HJ MUDA</t>
  </si>
  <si>
    <t>GEL PEN KOALA GP-168-I COKLAT</t>
  </si>
  <si>
    <t>GEL PEN KOALA GP-168-J KNG</t>
  </si>
  <si>
    <t>SO2024060086054</t>
  </si>
  <si>
    <t>CELENGAN S</t>
  </si>
  <si>
    <t>CELENGAN M</t>
  </si>
  <si>
    <t>CELENGAN L</t>
  </si>
  <si>
    <t>CELENGAN XL</t>
  </si>
  <si>
    <t>DISKON CASH 56.500 (5%)</t>
  </si>
  <si>
    <t>JUF415/24</t>
  </si>
  <si>
    <t>TP BD XLG BD180-28</t>
  </si>
  <si>
    <t>TP BD XLG BD180-F</t>
  </si>
  <si>
    <t>TP BD XLG BD191-F</t>
  </si>
  <si>
    <t>TP BD XLG BD191-27</t>
  </si>
  <si>
    <t>TP BD XLG BD193-27</t>
  </si>
  <si>
    <t>TP BD XLG BD194-26</t>
  </si>
  <si>
    <t>TP BD XLG BD931-01</t>
  </si>
  <si>
    <t>TP BD XLG BD932-F</t>
  </si>
  <si>
    <t>TP BD XLG BD331-23</t>
  </si>
  <si>
    <t>180 PCS</t>
  </si>
  <si>
    <t>DISKON CASH 1.917.000 (2.5%)</t>
  </si>
  <si>
    <t>WF0295B</t>
  </si>
  <si>
    <t>WF0330B1</t>
  </si>
  <si>
    <t>PC KARTON SF-398/ KODE/ 3SSN/ LAMPU KEDIP</t>
  </si>
  <si>
    <t>WF0005ATTP</t>
  </si>
  <si>
    <t>PALET GAMBAR BIOLA-ANGGUR WARNA/ WAG-201</t>
  </si>
  <si>
    <t>PALET GAMBAR BIOLA-APEL WARNA/ WAP-202</t>
  </si>
  <si>
    <t>MSI</t>
  </si>
  <si>
    <t>24/VI/185</t>
  </si>
  <si>
    <t>0630</t>
  </si>
  <si>
    <t>ALPINDO</t>
  </si>
  <si>
    <t>H 03</t>
  </si>
  <si>
    <t>BK TAMU 15 BATIK</t>
  </si>
  <si>
    <t>ACRYLIC COLOUR TF-AC-004N (12 X 6 ML) NEON</t>
  </si>
  <si>
    <t>ACRYLIC COLOUR TF-AC-005P (12 X 6 ML) PASTEL</t>
  </si>
  <si>
    <t>ACRYLIC COLOUR TF-AC-006M 12 X 6 ML( METALIC</t>
  </si>
  <si>
    <t>BALLPEN PROMOSI WY 851A 4WR</t>
  </si>
  <si>
    <t>SKETCH BOOK A4-3557</t>
  </si>
  <si>
    <t>KOJIKO 103P LABEL</t>
  </si>
  <si>
    <t>ENTER BK TABUNGAN</t>
  </si>
  <si>
    <t>KOJIKO 112 LABEL</t>
  </si>
  <si>
    <t>ENTER GB 30 CM TBL</t>
  </si>
  <si>
    <t>ENTER GB 50 CM TBL</t>
  </si>
  <si>
    <t>R BOTOL SUSU 20PCS R-5833</t>
  </si>
  <si>
    <t>MEK PENSIL TIZO TM01600-B</t>
  </si>
  <si>
    <t>GEL PEN ZUI ZHUA HY-1020 HITAM</t>
  </si>
  <si>
    <t>SAMPUL OPP ALEXANDER KWARTO</t>
  </si>
  <si>
    <t>DISP KJ NO.50</t>
  </si>
  <si>
    <t>DISPENSER KENJOY NO.25</t>
  </si>
  <si>
    <t>BARANG TITIP</t>
  </si>
  <si>
    <t>PPW</t>
  </si>
  <si>
    <t>0287/HW/VI/24</t>
  </si>
  <si>
    <t>BT 30 CM</t>
  </si>
  <si>
    <t>JUF476/24</t>
  </si>
  <si>
    <t>RAUTAN TOPLES 25 PCS XLG R-5861</t>
  </si>
  <si>
    <t>GEL ZHIXIN + REFILL G-3109</t>
  </si>
  <si>
    <t>GEL ZHIXIN + REFILL G-3125</t>
  </si>
  <si>
    <t>GEL ZHIXIN + REFILL G-3158</t>
  </si>
  <si>
    <t>GEL ZHIXIN + REFILL G-3159</t>
  </si>
  <si>
    <t>GEL ZHIXIN + REFILL G-3161</t>
  </si>
  <si>
    <t>GEL ZHIXIN + REFILL G-3160</t>
  </si>
  <si>
    <t>GEL ZHIXIN + REFILL G-3166</t>
  </si>
  <si>
    <t>GEL ZHIXIN + REFILL G-3167</t>
  </si>
  <si>
    <t>GEL ZHIXIN + REFILL G-5017</t>
  </si>
  <si>
    <t>GEL ZHIXIN + REFILL G-5018</t>
  </si>
  <si>
    <t>GEL ZHIXIN + REFILL G-5035</t>
  </si>
  <si>
    <t>GEL ZHIXIN + REFILL G-5040</t>
  </si>
  <si>
    <t>GEL ZHIXIN + REFILL G-5042</t>
  </si>
  <si>
    <t>24 TOP</t>
  </si>
  <si>
    <t>HM/116/06-24H</t>
  </si>
  <si>
    <t>BALLPEN GEL TF-3115 0,3MM HIGHTECH KNOCK</t>
  </si>
  <si>
    <t>HM/115/06-24H</t>
  </si>
  <si>
    <t>PENCIL TF-194-24 PASTEL 24WR PJ</t>
  </si>
  <si>
    <t>120 SET</t>
  </si>
  <si>
    <t>#N/A</t>
  </si>
  <si>
    <t>GEL 1.0 340 BIRU TG340BI</t>
  </si>
  <si>
    <t>ANDY (YOEKER)</t>
  </si>
  <si>
    <t>SO24/1764</t>
  </si>
  <si>
    <t>25 LSN</t>
  </si>
  <si>
    <t>HM/110/06</t>
  </si>
  <si>
    <t>BALLPEN GEL TF-3115 0.3MM HIGHTECH KNOCK</t>
  </si>
  <si>
    <t>BALLPEN GEL TF-1190 BR 0.3MM HIGHTECH</t>
  </si>
  <si>
    <t>PENGGARIS BESI 40CM YOEKER</t>
  </si>
  <si>
    <t>PENGGARIS BESI 50CM YOEKER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</si>
</sst>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_(* #,##0.00_);_(* \(#,##0.00\);_(* &quot;-&quot;??_);_(@_)"/>
    <numFmt numFmtId="166" formatCode="_(* #,##0.00_);_(* \(#,##0.00\);_(* &quot;-&quot;_);_(@_)"/>
    <numFmt numFmtId="167" formatCode="_(* #,##0.000_);_(* \(#,##0.000\);_(* &quot;-&quot;_);_(@_)"/>
    <numFmt numFmtId="168" formatCode="[$-409]d\-mmm\-yy;@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ahoma"/>
      <family val="2"/>
    </font>
    <font>
      <sz val="11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Tahoma"/>
      <family val="2"/>
    </font>
    <font>
      <sz val="11"/>
      <color theme="1"/>
      <name val="Arial Unicode MS"/>
    </font>
    <font>
      <sz val="1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/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1" fillId="0" borderId="0" xfId="1" applyFill="1"/>
    <xf numFmtId="0" fontId="1" fillId="0" borderId="0" xfId="1" applyNumberFormat="1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1" fillId="2" borderId="0" xfId="1" applyFill="1"/>
    <xf numFmtId="165" fontId="0" fillId="2" borderId="0" xfId="0" applyNumberFormat="1" applyFill="1"/>
    <xf numFmtId="3" fontId="0" fillId="2" borderId="0" xfId="0" applyNumberFormat="1" applyFill="1"/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2" fontId="0" fillId="0" borderId="0" xfId="0" applyNumberFormat="1"/>
    <xf numFmtId="3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64" fontId="0" fillId="0" borderId="0" xfId="0" applyNumberFormat="1"/>
    <xf numFmtId="168" fontId="0" fillId="0" borderId="0" xfId="0" applyNumberFormat="1"/>
    <xf numFmtId="49" fontId="0" fillId="0" borderId="0" xfId="0" applyNumberFormat="1"/>
    <xf numFmtId="0" fontId="4" fillId="0" borderId="0" xfId="0" applyFont="1" applyAlignment="1">
      <alignment horizontal="right"/>
    </xf>
    <xf numFmtId="0" fontId="5" fillId="0" borderId="0" xfId="0" applyFont="1"/>
    <xf numFmtId="1" fontId="0" fillId="0" borderId="0" xfId="0" applyNumberFormat="1" applyAlignment="1">
      <alignment horizontal="center"/>
    </xf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2" fontId="0" fillId="3" borderId="0" xfId="0" applyNumberFormat="1" applyFill="1"/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right"/>
    </xf>
    <xf numFmtId="164" fontId="0" fillId="3" borderId="0" xfId="0" applyNumberFormat="1" applyFill="1"/>
    <xf numFmtId="166" fontId="0" fillId="3" borderId="0" xfId="0" applyNumberFormat="1" applyFill="1"/>
    <xf numFmtId="168" fontId="0" fillId="3" borderId="0" xfId="0" applyNumberFormat="1" applyFill="1"/>
    <xf numFmtId="14" fontId="0" fillId="3" borderId="0" xfId="0" applyNumberFormat="1" applyFill="1"/>
    <xf numFmtId="164" fontId="0" fillId="0" borderId="0" xfId="0" applyNumberFormat="1" applyAlignment="1">
      <alignment horizontal="right"/>
    </xf>
    <xf numFmtId="0" fontId="6" fillId="0" borderId="0" xfId="0" applyFont="1" applyAlignment="1">
      <alignment vertical="center"/>
    </xf>
    <xf numFmtId="4" fontId="2" fillId="0" borderId="0" xfId="0" applyNumberFormat="1" applyFont="1"/>
    <xf numFmtId="0" fontId="2" fillId="0" borderId="0" xfId="0" applyFont="1"/>
    <xf numFmtId="0" fontId="7" fillId="0" borderId="0" xfId="0" applyFont="1" applyAlignment="1">
      <alignment vertical="center"/>
    </xf>
    <xf numFmtId="3" fontId="2" fillId="4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14" fontId="2" fillId="4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4" fontId="2" fillId="4" borderId="0" xfId="0" applyNumberFormat="1" applyFont="1" applyFill="1" applyAlignment="1">
      <alignment vertical="center"/>
    </xf>
    <xf numFmtId="3" fontId="2" fillId="4" borderId="0" xfId="0" applyNumberFormat="1" applyFont="1" applyFill="1" applyAlignment="1">
      <alignment horizontal="center" vertical="center"/>
    </xf>
    <xf numFmtId="10" fontId="2" fillId="4" borderId="0" xfId="0" applyNumberFormat="1" applyFont="1" applyFill="1" applyAlignment="1">
      <alignment horizontal="right" vertical="center"/>
    </xf>
    <xf numFmtId="10" fontId="2" fillId="4" borderId="0" xfId="0" applyNumberFormat="1" applyFont="1" applyFill="1" applyAlignment="1">
      <alignment vertical="center"/>
    </xf>
    <xf numFmtId="165" fontId="2" fillId="4" borderId="0" xfId="0" applyNumberFormat="1" applyFont="1" applyFill="1" applyAlignment="1">
      <alignment vertical="center"/>
    </xf>
    <xf numFmtId="49" fontId="2" fillId="4" borderId="0" xfId="0" applyNumberFormat="1" applyFont="1" applyFill="1" applyAlignment="1">
      <alignment vertical="center"/>
    </xf>
    <xf numFmtId="1" fontId="2" fillId="4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4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6" formatCode="_(* #,##0.00_);_(* \(#,##0.00\);_(* &quot;-&quot;_);_(@_)"/>
    </dxf>
    <dxf>
      <numFmt numFmtId="167" formatCode="_(* #,##0.000_);_(* \(#,##0.000\);_(* &quot;-&quot;_);_(@_)"/>
    </dxf>
    <dxf>
      <numFmt numFmtId="166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8" formatCode="[$-409]d\-mmm\-yy;@"/>
      <fill>
        <patternFill patternType="none">
          <fgColor indexed="64"/>
          <bgColor auto="1"/>
        </patternFill>
      </fill>
    </dxf>
    <dxf>
      <numFmt numFmtId="168" formatCode="[$-409]d\-mmm\-yy;@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6" formatCode="_(* #,##0.00_);_(* \(#,##0.0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 xr9:uid="{00000000-0011-0000-FFFF-FFFF00000000}">
      <tableStyleElement type="wholeTable" dxfId="439"/>
    </tableStyle>
    <tableStyle name="Table Style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4/03%20MARET/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DB.xlsx" TargetMode="External"/><Relationship Id="rId1" Type="http://schemas.openxmlformats.org/officeDocument/2006/relationships/externalLinkPath" Target="/kerja/BANK%20EXP/BARU/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B"/>
      <sheetName val="1"/>
      <sheetName val="Sheet1"/>
      <sheetName val="Sheet3"/>
      <sheetName val="Stock Untanna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476.449028587966" createdVersion="5" refreshedVersion="8" minRefreshableVersion="3" recordCount="1009" xr:uid="{00000000-000A-0000-FFFF-FFFF0D000000}">
  <cacheSource type="worksheet">
    <worksheetSource name="NOTA"/>
  </cacheSource>
  <cacheFields count="53">
    <cacheField name="ID" numFmtId="3">
      <sharedItems containsMixedTypes="1" containsNumber="1" containsInteger="1" minValue="1" maxValue="57"/>
    </cacheField>
    <cacheField name="ID_P" numFmtId="0">
      <sharedItems containsBlank="1"/>
    </cacheField>
    <cacheField name="CEK_EXP" numFmtId="0">
      <sharedItems containsBlank="1"/>
    </cacheField>
    <cacheField name="ID_H" numFmtId="0">
      <sharedItems containsBlank="1" containsMixedTypes="1" containsNumber="1" containsInteger="1" minValue="2" maxValue="57"/>
    </cacheField>
    <cacheField name="TANGGAL" numFmtId="0">
      <sharedItems containsNonDate="0" containsDate="1" containsString="0" containsBlank="1" minDate="2024-05-27T00:00:00" maxDate="2024-06-2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NonDate="0" containsDate="1" containsString="0" containsBlank="1" minDate="2004-06-22T00:00:00" maxDate="2024-06-23T00:00:00"/>
    </cacheField>
    <cacheField name="B" numFmtId="0">
      <sharedItems containsNonDate="0" containsString="0" containsBlank="1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25"/>
    </cacheField>
    <cacheField name="QTY" numFmtId="0">
      <sharedItems containsString="0" containsBlank="1" containsNumber="1" containsInteger="1" minValue="3" maxValue="12000"/>
    </cacheField>
    <cacheField name="STN" numFmtId="0">
      <sharedItems containsBlank="1"/>
    </cacheField>
    <cacheField name="HARGA SATUAN" numFmtId="0">
      <sharedItems containsString="0" containsBlank="1" containsNumber="1" containsInteger="1" minValue="0" maxValue="213000"/>
    </cacheField>
    <cacheField name="HARGA/ CTN" numFmtId="0">
      <sharedItems containsNonDate="0" containsString="0" containsBlank="1"/>
    </cacheField>
    <cacheField name="QTY/ CTN" numFmtId="3">
      <sharedItems containsBlank="1" containsMixedTypes="1" containsNumber="1" containsInteger="1" minValue="30" maxValue="96"/>
    </cacheField>
    <cacheField name="DISC 1" numFmtId="10">
      <sharedItems containsString="0" containsBlank="1" containsNumber="1" minValue="0.03" maxValue="0.3"/>
    </cacheField>
    <cacheField name="DISC 2" numFmtId="10">
      <sharedItems containsString="0" containsBlank="1" containsNumber="1" minValue="2.5000000000000001E-2" maxValue="0.04"/>
    </cacheField>
    <cacheField name="DISC 3" numFmtId="10">
      <sharedItems containsNonDate="0" containsString="0" containsBlank="1"/>
    </cacheField>
    <cacheField name="DISC DLL" numFmtId="165">
      <sharedItems containsString="0" containsBlank="1" containsNumber="1" containsInteger="1" minValue="1917000" maxValue="1917000"/>
    </cacheField>
    <cacheField name="KETERANGAN" numFmtId="49">
      <sharedItems containsBlank="1"/>
    </cacheField>
    <cacheField name="JUMLAH" numFmtId="165">
      <sharedItems containsMixedTypes="1" containsNumber="1" containsInteger="1" minValue="0" maxValue="48000000"/>
    </cacheField>
    <cacheField name="DISC 1-" numFmtId="165">
      <sharedItems containsMixedTypes="1" containsNumber="1" containsInteger="1" minValue="0" maxValue="8121600"/>
    </cacheField>
    <cacheField name="DISC 2-" numFmtId="165">
      <sharedItems containsMixedTypes="1" containsNumber="1" containsInteger="1" minValue="0" maxValue="1285440"/>
    </cacheField>
    <cacheField name="DISC 3-" numFmtId="165">
      <sharedItems containsMixedTypes="1" containsNumber="1" containsInteger="1" minValue="0" maxValue="0"/>
    </cacheField>
    <cacheField name="DISC" numFmtId="165">
      <sharedItems containsMixedTypes="1" containsNumber="1" containsInteger="1" minValue="0" maxValue="9319440"/>
    </cacheField>
    <cacheField name="TOTAL" numFmtId="165">
      <sharedItems containsMixedTypes="1" containsNumber="1" containsInteger="1" minValue="0" maxValue="48000000"/>
    </cacheField>
    <cacheField name="Column2" numFmtId="165">
      <sharedItems containsNonDate="0" containsString="0" containsBlank="1"/>
    </cacheField>
    <cacheField name="DISC TOTAL" numFmtId="165">
      <sharedItems containsMixedTypes="1" containsNumber="1" containsInteger="1" minValue="0" maxValue="12076416"/>
    </cacheField>
    <cacheField name="TOTAL INVOICE" numFmtId="165">
      <sharedItems containsMixedTypes="1" containsNumber="1" containsInteger="1" minValue="0" maxValue="94802400"/>
    </cacheField>
    <cacheField name="HARGA/ CTN_H" numFmtId="3">
      <sharedItems containsMixedTypes="1" containsNumber="1" containsInteger="1" minValue="0" maxValue="11349000"/>
    </cacheField>
    <cacheField name="JUMLAH_H" numFmtId="165">
      <sharedItems containsMixedTypes="1" containsNumber="1" containsInteger="1" minValue="0" maxValue="48000000"/>
    </cacheField>
    <cacheField name="TGL_H" numFmtId="14">
      <sharedItems containsDate="1" containsMixedTypes="1" minDate="2024-03-01T00:00:00" maxDate="2024-07-02T00:00:00" count="70">
        <s v=""/>
        <d v="2024-05-28T00:00:00"/>
        <d v="2024-05-29T00:00:00"/>
        <d v="2024-05-27T00:00:00"/>
        <d v="2024-05-30T00:00:00"/>
        <d v="2024-06-03T00:00:00"/>
        <d v="2024-06-04T00:00:00"/>
        <d v="2024-06-05T00:00:00"/>
        <d v="2024-06-06T00:00:00"/>
        <d v="2024-06-10T00:00:00"/>
        <d v="2024-06-13T00:00:00"/>
        <d v="2024-06-12T00:00:00"/>
        <d v="2024-06-11T00:00:00"/>
        <d v="2024-06-14T00:00:00"/>
        <d v="2024-06-18T00:00:00"/>
        <d v="2024-06-22T00:00:00"/>
        <d v="2024-06-19T00:00:00"/>
        <d v="2024-06-25T00:00:00"/>
        <d v="2024-06-24T00:00:00"/>
        <d v="2024-06-27T00:00:00" u="1"/>
        <d v="2024-06-28T00:00:00" u="1"/>
        <d v="2024-06-29T00:00:00" u="1"/>
        <d v="2024-07-01T00:00:00" u="1"/>
        <d v="2024-05-02T00:00:00" u="1"/>
        <d v="2024-05-03T00:00:00" u="1"/>
        <d v="2024-05-04T00:00:00" u="1"/>
        <d v="2024-04-30T00:00:00" u="1"/>
        <d v="2024-05-07T00:00:00" u="1"/>
        <d v="2024-05-08T00:00:00" u="1"/>
        <d v="2024-05-10T00:00:00" u="1"/>
        <d v="2024-05-11T00:00:00" u="1"/>
        <d v="2024-05-13T00:00:00" u="1"/>
        <d v="2024-05-15T00:00:00" u="1"/>
        <d v="2024-05-16T00:00:00" u="1"/>
        <d v="2024-05-17T00:00:00" u="1"/>
        <d v="2024-05-20T00:00:00" u="1"/>
        <d v="2024-05-21T00:00:00" u="1"/>
        <d v="2024-05-22T00:00:00" u="1"/>
        <d v="2024-05-25T00:00:00" u="1"/>
        <d v="2024-03-28T00:00:00" u="1"/>
        <d v="2024-03-21T00:00:00" u="1"/>
        <d v="2024-04-19T00:00:00" u="1"/>
        <d v="2024-03-07T00:00:00" u="1"/>
        <d v="2024-03-26T00:00:00" u="1"/>
        <d v="2024-03-19T00:00:00" u="1"/>
        <d v="2024-04-24T00:00:00" u="1"/>
        <d v="2024-03-12T00:00:00" u="1"/>
        <d v="2024-04-17T00:00:00" u="1"/>
        <d v="2024-04-29T00:00:00" u="1"/>
        <d v="2024-04-03T00:00:00" u="1"/>
        <d v="2024-04-22T00:00:00" u="1"/>
        <d v="2024-03-22T00:00:00" u="1"/>
        <d v="2024-04-27T00:00:00" u="1"/>
        <d v="2024-04-01T00:00:00" u="1"/>
        <d v="2024-04-20T00:00:00" u="1"/>
        <d v="2024-03-08T00:00:00" u="1"/>
        <d v="2024-03-27T00:00:00" u="1"/>
        <d v="2024-03-01T00:00:00" u="1"/>
        <d v="2024-03-20T00:00:00" u="1"/>
        <d v="2024-04-25T00:00:00" u="1"/>
        <d v="2024-03-13T00:00:00" u="1"/>
        <d v="2024-04-18T00:00:00" u="1"/>
        <d v="2024-03-06T00:00:00" u="1"/>
        <d v="2024-03-25T00:00:00" u="1"/>
        <d v="2024-04-04T00:00:00" u="1"/>
        <d v="2024-03-18T00:00:00" u="1"/>
        <d v="2024-03-30T00:00:00" u="1"/>
        <d v="2024-03-04T00:00:00" u="1"/>
        <d v="2024-03-23T00:00:00" u="1"/>
        <d v="2024-04-21T00:00:00" u="1"/>
      </sharedItems>
    </cacheField>
    <cacheField name="TGL.NOTA_H" numFmtId="14">
      <sharedItems containsDate="1" containsMixedTypes="1" minDate="2004-06-22T00:00:00" maxDate="2024-06-23T00:00:00"/>
    </cacheField>
    <cacheField name="NO.NOTA_H" numFmtId="14">
      <sharedItems containsDate="1" containsMixedTypes="1" minDate="1899-12-30T00:00:00" maxDate="1899-12-31T00:00:00"/>
    </cacheField>
    <cacheField name="SUPPLIER_H" numFmtId="3">
      <sharedItems/>
    </cacheField>
    <cacheField name="FAKTUR_H" numFmtId="3">
      <sharedItems count="4">
        <s v=""/>
        <s v="UNTANA"/>
        <s v="ARTO MORO" u="1"/>
        <s v="SA240405733" u="1"/>
      </sharedItems>
    </cacheField>
    <cacheField name="qb" numFmtId="0">
      <sharedItems containsMixedTypes="1" containsNumber="1" containsInteger="1" minValue="1" maxValue="774"/>
    </cacheField>
    <cacheField name="Column1" numFmtId="0">
      <sharedItems containsMixedTypes="1" containsNumber="1" containsInteger="1" minValue="5" maxValue="6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 containsBlank="1"/>
    </cacheField>
    <cacheField name="//DB" numFmtId="0">
      <sharedItems containsMixedTypes="1" containsNumber="1" containsInteger="1" minValue="23" maxValue="3436"/>
    </cacheField>
    <cacheField name="Column3" numFmtId="0">
      <sharedItems/>
    </cacheField>
    <cacheField name="QTY/ CTN_H" numFmtId="0">
      <sharedItems containsMixedTypes="1" containsNumber="1" containsInteger="1" minValue="30" maxValue="96"/>
    </cacheField>
    <cacheField name="NB NOTA_C_QTY" numFmtId="0">
      <sharedItems/>
    </cacheField>
    <cacheField name="//DB2" numFmtId="0">
      <sharedItems containsMixedTypes="1" containsNumber="1" containsInteger="1" minValue="23" maxValue="3436"/>
    </cacheField>
    <cacheField name="ID BARANG" numFmtId="1">
      <sharedItems containsMixedTypes="1" containsNumber="1" containsInteger="1" minValue="1" maxValue="531" count="480">
        <s v=""/>
        <n v="2"/>
        <n v="4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3"/>
        <n v="24"/>
        <n v="26"/>
        <n v="27"/>
        <n v="29"/>
        <n v="30"/>
        <n v="31"/>
        <n v="32"/>
        <n v="33"/>
        <n v="34"/>
        <n v="36"/>
        <n v="37"/>
        <n v="38"/>
        <n v="39"/>
        <n v="40"/>
        <n v="41"/>
        <n v="42"/>
        <n v="44"/>
        <n v="45"/>
        <n v="46"/>
        <n v="48"/>
        <n v="49"/>
        <n v="51"/>
        <n v="52"/>
        <n v="53"/>
        <n v="55"/>
        <n v="57"/>
        <n v="59"/>
        <n v="61"/>
        <n v="63"/>
        <n v="64"/>
        <n v="65"/>
        <n v="67"/>
        <n v="68"/>
        <n v="69"/>
        <n v="71"/>
        <n v="73"/>
        <n v="74"/>
        <n v="76"/>
        <n v="77"/>
        <n v="79"/>
        <n v="80"/>
        <n v="82"/>
        <n v="83"/>
        <n v="84"/>
        <n v="85"/>
        <n v="86"/>
        <n v="87"/>
        <n v="88"/>
        <n v="89"/>
        <n v="90"/>
        <n v="91"/>
        <n v="93"/>
        <n v="94"/>
        <n v="96"/>
        <n v="97"/>
        <n v="98"/>
        <n v="99"/>
        <n v="101"/>
        <n v="103"/>
        <n v="104"/>
        <n v="106"/>
        <n v="107"/>
        <n v="108"/>
        <n v="109"/>
        <n v="111"/>
        <n v="112"/>
        <n v="114"/>
        <n v="116"/>
        <n v="118"/>
        <n v="119"/>
        <n v="120"/>
        <n v="121"/>
        <n v="122"/>
        <n v="124"/>
        <n v="125"/>
        <n v="126"/>
        <n v="127"/>
        <n v="128"/>
        <n v="130"/>
        <n v="131"/>
        <n v="133"/>
        <n v="134"/>
        <n v="135"/>
        <n v="136"/>
        <n v="137"/>
        <n v="138"/>
        <n v="139"/>
        <n v="141"/>
        <n v="142"/>
        <n v="143"/>
        <n v="145"/>
        <n v="146"/>
        <n v="147"/>
        <n v="148"/>
        <n v="149"/>
        <n v="150"/>
        <n v="151"/>
        <n v="152"/>
        <n v="153"/>
        <n v="154"/>
        <n v="155"/>
        <n v="156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4"/>
        <n v="175"/>
        <n v="176"/>
        <n v="177"/>
        <n v="178"/>
        <n v="179"/>
        <e v="#N/A"/>
        <n v="181"/>
        <n v="182"/>
        <n v="183"/>
        <n v="184"/>
        <n v="185"/>
        <n v="186"/>
        <n v="187"/>
        <n v="188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7"/>
        <n v="208"/>
        <n v="209"/>
        <n v="211"/>
        <n v="212"/>
        <n v="214"/>
        <n v="215"/>
        <n v="216"/>
        <n v="217"/>
        <n v="218"/>
        <n v="219"/>
        <n v="220"/>
        <n v="221"/>
        <n v="222"/>
        <n v="223"/>
        <n v="225"/>
        <n v="226"/>
        <n v="227"/>
        <n v="228"/>
        <n v="230"/>
        <n v="232"/>
        <n v="233"/>
        <n v="234"/>
        <n v="235"/>
        <n v="236"/>
        <n v="237"/>
        <n v="238"/>
        <n v="239"/>
        <n v="240"/>
        <n v="242"/>
        <n v="243"/>
        <n v="244"/>
        <n v="245"/>
        <n v="247"/>
        <n v="248"/>
        <n v="250"/>
        <n v="251"/>
        <n v="252"/>
        <n v="253"/>
        <n v="255"/>
        <n v="257"/>
        <n v="259"/>
        <n v="260"/>
        <n v="261"/>
        <n v="263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3"/>
        <n v="285"/>
        <n v="287"/>
        <n v="288"/>
        <n v="290"/>
        <n v="291"/>
        <n v="289" u="1"/>
        <n v="292" u="1"/>
        <n v="293" u="1"/>
        <n v="294" u="1"/>
        <n v="297" u="1"/>
        <n v="299" u="1"/>
        <n v="300" u="1"/>
        <n v="301" u="1"/>
        <n v="303" u="1"/>
        <n v="304" u="1"/>
        <n v="306" u="1"/>
        <n v="307" u="1"/>
        <n v="309" u="1"/>
        <n v="310" u="1"/>
        <n v="311" u="1"/>
        <n v="312" u="1"/>
        <n v="313" u="1"/>
        <n v="314" u="1"/>
        <n v="316" u="1"/>
        <n v="317" u="1"/>
        <n v="319" u="1"/>
        <n v="180" u="1"/>
        <n v="92" u="1"/>
        <n v="1" u="1"/>
        <n v="25" u="1"/>
        <n v="28" u="1"/>
        <n v="35" u="1"/>
        <n v="43" u="1"/>
        <n v="47" u="1"/>
        <n v="50" u="1"/>
        <n v="54" u="1"/>
        <n v="56" u="1"/>
        <n v="58" u="1"/>
        <n v="62" u="1"/>
        <n v="66" u="1"/>
        <n v="70" u="1"/>
        <n v="72" u="1"/>
        <n v="75" u="1"/>
        <n v="78" u="1"/>
        <n v="81" u="1"/>
        <n v="95" u="1"/>
        <n v="113" u="1"/>
        <n v="115" u="1"/>
        <n v="117" u="1"/>
        <n v="123" u="1"/>
        <n v="129" u="1"/>
        <n v="132" u="1"/>
        <n v="140" u="1"/>
        <n v="144" u="1"/>
        <n v="157" u="1"/>
        <n v="173" u="1"/>
        <n v="206" u="1"/>
        <n v="210" u="1"/>
        <n v="213" u="1"/>
        <n v="224" u="1"/>
        <n v="231" u="1"/>
        <n v="369" u="1"/>
        <n v="440" u="1"/>
        <n v="511" u="1"/>
        <n v="327" u="1"/>
        <n v="469" u="1"/>
        <n v="356" u="1"/>
        <n v="427" u="1"/>
        <n v="100" u="1"/>
        <n v="385" u="1"/>
        <n v="456" u="1"/>
        <n v="343" u="1"/>
        <n v="414" u="1"/>
        <n v="485" u="1"/>
        <n v="529" u="1"/>
        <n v="372" u="1"/>
        <n v="516" u="1"/>
        <n v="330" u="1"/>
        <n v="401" u="1"/>
        <n v="472" u="1"/>
        <n v="359" u="1"/>
        <n v="501" u="1"/>
        <n v="388" u="1"/>
        <n v="459" u="1"/>
        <n v="5" u="1"/>
        <n v="346" u="1"/>
        <n v="417" u="1"/>
        <n v="446" u="1"/>
        <n v="522" u="1"/>
        <n v="262" u="1"/>
        <n v="333" u="1"/>
        <n v="475" u="1"/>
        <n v="362" u="1"/>
        <n v="504" u="1"/>
        <n v="320" u="1"/>
        <n v="391" u="1"/>
        <n v="462" u="1"/>
        <n v="349" u="1"/>
        <n v="420" u="1"/>
        <n v="491" u="1"/>
        <n v="246" u="1"/>
        <n v="378" u="1"/>
        <n v="449" u="1"/>
        <n v="407" u="1"/>
        <n v="515" u="1"/>
        <n v="436" u="1"/>
        <n v="507" u="1"/>
        <n v="254" u="1"/>
        <n v="323" u="1"/>
        <n v="394" u="1"/>
        <n v="465" u="1"/>
        <n v="352" u="1"/>
        <n v="494" u="1"/>
        <n v="381" u="1"/>
        <n v="452" u="1"/>
        <n v="410" u="1"/>
        <n v="241" u="1"/>
        <n v="439" u="1"/>
        <n v="510" u="1"/>
        <n v="326" u="1"/>
        <n v="397" u="1"/>
        <n v="468" u="1"/>
        <n v="284" u="1"/>
        <n v="355" u="1"/>
        <n v="497" u="1"/>
        <n v="249" u="1"/>
        <n v="384" u="1"/>
        <n v="455" u="1"/>
        <n v="342" u="1"/>
        <n v="413" u="1"/>
        <n v="484" u="1"/>
        <n v="514" u="1"/>
        <n v="258" u="1"/>
        <n v="329" u="1"/>
        <n v="400" u="1"/>
        <n v="471" u="1"/>
        <n v="358" u="1"/>
        <n v="429" u="1"/>
        <n v="387" u="1"/>
        <n v="458" u="1"/>
        <n v="345" u="1"/>
        <n v="416" u="1"/>
        <n v="487" u="1"/>
        <n v="374" u="1"/>
        <n v="445" u="1"/>
        <n v="520" u="1"/>
        <n v="332" u="1"/>
        <n v="403" u="1"/>
        <n v="361" u="1"/>
        <n v="432" u="1"/>
        <n v="461" u="1"/>
        <n v="419" u="1"/>
        <n v="490" u="1"/>
        <n v="377" u="1"/>
        <n v="448" u="1"/>
        <n v="189" u="1"/>
        <n v="264" u="1"/>
        <n v="406" u="1"/>
        <n v="477" u="1"/>
        <n v="513" u="1"/>
        <n v="364" u="1"/>
        <n v="435" u="1"/>
        <n v="506" u="1"/>
        <n v="22" u="1"/>
        <n v="102" u="1"/>
        <n v="322" u="1"/>
        <n v="464" u="1"/>
        <n v="60" u="1"/>
        <n v="422" u="1"/>
        <n v="493" u="1"/>
        <n v="380" u="1"/>
        <n v="451" u="1"/>
        <n v="338" u="1"/>
        <n v="409" u="1"/>
        <n v="480" u="1"/>
        <n v="519" u="1"/>
        <n v="3" u="1"/>
        <n v="367" u="1"/>
        <n v="438" u="1"/>
        <n v="509" u="1"/>
        <n v="396" u="1"/>
        <n v="467" u="1"/>
        <n v="354" u="1"/>
        <n v="425" u="1"/>
        <n v="383" u="1"/>
        <n v="454" u="1"/>
        <n v="483" u="1"/>
        <n v="525" u="1"/>
        <n v="370" u="1"/>
        <n v="441" u="1"/>
        <n v="328" u="1"/>
        <n v="399" u="1"/>
        <n v="286" u="1"/>
        <n v="357" u="1"/>
        <n v="428" u="1"/>
        <n v="499" u="1"/>
        <n v="315" u="1"/>
        <n v="457" u="1"/>
        <n v="229" u="1"/>
        <n v="344" u="1"/>
        <n v="415" u="1"/>
        <n v="486" u="1"/>
        <n v="531" u="1"/>
        <n v="373" u="1"/>
        <n v="518" u="1"/>
        <n v="331" u="1"/>
        <n v="402" u="1"/>
        <n v="473" u="1"/>
        <n v="431" u="1"/>
        <n v="502" u="1"/>
        <n v="318" u="1"/>
        <n v="389" u="1"/>
        <n v="460" u="1"/>
        <n v="347" u="1"/>
        <n v="418" u="1"/>
        <n v="489" u="1"/>
        <n v="376" u="1"/>
        <n v="524" u="1"/>
        <n v="105" u="1"/>
        <n v="405" u="1"/>
        <n v="476" u="1"/>
        <n v="363" u="1"/>
        <n v="434" u="1"/>
        <n v="505" u="1"/>
        <n v="321" u="1"/>
        <n v="392" u="1"/>
        <n v="463" u="1"/>
        <n v="350" u="1"/>
        <n v="421" u="1"/>
        <n v="492" u="1"/>
        <n v="379" u="1"/>
        <n v="450" u="1"/>
        <n v="530" u="1"/>
        <n v="408" u="1"/>
        <n v="479" u="1"/>
        <n v="517" u="1"/>
        <n v="295" u="1"/>
        <n v="366" u="1"/>
        <n v="324" u="1"/>
        <n v="395" u="1"/>
        <n v="466" u="1"/>
        <n v="353" u="1"/>
        <n v="424" u="1"/>
        <n v="495" u="1"/>
        <n v="382" u="1"/>
        <n v="340" u="1"/>
        <n v="411" u="1"/>
        <n v="482" u="1"/>
        <n v="523" u="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9">
  <r>
    <n v="1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n v="774"/>
    <s v=""/>
    <s v=""/>
    <s v=""/>
    <s v=""/>
    <s v=""/>
    <s v=""/>
    <s v=""/>
    <s v=""/>
    <s v=""/>
    <s v=""/>
    <s v=""/>
    <x v="0"/>
    <m/>
  </r>
  <r>
    <n v="2"/>
    <s v="ETJ_2805_124-1"/>
    <e v="#REF!"/>
    <n v="2"/>
    <d v="2024-05-28T00:00:00"/>
    <s v="ETJ"/>
    <s v="UNTANA"/>
    <s v="G61.24"/>
    <m/>
    <d v="2024-05-22T00:00:00"/>
    <m/>
    <s v="ENTER 30CM 675"/>
    <n v="5"/>
    <n v="1000"/>
    <s v="LSN"/>
    <n v="8750"/>
    <m/>
    <s v="250 LSN"/>
    <m/>
    <m/>
    <m/>
    <m/>
    <m/>
    <n v="8750000"/>
    <n v="0"/>
    <n v="0"/>
    <n v="0"/>
    <n v="0"/>
    <n v="8750000"/>
    <m/>
    <n v="0"/>
    <n v="8750000"/>
    <n v="1750000"/>
    <n v="8750000"/>
    <x v="1"/>
    <d v="2024-05-22T00:00:00"/>
    <s v="G61.24"/>
    <s v="ETJ"/>
    <x v="1"/>
    <n v="1"/>
    <n v="5"/>
    <s v="enter30cm675"/>
    <s v="enter30cm6751750000"/>
    <s v="enter30cm6751750000"/>
    <s v="ETJUNTANAG61.2445434enter30cm675"/>
    <e v="#REF!"/>
    <n v="932"/>
    <b v="1"/>
    <s v="250 LSN"/>
    <s v="enter30cm675250lsnuntana"/>
    <e v="#N/A"/>
    <x v="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"/>
    <s v="BIN_2805_691-1"/>
    <e v="#REF!"/>
    <n v="3"/>
    <d v="2024-05-28T00:00:00"/>
    <s v="BINTANG SAUDARA"/>
    <s v="UNTANA"/>
    <s v="SO2024050085691"/>
    <m/>
    <d v="2024-05-25T00:00:00"/>
    <m/>
    <s v="PAPER BAG COKLAT BESAR TEBAL"/>
    <n v="4"/>
    <n v="120"/>
    <s v="LSN"/>
    <n v="25500"/>
    <m/>
    <n v="30"/>
    <n v="0.05"/>
    <n v="0.03"/>
    <m/>
    <m/>
    <m/>
    <n v="3060000"/>
    <n v="153000"/>
    <n v="87210"/>
    <n v="0"/>
    <n v="240210"/>
    <n v="2819790"/>
    <m/>
    <n v="240210"/>
    <n v="2819790"/>
    <n v="765000"/>
    <n v="3060000"/>
    <x v="1"/>
    <d v="2024-05-25T00:00:00"/>
    <s v="SO2024050085691"/>
    <s v="BINTANG SAUDARA"/>
    <x v="1"/>
    <n v="1"/>
    <n v="5"/>
    <s v="paperbagcoklatbesartebal"/>
    <s v="paperbagcoklatbesartebal7650000,050,03"/>
    <s v="paperbagcoklatbesartebal7650000,050,03"/>
    <s v="BINTANG SAUDARAUNTANASO202405008569145437paperbagcoklatbesartebal"/>
    <e v="#REF!"/>
    <n v="2356"/>
    <b v="1"/>
    <n v="30"/>
    <s v="paperbagcoklatbesartebal30untana"/>
    <e v="#N/A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"/>
    <s v="DBS_2805_524-16"/>
    <e v="#REF!"/>
    <n v="4"/>
    <d v="2024-05-28T00:00:00"/>
    <s v="DB STATIONERY"/>
    <s v="UNTANA"/>
    <s v="JUE605/24"/>
    <m/>
    <d v="2024-05-25T00:00:00"/>
    <m/>
    <s v="GEL ZHIXIN + REFILL G 3122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n v="16"/>
    <n v="5"/>
    <s v="gelzhixinrefillg3122"/>
    <s v="gelzhixinrefillg31222190000"/>
    <s v="gelzhixinrefillg31222190000"/>
    <s v="DB STATIONERYUNTANAJUE605/2445437gelzhixinrefillg3122"/>
    <e v="#REF!"/>
    <n v="1263"/>
    <b v="1"/>
    <s v="120 LSN"/>
    <s v="gelzhixinrefillg3122120lsnuntana"/>
    <n v="1263"/>
    <x v="3"/>
    <m/>
  </r>
  <r>
    <s v=""/>
    <s v=""/>
    <s v=""/>
    <n v="4"/>
    <m/>
    <m/>
    <m/>
    <m/>
    <m/>
    <m/>
    <m/>
    <s v="GEL ZHIXIN + REFILL G 3164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64"/>
    <s v="gelzhixinrefillg31642190000"/>
    <s v="gelzhixinrefillg31642190000"/>
    <s v=""/>
    <s v=""/>
    <n v="1264"/>
    <b v="1"/>
    <s v="120 LSN"/>
    <s v="gelzhixinrefillg3164120lsnuntana"/>
    <n v="1264"/>
    <x v="4"/>
    <m/>
  </r>
  <r>
    <s v=""/>
    <s v=""/>
    <s v=""/>
    <n v="4"/>
    <m/>
    <m/>
    <m/>
    <m/>
    <m/>
    <m/>
    <m/>
    <s v="GEL ZHIXIN + REFILL G 316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65"/>
    <s v="gelzhixinrefillg31652190000"/>
    <s v="gelzhixinrefillg31652190000"/>
    <s v=""/>
    <s v=""/>
    <n v="1291"/>
    <b v="1"/>
    <s v="120 LSN"/>
    <s v="gelzhixinrefillg3165120lsnuntana"/>
    <n v="1291"/>
    <x v="5"/>
    <m/>
  </r>
  <r>
    <s v=""/>
    <s v=""/>
    <s v=""/>
    <n v="4"/>
    <m/>
    <m/>
    <m/>
    <m/>
    <m/>
    <m/>
    <m/>
    <s v="GEL ZHIXIN + REFILL G 3156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56"/>
    <s v="gelzhixinrefillg31562190000"/>
    <s v="gelzhixinrefillg31562190000"/>
    <s v=""/>
    <s v=""/>
    <n v="1265"/>
    <b v="1"/>
    <s v="120 LSN"/>
    <s v="gelzhixinrefillg3156120lsnuntana"/>
    <n v="1265"/>
    <x v="6"/>
    <m/>
  </r>
  <r>
    <s v=""/>
    <s v=""/>
    <s v=""/>
    <n v="4"/>
    <m/>
    <m/>
    <m/>
    <m/>
    <m/>
    <m/>
    <m/>
    <s v="GEL ZHIXIN + REFILL G 3162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62"/>
    <s v="gelzhixinrefillg31622190000"/>
    <s v="gelzhixinrefillg31622190000"/>
    <s v=""/>
    <s v=""/>
    <n v="1266"/>
    <b v="1"/>
    <s v="120 LSN"/>
    <s v="gelzhixinrefillg3162120lsnuntana"/>
    <n v="1266"/>
    <x v="7"/>
    <m/>
  </r>
  <r>
    <s v=""/>
    <s v=""/>
    <s v=""/>
    <n v="4"/>
    <m/>
    <m/>
    <m/>
    <m/>
    <m/>
    <m/>
    <m/>
    <s v="GEL ZHIXIN + REFILL G 3119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19"/>
    <s v="gelzhixinrefillg31192190000"/>
    <s v="gelzhixinrefillg31192190000"/>
    <s v=""/>
    <s v=""/>
    <n v="1341"/>
    <b v="1"/>
    <s v="120 LSN"/>
    <s v="gelzhixinrefillg3119120lsnuntana"/>
    <n v="1341"/>
    <x v="8"/>
    <m/>
  </r>
  <r>
    <s v=""/>
    <s v=""/>
    <s v=""/>
    <n v="4"/>
    <m/>
    <m/>
    <m/>
    <m/>
    <m/>
    <m/>
    <m/>
    <s v="GEL ZHIXIN + REFILL G 502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5025"/>
    <s v="gelzhixinrefillg50252190000"/>
    <s v="gelzhixinrefillg50252190000"/>
    <s v=""/>
    <s v=""/>
    <n v="1292"/>
    <b v="1"/>
    <s v="120 LSN"/>
    <s v="gelzhixinrefillg5025120lsnuntana"/>
    <n v="1292"/>
    <x v="9"/>
    <m/>
  </r>
  <r>
    <s v=""/>
    <s v=""/>
    <s v=""/>
    <n v="4"/>
    <m/>
    <m/>
    <m/>
    <m/>
    <m/>
    <m/>
    <m/>
    <s v="GEL ZHIXIN + REFILL G 3118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18"/>
    <s v="gelzhixinrefillg31182190000"/>
    <s v="gelzhixinrefillg31182190000"/>
    <s v=""/>
    <s v=""/>
    <n v="1340"/>
    <b v="1"/>
    <s v="120 LSN"/>
    <s v="gelzhixinrefillg3118120lsnuntana"/>
    <n v="1340"/>
    <x v="10"/>
    <m/>
  </r>
  <r>
    <s v=""/>
    <s v=""/>
    <s v=""/>
    <n v="4"/>
    <m/>
    <m/>
    <m/>
    <m/>
    <m/>
    <m/>
    <m/>
    <s v="GEL ZHIXIN + REFILL G 3128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28"/>
    <s v="gelzhixinrefillg31282190000"/>
    <s v="gelzhixinrefillg31282190000"/>
    <s v=""/>
    <s v=""/>
    <n v="1350"/>
    <b v="1"/>
    <s v="120 LSN"/>
    <s v="gelzhixinrefillg3128120lsnuntana"/>
    <n v="1350"/>
    <x v="11"/>
    <m/>
  </r>
  <r>
    <s v=""/>
    <s v=""/>
    <s v=""/>
    <n v="4"/>
    <m/>
    <m/>
    <m/>
    <m/>
    <m/>
    <m/>
    <m/>
    <s v="GEL ZHIXIN + REFILL G 3129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29"/>
    <s v="gelzhixinrefillg31292190000"/>
    <s v="gelzhixinrefillg31292190000"/>
    <s v=""/>
    <s v=""/>
    <n v="1351"/>
    <b v="1"/>
    <s v="120 LSN"/>
    <s v="gelzhixinrefillg3129120lsnuntana"/>
    <n v="1351"/>
    <x v="12"/>
    <m/>
  </r>
  <r>
    <s v=""/>
    <s v=""/>
    <s v=""/>
    <n v="4"/>
    <m/>
    <m/>
    <m/>
    <m/>
    <m/>
    <m/>
    <m/>
    <s v="GEL ZHIXIN + REFILL G 312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25"/>
    <s v="gelzhixinrefillg31252190000"/>
    <s v="gelzhixinrefillg31252190000"/>
    <s v=""/>
    <s v=""/>
    <n v="1347"/>
    <b v="1"/>
    <s v="120 LSN"/>
    <s v="gelzhixinrefillg3125120lsnuntana"/>
    <n v="1347"/>
    <x v="13"/>
    <m/>
  </r>
  <r>
    <s v=""/>
    <s v=""/>
    <s v=""/>
    <n v="4"/>
    <m/>
    <m/>
    <m/>
    <m/>
    <m/>
    <m/>
    <m/>
    <s v="GEL ZHIXIN + REFILL G 500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5005"/>
    <s v="gelzhixinrefillg50052190000"/>
    <s v="gelzhixinrefillg50052190000"/>
    <s v=""/>
    <s v=""/>
    <n v="1267"/>
    <b v="1"/>
    <s v="120 LSN"/>
    <s v="gelzhixinrefillg5005120lsnuntana"/>
    <n v="1267"/>
    <x v="14"/>
    <m/>
  </r>
  <r>
    <s v=""/>
    <s v=""/>
    <s v=""/>
    <n v="4"/>
    <m/>
    <m/>
    <m/>
    <m/>
    <m/>
    <m/>
    <m/>
    <s v="GEL ZHIXIN + REFILL G 3167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1"/>
    <d v="2024-05-25T00:00:00"/>
    <s v="JUE605/24"/>
    <s v="DB STATIONERY"/>
    <x v="1"/>
    <s v=""/>
    <n v="5"/>
    <s v="gelzhixinrefillg3167"/>
    <s v="gelzhixinrefillg31672190000"/>
    <s v="gelzhixinrefillg31672190000"/>
    <s v=""/>
    <s v=""/>
    <n v="1262"/>
    <b v="1"/>
    <s v="120 LSN"/>
    <s v="gelzhixinrefillg3167120lsnuntana"/>
    <n v="1262"/>
    <x v="15"/>
    <m/>
  </r>
  <r>
    <s v=""/>
    <s v=""/>
    <s v=""/>
    <n v="4"/>
    <m/>
    <m/>
    <m/>
    <m/>
    <m/>
    <m/>
    <m/>
    <s v="GEL ZHIXIN + REFILL G 3167"/>
    <n v="1"/>
    <n v="120"/>
    <s v="LSN"/>
    <n v="0"/>
    <m/>
    <s v="120 LSN"/>
    <m/>
    <m/>
    <m/>
    <m/>
    <s v="BONUS"/>
    <n v="0"/>
    <n v="0"/>
    <n v="0"/>
    <n v="0"/>
    <n v="0"/>
    <n v="0"/>
    <m/>
    <s v=""/>
    <s v=""/>
    <n v="0"/>
    <n v="0"/>
    <x v="1"/>
    <d v="2024-05-25T00:00:00"/>
    <s v="JUE605/24"/>
    <s v="DB STATIONERY"/>
    <x v="1"/>
    <s v=""/>
    <n v="5"/>
    <s v="gelzhixinrefillg3167"/>
    <s v="gelzhixinrefillg31670"/>
    <s v="gelzhixinrefillg31670"/>
    <s v=""/>
    <s v=""/>
    <n v="1262"/>
    <b v="1"/>
    <s v="120 LSN"/>
    <s v="gelzhixinrefillg3167120lsnuntana"/>
    <n v="1262"/>
    <x v="16"/>
    <m/>
  </r>
  <r>
    <s v=""/>
    <s v=""/>
    <s v=""/>
    <n v="4"/>
    <m/>
    <m/>
    <m/>
    <m/>
    <m/>
    <m/>
    <m/>
    <s v="GEL DEBOZZ 0.5 DB G05"/>
    <n v="1"/>
    <n v="120"/>
    <s v="LSN"/>
    <n v="25500"/>
    <m/>
    <s v="120 LSN"/>
    <m/>
    <m/>
    <m/>
    <m/>
    <m/>
    <n v="3060000"/>
    <n v="0"/>
    <n v="0"/>
    <n v="0"/>
    <n v="0"/>
    <n v="3060000"/>
    <m/>
    <s v=""/>
    <s v=""/>
    <n v="3060000"/>
    <n v="3060000"/>
    <x v="1"/>
    <d v="2024-05-25T00:00:00"/>
    <s v="JUE605/24"/>
    <s v="DB STATIONERY"/>
    <x v="1"/>
    <s v=""/>
    <n v="5"/>
    <s v="geldebozz05dbg05"/>
    <s v="geldebozz05dbg053060000"/>
    <s v="geldebozz05dbg053060000"/>
    <s v=""/>
    <s v=""/>
    <n v="1040"/>
    <b v="1"/>
    <s v="120 LSN"/>
    <s v="geldebozz05dbg05120lsnuntana"/>
    <n v="1040"/>
    <x v="17"/>
    <m/>
  </r>
  <r>
    <s v=""/>
    <s v=""/>
    <s v=""/>
    <n v="4"/>
    <m/>
    <m/>
    <m/>
    <m/>
    <m/>
    <m/>
    <m/>
    <s v="GEL TECHJOB TG346-B"/>
    <n v="1"/>
    <n v="144"/>
    <s v="LSN"/>
    <n v="25500"/>
    <m/>
    <s v="144 LSN"/>
    <m/>
    <m/>
    <m/>
    <m/>
    <m/>
    <n v="3672000"/>
    <n v="0"/>
    <n v="0"/>
    <n v="0"/>
    <n v="0"/>
    <n v="3672000"/>
    <m/>
    <n v="0"/>
    <n v="61482000"/>
    <n v="3672000"/>
    <n v="3672000"/>
    <x v="1"/>
    <d v="2024-05-25T00:00:00"/>
    <s v="JUE605/24"/>
    <s v="DB STATIONERY"/>
    <x v="1"/>
    <s v=""/>
    <n v="5"/>
    <s v="geltechjobtg346b"/>
    <s v="geltechjobtg346b3672000"/>
    <s v="geltechjobtg346b3672000"/>
    <s v=""/>
    <s v=""/>
    <n v="1138"/>
    <b v="1"/>
    <s v="144 LSN"/>
    <s v="geltechjobtg346b144lsnuntana"/>
    <n v="1138"/>
    <x v="1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"/>
    <s v="MIR_2905_-2"/>
    <e v="#REF!"/>
    <n v="5"/>
    <d v="2024-05-29T00:00:00"/>
    <s v="MIRACLE ABADI"/>
    <s v="UNTANA"/>
    <m/>
    <m/>
    <d v="2024-05-28T00:00:00"/>
    <m/>
    <s v="KERTAS CREPE SMALL JERSY"/>
    <n v="10"/>
    <n v="2350"/>
    <s v="PAK"/>
    <n v="5750"/>
    <m/>
    <s v="235 PAK"/>
    <m/>
    <m/>
    <m/>
    <m/>
    <m/>
    <n v="13512500"/>
    <n v="0"/>
    <n v="0"/>
    <n v="0"/>
    <n v="0"/>
    <n v="13512500"/>
    <m/>
    <s v=""/>
    <s v=""/>
    <n v="1351250"/>
    <n v="13512500"/>
    <x v="2"/>
    <d v="2024-05-28T00:00:00"/>
    <d v="1899-12-30T00:00:00"/>
    <s v="MIRACLE ABADI"/>
    <x v="1"/>
    <n v="2"/>
    <n v="5"/>
    <s v="kertascrepesmalljersy"/>
    <s v="kertascrepesmalljersy1351250"/>
    <s v="kertascrepesmalljersy1351250"/>
    <s v="MIRACLE ABADIUNTANA45440kertascrepesmalljersy"/>
    <e v="#REF!"/>
    <n v="1876"/>
    <b v="1"/>
    <s v="235 PAK"/>
    <s v="kertascrepesmalljersy235pakuntana"/>
    <n v="1876"/>
    <x v="19"/>
    <m/>
  </r>
  <r>
    <s v=""/>
    <s v=""/>
    <s v=""/>
    <n v="5"/>
    <m/>
    <m/>
    <m/>
    <m/>
    <m/>
    <m/>
    <m/>
    <s v="KERTAS CREPE SMALL JERSY MP"/>
    <n v="6"/>
    <n v="1410"/>
    <s v="PAK"/>
    <n v="5750"/>
    <m/>
    <s v="235 PAK"/>
    <m/>
    <m/>
    <m/>
    <m/>
    <m/>
    <n v="8107500"/>
    <n v="0"/>
    <n v="0"/>
    <n v="0"/>
    <n v="0"/>
    <n v="8107500"/>
    <m/>
    <n v="0"/>
    <n v="21620000"/>
    <n v="1351250"/>
    <n v="8107500"/>
    <x v="2"/>
    <d v="2024-05-28T00:00:00"/>
    <d v="1899-12-30T00:00:00"/>
    <s v="MIRACLE ABADI"/>
    <x v="1"/>
    <s v=""/>
    <n v="5"/>
    <s v="kertascrepesmalljersymp"/>
    <s v="kertascrepesmalljersymp1351250"/>
    <s v="kertascrepesmalljersymp1351250"/>
    <s v=""/>
    <s v=""/>
    <n v="1877"/>
    <b v="1"/>
    <s v="235 PAK"/>
    <s v="kertascrepesmalljersymp235pakuntana"/>
    <e v="#N/A"/>
    <x v="2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"/>
    <s v="SBS_2705_5B1-2"/>
    <e v="#REF!"/>
    <n v="6"/>
    <d v="2024-05-27T00:00:00"/>
    <s v="SBS"/>
    <s v="UNTANA"/>
    <s v="WE0535B1"/>
    <m/>
    <d v="2024-05-22T00:00:00"/>
    <m/>
    <s v="WHITE BOARD XG POLOS 2S/ 20X30"/>
    <n v="5"/>
    <n v="480"/>
    <s v="PCS"/>
    <n v="15200"/>
    <m/>
    <s v="96 PCS"/>
    <m/>
    <m/>
    <m/>
    <m/>
    <m/>
    <n v="7296000"/>
    <n v="0"/>
    <n v="0"/>
    <n v="0"/>
    <n v="0"/>
    <n v="7296000"/>
    <m/>
    <s v=""/>
    <s v=""/>
    <n v="1459200"/>
    <n v="7296000"/>
    <x v="3"/>
    <d v="2024-05-22T00:00:00"/>
    <s v="WE0535B1"/>
    <s v="SBS"/>
    <x v="1"/>
    <n v="2"/>
    <n v="5"/>
    <s v="whiteboardxgpolos2s20x30"/>
    <s v="whiteboardxgpolos2s20x301459200"/>
    <s v="whiteboardxgpolos2s20x301459200"/>
    <s v="SBSUNTANAWE0535B145434whiteboardxgpolos2s20x30"/>
    <e v="#REF!"/>
    <n v="3157"/>
    <b v="1"/>
    <s v="96 PCS"/>
    <s v="whiteboardxgpolos2s20x3096pcsuntana"/>
    <n v="3157"/>
    <x v="21"/>
    <m/>
  </r>
  <r>
    <s v=""/>
    <s v=""/>
    <s v=""/>
    <n v="6"/>
    <m/>
    <m/>
    <m/>
    <m/>
    <m/>
    <m/>
    <m/>
    <s v="WHITE BOARD XG POLOS 2S/ 25X35"/>
    <n v="5"/>
    <n v="360"/>
    <s v="PCS"/>
    <n v="19000"/>
    <m/>
    <s v="72 PCS"/>
    <m/>
    <m/>
    <m/>
    <m/>
    <m/>
    <n v="6840000"/>
    <n v="0"/>
    <n v="0"/>
    <n v="0"/>
    <n v="0"/>
    <n v="6840000"/>
    <m/>
    <n v="0"/>
    <n v="14136000"/>
    <n v="1368000"/>
    <n v="6840000"/>
    <x v="3"/>
    <d v="2024-05-22T00:00:00"/>
    <s v="WE0535B1"/>
    <s v="SBS"/>
    <x v="1"/>
    <s v=""/>
    <n v="5"/>
    <s v="whiteboardxgpolos2s25x35"/>
    <s v="whiteboardxgpolos2s25x351368000"/>
    <s v="whiteboardxgpolos2s25x351368000"/>
    <s v=""/>
    <s v=""/>
    <n v="3158"/>
    <b v="1"/>
    <s v="72 PCS"/>
    <s v="whiteboardxgpolos2s25x3572pcsuntana"/>
    <n v="3158"/>
    <x v="2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"/>
    <s v="SBS_2705_90B-6"/>
    <e v="#REF!"/>
    <n v="7"/>
    <m/>
    <s v="SBS"/>
    <s v="UNTANA"/>
    <s v="WE0590B"/>
    <m/>
    <d v="2024-05-24T00:00:00"/>
    <m/>
    <s v="BINDER NOTE FANCY SLIP A5-1903CT/ VINTAGE"/>
    <n v="2"/>
    <n v="240"/>
    <s v="PCS"/>
    <n v="9500"/>
    <m/>
    <s v="120 PCS"/>
    <m/>
    <m/>
    <m/>
    <m/>
    <m/>
    <n v="2280000"/>
    <n v="0"/>
    <n v="0"/>
    <n v="0"/>
    <n v="0"/>
    <n v="2280000"/>
    <m/>
    <s v=""/>
    <s v=""/>
    <n v="1140000"/>
    <n v="2280000"/>
    <x v="3"/>
    <d v="2024-05-24T00:00:00"/>
    <s v="WE0590B"/>
    <s v="SBS"/>
    <x v="1"/>
    <n v="6"/>
    <n v="5"/>
    <s v="bindernotefancyslipa51903ctvintage"/>
    <s v="bindernotefancyslipa51903ctvintage1140000"/>
    <s v="bindernotefancyslipa51903ctvintage1140000"/>
    <s v="SBSUNTANAWE0590B45436bindernotefancyslipa51903ctvintage"/>
    <e v="#REF!"/>
    <n v="3386"/>
    <b v="1"/>
    <s v="120 PCS"/>
    <s v="bindernotefancyslipa51903ctvintage120pcsuntana"/>
    <n v="3386"/>
    <x v="23"/>
    <m/>
  </r>
  <r>
    <s v=""/>
    <s v=""/>
    <s v=""/>
    <n v="7"/>
    <m/>
    <m/>
    <m/>
    <m/>
    <m/>
    <m/>
    <m/>
    <s v="BINDER NOTE FANCY SLIP A5-19030C/ OLD CITY"/>
    <n v="2"/>
    <n v="240"/>
    <s v="PCS"/>
    <n v="9500"/>
    <m/>
    <s v="120 PCS"/>
    <m/>
    <m/>
    <m/>
    <m/>
    <m/>
    <n v="2280000"/>
    <n v="0"/>
    <n v="0"/>
    <n v="0"/>
    <n v="0"/>
    <n v="2280000"/>
    <m/>
    <s v=""/>
    <s v=""/>
    <n v="1140000"/>
    <n v="2280000"/>
    <x v="3"/>
    <d v="2024-05-24T00:00:00"/>
    <s v="WE0590B"/>
    <s v="SBS"/>
    <x v="1"/>
    <s v=""/>
    <n v="5"/>
    <s v="bindernotefancyslipa519030coldcity"/>
    <s v="bindernotefancyslipa519030coldcity1140000"/>
    <s v="bindernotefancyslipa519030coldcity1140000"/>
    <s v=""/>
    <s v=""/>
    <n v="3387"/>
    <b v="1"/>
    <s v="120 PCS"/>
    <s v="bindernotefancyslipa519030coldcity120pcsuntana"/>
    <n v="3387"/>
    <x v="24"/>
    <m/>
  </r>
  <r>
    <s v=""/>
    <s v=""/>
    <s v=""/>
    <n v="7"/>
    <m/>
    <m/>
    <m/>
    <m/>
    <m/>
    <m/>
    <m/>
    <s v="BINDER NOTE FANCY SLIP A5-1903SS/ SKY"/>
    <n v="2"/>
    <n v="240"/>
    <s v="PCS"/>
    <n v="9500"/>
    <m/>
    <s v="120 PCS"/>
    <m/>
    <m/>
    <m/>
    <m/>
    <m/>
    <n v="2280000"/>
    <n v="0"/>
    <n v="0"/>
    <n v="0"/>
    <n v="0"/>
    <n v="2280000"/>
    <m/>
    <s v=""/>
    <s v=""/>
    <n v="1140000"/>
    <n v="2280000"/>
    <x v="3"/>
    <d v="2024-05-24T00:00:00"/>
    <s v="WE0590B"/>
    <s v="SBS"/>
    <x v="1"/>
    <s v=""/>
    <n v="5"/>
    <s v="bindernotefancyslipa51903sssky"/>
    <s v="bindernotefancyslipa51903sssky1140000"/>
    <s v="bindernotefancyslipa51903sssky1140000"/>
    <s v=""/>
    <s v=""/>
    <n v="3388"/>
    <b v="1"/>
    <s v="120 PCS"/>
    <s v="bindernotefancyslipa51903sssky120pcsuntana"/>
    <n v="3388"/>
    <x v="25"/>
    <m/>
  </r>
  <r>
    <s v=""/>
    <s v=""/>
    <s v=""/>
    <n v="7"/>
    <m/>
    <m/>
    <m/>
    <m/>
    <m/>
    <m/>
    <m/>
    <s v="BINDER NOTE FANCY SLIP A5-SF 1925/ CUTE"/>
    <n v="2"/>
    <n v="240"/>
    <s v="PCS"/>
    <n v="9500"/>
    <m/>
    <s v="120 PCS"/>
    <m/>
    <m/>
    <m/>
    <m/>
    <m/>
    <n v="2280000"/>
    <n v="0"/>
    <n v="0"/>
    <n v="0"/>
    <n v="0"/>
    <n v="2280000"/>
    <m/>
    <s v=""/>
    <s v=""/>
    <n v="1140000"/>
    <n v="2280000"/>
    <x v="3"/>
    <d v="2024-05-24T00:00:00"/>
    <s v="WE0590B"/>
    <s v="SBS"/>
    <x v="1"/>
    <s v=""/>
    <n v="5"/>
    <s v="bindernotefancyslipa5sf1925cute"/>
    <s v="bindernotefancyslipa5sf1925cute1140000"/>
    <s v="bindernotefancyslipa5sf1925cute1140000"/>
    <s v=""/>
    <s v=""/>
    <n v="3389"/>
    <b v="1"/>
    <s v="120 PCS"/>
    <s v="bindernotefancyslipa5sf1925cute120pcsuntana"/>
    <n v="3389"/>
    <x v="26"/>
    <m/>
  </r>
  <r>
    <s v=""/>
    <s v=""/>
    <s v=""/>
    <n v="7"/>
    <m/>
    <m/>
    <m/>
    <m/>
    <m/>
    <m/>
    <m/>
    <s v="BINDER NOTE FANCY SLIP A5-SF 1925KM/ SR"/>
    <n v="5"/>
    <n v="600"/>
    <s v="PCS"/>
    <n v="9500"/>
    <m/>
    <s v="120 PCS"/>
    <m/>
    <m/>
    <m/>
    <m/>
    <m/>
    <n v="5700000"/>
    <n v="0"/>
    <n v="0"/>
    <n v="0"/>
    <n v="0"/>
    <n v="5700000"/>
    <m/>
    <s v=""/>
    <s v=""/>
    <n v="1140000"/>
    <n v="5700000"/>
    <x v="3"/>
    <d v="2024-05-24T00:00:00"/>
    <s v="WE0590B"/>
    <s v="SBS"/>
    <x v="1"/>
    <s v=""/>
    <n v="5"/>
    <s v="bindernotefancyslipa5sf1925kmsr"/>
    <s v="bindernotefancyslipa5sf1925kmsr1140000"/>
    <s v="bindernotefancyslipa5sf1925kmsr1140000"/>
    <s v=""/>
    <s v=""/>
    <n v="3390"/>
    <b v="1"/>
    <s v="120 PCS"/>
    <s v="bindernotefancyslipa5sf1925kmsr120pcsuntana"/>
    <n v="3390"/>
    <x v="27"/>
    <m/>
  </r>
  <r>
    <s v=""/>
    <s v=""/>
    <s v=""/>
    <n v="7"/>
    <m/>
    <m/>
    <m/>
    <m/>
    <m/>
    <m/>
    <m/>
    <s v="BINDER NOTE FANCY SLIP A5-SF 1926/ D"/>
    <n v="2"/>
    <n v="240"/>
    <s v="PCS"/>
    <n v="9500"/>
    <m/>
    <s v="120 PCS"/>
    <m/>
    <m/>
    <m/>
    <m/>
    <m/>
    <n v="2280000"/>
    <n v="0"/>
    <n v="0"/>
    <n v="0"/>
    <n v="0"/>
    <n v="2280000"/>
    <m/>
    <n v="0"/>
    <n v="17100000"/>
    <n v="1140000"/>
    <n v="2280000"/>
    <x v="3"/>
    <d v="2024-05-24T00:00:00"/>
    <s v="WE0590B"/>
    <s v="SBS"/>
    <x v="1"/>
    <s v=""/>
    <n v="5"/>
    <s v="bindernotefancyslipa5sf1926d"/>
    <s v="bindernotefancyslipa5sf1926d1140000"/>
    <s v="bindernotefancyslipa5sf1926d1140000"/>
    <s v=""/>
    <s v=""/>
    <n v="3391"/>
    <b v="1"/>
    <s v="120 PCS"/>
    <s v="bindernotefancyslipa5sf1926d120pcsuntana"/>
    <n v="3391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"/>
    <s v="SBS_2705_024-7"/>
    <e v="#REF!"/>
    <n v="8"/>
    <m/>
    <s v="SBS"/>
    <s v="UNTANA"/>
    <s v="SURAT JALAN TH031/5/2024"/>
    <m/>
    <d v="2024-05-24T00:00:00"/>
    <m/>
    <s v="L L GASTA A5 100GRAM VINTAGE"/>
    <n v="2"/>
    <n v="720"/>
    <s v="PAK"/>
    <m/>
    <m/>
    <s v="360 PAK"/>
    <m/>
    <m/>
    <m/>
    <m/>
    <s v="SURAT JALAN"/>
    <s v=""/>
    <s v=""/>
    <s v=""/>
    <s v=""/>
    <s v=""/>
    <s v=""/>
    <m/>
    <s v=""/>
    <s v=""/>
    <n v="0"/>
    <s v=""/>
    <x v="3"/>
    <d v="2024-05-24T00:00:00"/>
    <s v="SURAT JALAN TH031/5/2024"/>
    <s v="SBS"/>
    <x v="1"/>
    <n v="7"/>
    <n v="5"/>
    <s v="llgastaa5100gramvintage"/>
    <s v="llgastaa5100gramvintage0"/>
    <s v="llgastaa5100gramvintage0"/>
    <s v="SBSUNTANASURAT JALAN TH031/5/202445436llgastaa5100gramvintage"/>
    <e v="#REF!"/>
    <n v="3392"/>
    <b v="1"/>
    <s v="360 PAK"/>
    <s v="llgastaa5100gramvintage360pakuntana"/>
    <n v="3392"/>
    <x v="29"/>
    <m/>
  </r>
  <r>
    <s v=""/>
    <s v=""/>
    <s v=""/>
    <n v="8"/>
    <m/>
    <m/>
    <m/>
    <m/>
    <m/>
    <m/>
    <m/>
    <s v="L L GASTA A5 100GRAM FR"/>
    <n v="2"/>
    <n v="720"/>
    <s v="PAK"/>
    <m/>
    <m/>
    <s v="360 PAK"/>
    <m/>
    <m/>
    <m/>
    <m/>
    <s v="SURAT JALAN"/>
    <s v=""/>
    <s v=""/>
    <s v=""/>
    <s v=""/>
    <s v=""/>
    <s v=""/>
    <m/>
    <s v=""/>
    <s v=""/>
    <n v="0"/>
    <s v=""/>
    <x v="3"/>
    <d v="2024-05-24T00:00:00"/>
    <s v="SURAT JALAN TH031/5/2024"/>
    <s v="SBS"/>
    <x v="1"/>
    <s v=""/>
    <n v="5"/>
    <s v="llgastaa5100gramfr"/>
    <s v="llgastaa5100gramfr0"/>
    <s v="llgastaa5100gramfr0"/>
    <s v=""/>
    <s v=""/>
    <n v="3393"/>
    <b v="1"/>
    <s v="360 PAK"/>
    <s v="llgastaa5100gramfr360pakuntana"/>
    <n v="3393"/>
    <x v="30"/>
    <m/>
  </r>
  <r>
    <s v=""/>
    <s v=""/>
    <s v=""/>
    <n v="8"/>
    <m/>
    <m/>
    <m/>
    <m/>
    <m/>
    <m/>
    <m/>
    <s v="L L GASTA A5 100GRAM HK"/>
    <n v="2"/>
    <n v="720"/>
    <s v="PAK"/>
    <m/>
    <m/>
    <s v="360 PAK"/>
    <m/>
    <m/>
    <m/>
    <m/>
    <s v="SURAT JALAN"/>
    <s v=""/>
    <s v=""/>
    <s v=""/>
    <s v=""/>
    <s v=""/>
    <s v=""/>
    <m/>
    <s v=""/>
    <s v=""/>
    <n v="0"/>
    <s v=""/>
    <x v="3"/>
    <d v="2024-05-24T00:00:00"/>
    <s v="SURAT JALAN TH031/5/2024"/>
    <s v="SBS"/>
    <x v="1"/>
    <s v=""/>
    <n v="5"/>
    <s v="llgastaa5100gramhk"/>
    <s v="llgastaa5100gramhk0"/>
    <s v="llgastaa5100gramhk0"/>
    <s v=""/>
    <s v=""/>
    <n v="3394"/>
    <b v="1"/>
    <s v="360 PAK"/>
    <s v="llgastaa5100gramhk360pakuntana"/>
    <n v="3394"/>
    <x v="31"/>
    <m/>
  </r>
  <r>
    <s v=""/>
    <s v=""/>
    <s v=""/>
    <n v="8"/>
    <m/>
    <m/>
    <m/>
    <m/>
    <m/>
    <m/>
    <m/>
    <s v="L L GASTA A5 100GRAM TSUM"/>
    <n v="2"/>
    <n v="720"/>
    <s v="PAK"/>
    <m/>
    <m/>
    <s v="360 PAK"/>
    <m/>
    <m/>
    <m/>
    <m/>
    <s v="SURAT JALAN"/>
    <s v=""/>
    <s v=""/>
    <s v=""/>
    <s v=""/>
    <s v=""/>
    <s v=""/>
    <m/>
    <s v=""/>
    <s v=""/>
    <n v="0"/>
    <s v=""/>
    <x v="3"/>
    <d v="2024-05-24T00:00:00"/>
    <s v="SURAT JALAN TH031/5/2024"/>
    <s v="SBS"/>
    <x v="1"/>
    <s v=""/>
    <n v="5"/>
    <s v="llgastaa5100gramtsum"/>
    <s v="llgastaa5100gramtsum0"/>
    <s v="llgastaa5100gramtsum0"/>
    <s v=""/>
    <s v=""/>
    <n v="3395"/>
    <b v="1"/>
    <s v="360 PAK"/>
    <s v="llgastaa5100gramtsum360pakuntana"/>
    <n v="3395"/>
    <x v="32"/>
    <m/>
  </r>
  <r>
    <s v=""/>
    <s v=""/>
    <s v=""/>
    <n v="8"/>
    <m/>
    <m/>
    <m/>
    <m/>
    <m/>
    <m/>
    <m/>
    <s v="PCM A 1151"/>
    <n v="5"/>
    <n v="720"/>
    <s v="PCS"/>
    <m/>
    <m/>
    <s v="144 PCS"/>
    <m/>
    <m/>
    <m/>
    <m/>
    <s v="SURAT JALAN"/>
    <s v=""/>
    <s v=""/>
    <s v=""/>
    <s v=""/>
    <s v=""/>
    <s v=""/>
    <m/>
    <s v=""/>
    <s v=""/>
    <n v="0"/>
    <s v=""/>
    <x v="3"/>
    <d v="2024-05-24T00:00:00"/>
    <s v="SURAT JALAN TH031/5/2024"/>
    <s v="SBS"/>
    <x v="1"/>
    <s v=""/>
    <n v="5"/>
    <s v="pcma1151"/>
    <s v="pcma11510"/>
    <s v="pcma11510"/>
    <s v=""/>
    <s v=""/>
    <n v="2457"/>
    <b v="1"/>
    <s v="144 PCS"/>
    <s v="pcma1151144pcsuntana"/>
    <n v="2457"/>
    <x v="33"/>
    <m/>
  </r>
  <r>
    <s v=""/>
    <s v=""/>
    <s v=""/>
    <n v="8"/>
    <m/>
    <m/>
    <m/>
    <m/>
    <m/>
    <m/>
    <m/>
    <s v="PALET ANGGUR"/>
    <n v="3"/>
    <n v="180"/>
    <s v="LSN"/>
    <m/>
    <m/>
    <s v="60 LSN"/>
    <m/>
    <m/>
    <m/>
    <m/>
    <s v="SURAT JALAN"/>
    <s v=""/>
    <s v=""/>
    <s v=""/>
    <s v=""/>
    <s v=""/>
    <s v=""/>
    <m/>
    <s v=""/>
    <s v=""/>
    <n v="0"/>
    <s v=""/>
    <x v="3"/>
    <d v="2024-05-24T00:00:00"/>
    <s v="SURAT JALAN TH031/5/2024"/>
    <s v="SBS"/>
    <x v="1"/>
    <s v=""/>
    <n v="5"/>
    <s v="paletanggur"/>
    <s v="paletanggur0"/>
    <s v="paletanggur0"/>
    <s v=""/>
    <s v=""/>
    <e v="#N/A"/>
    <b v="1"/>
    <s v="60 LSN"/>
    <s v="paletanggur60lsnuntana"/>
    <e v="#N/A"/>
    <x v="34"/>
    <m/>
  </r>
  <r>
    <s v=""/>
    <s v=""/>
    <s v=""/>
    <n v="8"/>
    <m/>
    <m/>
    <m/>
    <m/>
    <m/>
    <m/>
    <m/>
    <s v="PALET APEL"/>
    <n v="4"/>
    <n v="240"/>
    <s v="LSN"/>
    <m/>
    <m/>
    <s v="60 LSN"/>
    <m/>
    <m/>
    <m/>
    <m/>
    <s v="SURAT JALAN"/>
    <s v=""/>
    <s v=""/>
    <s v=""/>
    <s v=""/>
    <s v=""/>
    <s v=""/>
    <m/>
    <n v="0"/>
    <n v="0"/>
    <n v="0"/>
    <s v=""/>
    <x v="3"/>
    <d v="2024-05-24T00:00:00"/>
    <s v="SURAT JALAN TH031/5/2024"/>
    <s v="SBS"/>
    <x v="1"/>
    <s v=""/>
    <n v="5"/>
    <s v="paletapel"/>
    <s v="paletapel0"/>
    <s v="paletapel0"/>
    <s v=""/>
    <s v=""/>
    <e v="#N/A"/>
    <b v="1"/>
    <s v="60 LSN"/>
    <s v="paletapel60lsnuntana"/>
    <e v="#N/A"/>
    <x v="3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"/>
    <s v="SAH_2705_-24-3"/>
    <e v="#REF!"/>
    <n v="9"/>
    <d v="2024-05-27T00:00:00"/>
    <s v="SAHABAT REJEKI"/>
    <s v="UNTANA"/>
    <s v="SIW/0423/05-24"/>
    <m/>
    <d v="2024-05-24T00:00:00"/>
    <m/>
    <s v="PENCIL CASE 6675 2 ZIPPER MIX TANPA MIKA"/>
    <n v="5"/>
    <n v="2700"/>
    <s v="PCS"/>
    <n v="7500"/>
    <m/>
    <s v="540 PCS"/>
    <n v="0.03"/>
    <m/>
    <m/>
    <m/>
    <m/>
    <n v="20250000"/>
    <n v="607500"/>
    <n v="0"/>
    <n v="0"/>
    <n v="607500"/>
    <n v="19642500"/>
    <m/>
    <s v=""/>
    <s v=""/>
    <n v="4050000"/>
    <n v="20250000"/>
    <x v="3"/>
    <d v="2024-05-24T00:00:00"/>
    <s v="SIW/0423/05-24"/>
    <s v="SAHABAT REJEKI"/>
    <x v="1"/>
    <n v="3"/>
    <n v="5"/>
    <s v="pencilcase66752zippermixtanpamika"/>
    <s v="pencilcase66752zippermixtanpamika40500000,03"/>
    <s v="pencilcase66752zippermixtanpamika40500000,03"/>
    <s v="SAHABAT REJEKIUNTANASIW/0423/05-2445436pencilcase66752zippermixtanpamika"/>
    <e v="#REF!"/>
    <n v="3396"/>
    <b v="1"/>
    <s v="540 PCS"/>
    <s v="pencilcase66752zippermixtanpamika540pcsuntana"/>
    <n v="3396"/>
    <x v="36"/>
    <m/>
  </r>
  <r>
    <s v=""/>
    <s v=""/>
    <s v=""/>
    <n v="9"/>
    <m/>
    <m/>
    <m/>
    <m/>
    <m/>
    <m/>
    <m/>
    <s v="SKETCH BOOK 8K HMX-45002 TOWN (45LBR)"/>
    <n v="1"/>
    <n v="68"/>
    <s v="PCS"/>
    <n v="22500"/>
    <m/>
    <s v="68 PCS"/>
    <n v="0.03"/>
    <m/>
    <m/>
    <m/>
    <m/>
    <n v="1530000"/>
    <n v="45900"/>
    <n v="0"/>
    <n v="0"/>
    <n v="45900"/>
    <n v="1484100"/>
    <m/>
    <s v=""/>
    <s v=""/>
    <n v="1530000"/>
    <n v="1530000"/>
    <x v="3"/>
    <d v="2024-05-24T00:00:00"/>
    <s v="SIW/0423/05-24"/>
    <s v="SAHABAT REJEKI"/>
    <x v="1"/>
    <s v=""/>
    <n v="5"/>
    <s v="sketchbook8khmx45002town45lbr"/>
    <s v="sketchbook8khmx45002town45lbr15300000,03"/>
    <s v="sketchbook8khmx45002town45lbr15300000,03"/>
    <s v=""/>
    <s v=""/>
    <n v="3397"/>
    <b v="1"/>
    <s v="68 PCS"/>
    <s v="sketchbook8khmx45002town45lbr68pcsuntana"/>
    <n v="3397"/>
    <x v="37"/>
    <m/>
  </r>
  <r>
    <s v=""/>
    <s v=""/>
    <s v=""/>
    <n v="9"/>
    <m/>
    <m/>
    <m/>
    <m/>
    <m/>
    <m/>
    <m/>
    <s v="SKETCH BOOK 8K HMX-45003 GIRL (45LBR)"/>
    <n v="1"/>
    <n v="68"/>
    <s v="PCS"/>
    <n v="22500"/>
    <m/>
    <s v="68 PCS"/>
    <n v="0.03"/>
    <m/>
    <m/>
    <m/>
    <m/>
    <n v="1530000"/>
    <n v="45900"/>
    <n v="0"/>
    <n v="0"/>
    <n v="45900"/>
    <n v="1484100"/>
    <m/>
    <n v="699300"/>
    <n v="22610700"/>
    <n v="1530000"/>
    <n v="1530000"/>
    <x v="3"/>
    <d v="2024-05-24T00:00:00"/>
    <s v="SIW/0423/05-24"/>
    <s v="SAHABAT REJEKI"/>
    <x v="1"/>
    <s v=""/>
    <n v="5"/>
    <s v="sketchbook8khmx45003girl45lbr"/>
    <s v="sketchbook8khmx45003girl45lbr15300000,03"/>
    <s v="sketchbook8khmx45003girl45lbr15300000,03"/>
    <s v=""/>
    <s v=""/>
    <n v="3398"/>
    <b v="1"/>
    <s v="68 PCS"/>
    <s v="sketchbook8khmx45003girl45lbr68pcsuntana"/>
    <n v="3398"/>
    <x v="38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0"/>
    <s v="SUR_3005_366-2"/>
    <m/>
    <n v="10"/>
    <d v="2024-05-30T00:00:00"/>
    <s v="SURYA PRATAMA"/>
    <s v="UNTANA"/>
    <s v="24/V/366"/>
    <m/>
    <d v="2024-05-24T00:00:00"/>
    <m/>
    <s v="ACRYLIC COLORS PAINT V-TRO"/>
    <n v="10"/>
    <n v="1000"/>
    <s v="PCS"/>
    <n v="13500"/>
    <m/>
    <s v="100 PCS"/>
    <m/>
    <m/>
    <m/>
    <m/>
    <m/>
    <n v="13500000"/>
    <n v="0"/>
    <n v="0"/>
    <n v="0"/>
    <n v="0"/>
    <n v="13500000"/>
    <m/>
    <s v=""/>
    <s v=""/>
    <n v="1350000"/>
    <n v="13500000"/>
    <x v="4"/>
    <d v="2024-05-24T00:00:00"/>
    <s v="24/V/366"/>
    <s v="SURYA PRATAMA"/>
    <x v="1"/>
    <n v="2"/>
    <n v="5"/>
    <s v="acryliccolorspaintvtro"/>
    <s v="acryliccolorspaintvtro1350000"/>
    <s v="acryliccolorspaintvtro1350000"/>
    <s v="SURYA PRATAMAUNTANA24/V/36645436acryliccolorspaintvtro"/>
    <m/>
    <n v="23"/>
    <b v="1"/>
    <s v="100 PCS"/>
    <s v="acryliccolorspaintvtro100pcsuntana"/>
    <n v="23"/>
    <x v="39"/>
    <m/>
  </r>
  <r>
    <s v=""/>
    <s v=""/>
    <m/>
    <n v="10"/>
    <m/>
    <m/>
    <m/>
    <m/>
    <m/>
    <m/>
    <m/>
    <s v="WATER COLORS PAINT V TRO"/>
    <n v="10"/>
    <n v="1000"/>
    <s v="PCS"/>
    <n v="12500"/>
    <m/>
    <s v="100 PCS"/>
    <m/>
    <m/>
    <m/>
    <m/>
    <m/>
    <n v="12500000"/>
    <n v="0"/>
    <n v="0"/>
    <n v="0"/>
    <n v="0"/>
    <n v="12500000"/>
    <m/>
    <n v="0"/>
    <n v="26000000"/>
    <n v="1250000"/>
    <n v="12500000"/>
    <x v="4"/>
    <d v="2024-05-24T00:00:00"/>
    <s v="24/V/366"/>
    <s v="SURYA PRATAMA"/>
    <x v="1"/>
    <s v=""/>
    <n v="5"/>
    <s v="watercolorspaintvtro"/>
    <s v="watercolorspaintvtro1250000"/>
    <s v="watercolorspaintvtro1250000"/>
    <s v=""/>
    <m/>
    <n v="3151"/>
    <b v="1"/>
    <s v="100 PCS"/>
    <s v="watercolorspaintvtro100pcsuntana"/>
    <n v="3151"/>
    <x v="4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1"/>
    <s v="SUR_3005_272-3"/>
    <m/>
    <n v="11"/>
    <m/>
    <s v="SURYA PRATAMA"/>
    <s v="UNTANA"/>
    <s v="24/V/272"/>
    <m/>
    <d v="2024-05-17T00:00:00"/>
    <m/>
    <s v="PISAU LIPAT MINI (PEMES RENTENG) VTRO MCK01"/>
    <n v="10"/>
    <n v="2400"/>
    <s v="LSN"/>
    <n v="2650"/>
    <m/>
    <s v="240 LSN"/>
    <m/>
    <m/>
    <m/>
    <m/>
    <m/>
    <n v="6360000"/>
    <n v="0"/>
    <n v="0"/>
    <n v="0"/>
    <n v="0"/>
    <n v="6360000"/>
    <m/>
    <s v=""/>
    <s v=""/>
    <n v="636000"/>
    <n v="6360000"/>
    <x v="4"/>
    <d v="2024-05-17T00:00:00"/>
    <s v="24/V/272"/>
    <s v="SURYA PRATAMA"/>
    <x v="1"/>
    <n v="3"/>
    <n v="5"/>
    <s v="pisaulipatminipemesrentengvtromck01"/>
    <s v="pisaulipatminipemesrentengvtromck01636000"/>
    <s v="pisaulipatminipemesrentengvtromck01636000"/>
    <s v="SURYA PRATAMAUNTANA24/V/27245429pisaulipatminipemesrentengvtromck01"/>
    <m/>
    <n v="3399"/>
    <b v="1"/>
    <s v="240 LSN"/>
    <s v="pisaulipatminipemesrentengvtromck01240lsnuntana"/>
    <n v="3399"/>
    <x v="41"/>
    <m/>
  </r>
  <r>
    <s v=""/>
    <s v=""/>
    <m/>
    <n v="11"/>
    <m/>
    <m/>
    <m/>
    <m/>
    <m/>
    <m/>
    <m/>
    <s v="RAUTAN TOPLES BIG 158 (SANRIO)"/>
    <n v="5"/>
    <n v="300"/>
    <s v="TOP"/>
    <n v="53000"/>
    <m/>
    <s v="60 TOPLES"/>
    <m/>
    <m/>
    <m/>
    <m/>
    <m/>
    <n v="15900000"/>
    <n v="0"/>
    <n v="0"/>
    <n v="0"/>
    <n v="0"/>
    <n v="15900000"/>
    <m/>
    <s v=""/>
    <s v=""/>
    <n v="3180000"/>
    <n v="15900000"/>
    <x v="4"/>
    <d v="2024-05-17T00:00:00"/>
    <s v="24/V/272"/>
    <s v="SURYA PRATAMA"/>
    <x v="1"/>
    <s v=""/>
    <n v="5"/>
    <s v="rautantoplesbig158sanrio"/>
    <s v="rautantoplesbig158sanrio3180000"/>
    <s v="rautantoplesbig158sanrio3180000"/>
    <s v=""/>
    <m/>
    <n v="3400"/>
    <b v="1"/>
    <s v="60 TOPLES"/>
    <s v="rautantoplesbig158sanrio60toplesuntana"/>
    <e v="#N/A"/>
    <x v="42"/>
    <m/>
  </r>
  <r>
    <s v=""/>
    <s v=""/>
    <m/>
    <n v="11"/>
    <m/>
    <m/>
    <m/>
    <m/>
    <m/>
    <m/>
    <m/>
    <s v="RAUTAN TOPLES BIG 623 (OMG KUROMI)"/>
    <n v="5"/>
    <n v="240"/>
    <s v="TOP"/>
    <n v="75000"/>
    <m/>
    <s v="48 TOPLES"/>
    <m/>
    <m/>
    <m/>
    <m/>
    <m/>
    <n v="18000000"/>
    <n v="0"/>
    <n v="0"/>
    <n v="0"/>
    <n v="0"/>
    <n v="18000000"/>
    <m/>
    <n v="0"/>
    <n v="40260000"/>
    <n v="3600000"/>
    <n v="18000000"/>
    <x v="4"/>
    <d v="2024-05-17T00:00:00"/>
    <s v="24/V/272"/>
    <s v="SURYA PRATAMA"/>
    <x v="1"/>
    <s v=""/>
    <n v="5"/>
    <s v="rautantoplesbig623omgkuromi"/>
    <s v="rautantoplesbig623omgkuromi3600000"/>
    <s v="rautantoplesbig623omgkuromi3600000"/>
    <s v=""/>
    <m/>
    <n v="3401"/>
    <b v="1"/>
    <s v="48 TOPLES"/>
    <s v="rautantoplesbig623omgkuromi48toplesuntana"/>
    <e v="#N/A"/>
    <x v="43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2"/>
    <s v="SUR_3005_413-1"/>
    <m/>
    <n v="12"/>
    <m/>
    <s v="SURYA PRATAMA"/>
    <s v="UNTANA"/>
    <s v="24/1/413"/>
    <m/>
    <d v="2024-05-25T00:00:00"/>
    <m/>
    <s v="GEL PEN ZHUI ZHUA 1020"/>
    <n v="10"/>
    <n v="1920"/>
    <s v="LSN"/>
    <n v="10000"/>
    <m/>
    <s v="192 LSN"/>
    <m/>
    <m/>
    <m/>
    <m/>
    <m/>
    <n v="19200000"/>
    <n v="0"/>
    <n v="0"/>
    <n v="0"/>
    <n v="0"/>
    <n v="19200000"/>
    <m/>
    <n v="0"/>
    <n v="19200000"/>
    <n v="1920000"/>
    <n v="19200000"/>
    <x v="4"/>
    <d v="2024-05-25T00:00:00"/>
    <s v="24/1/413"/>
    <s v="SURYA PRATAMA"/>
    <x v="1"/>
    <n v="1"/>
    <n v="5"/>
    <s v="gelpenzhuizhua1020"/>
    <s v="gelpenzhuizhua10201920000"/>
    <s v="gelpenzhuizhua10201920000"/>
    <s v="SURYA PRATAMAUNTANA24/1/41345437gelpenzhuizhua1020"/>
    <m/>
    <n v="3402"/>
    <b v="1"/>
    <s v="192 LSN"/>
    <s v="gelpenzhuizhua1020192lsnuntana"/>
    <n v="3402"/>
    <x v="44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3"/>
    <s v="ETJ_0306_524-1"/>
    <m/>
    <n v="13"/>
    <d v="2024-06-03T00:00:00"/>
    <s v="ETJ"/>
    <s v="UNTANA"/>
    <s v="GX5.24"/>
    <m/>
    <d v="2024-05-27T00:00:00"/>
    <m/>
    <s v="ENTER 30CM 675"/>
    <n v="1"/>
    <n v="1000"/>
    <s v="LSN"/>
    <n v="8750"/>
    <m/>
    <m/>
    <m/>
    <m/>
    <m/>
    <m/>
    <m/>
    <n v="8750000"/>
    <n v="0"/>
    <n v="0"/>
    <n v="0"/>
    <n v="0"/>
    <n v="8750000"/>
    <m/>
    <n v="0"/>
    <n v="8750000"/>
    <n v="8750000"/>
    <n v="8750000"/>
    <x v="5"/>
    <d v="2024-05-27T00:00:00"/>
    <s v="GX5.24"/>
    <s v="ETJ"/>
    <x v="1"/>
    <n v="1"/>
    <n v="5"/>
    <s v="enter30cm675"/>
    <s v="enter30cm6758750000"/>
    <s v="enter30cm6758750000"/>
    <s v="ETJUNTANAGX5.2445439enter30cm675"/>
    <m/>
    <n v="932"/>
    <s v=""/>
    <s v="200 LSN"/>
    <s v="enter30cm675200lsnuntana"/>
    <n v="932"/>
    <x v="45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4"/>
    <s v="ETJ_0306_424-1"/>
    <m/>
    <n v="14"/>
    <m/>
    <s v="ETJ"/>
    <s v="UNTANA"/>
    <s v="H0424"/>
    <m/>
    <d v="2024-05-30T00:00:00"/>
    <m/>
    <s v="ENTER 30CM 675"/>
    <n v="1"/>
    <n v="1000"/>
    <s v="LSN"/>
    <n v="8750"/>
    <m/>
    <m/>
    <m/>
    <m/>
    <m/>
    <m/>
    <m/>
    <n v="8750000"/>
    <n v="0"/>
    <n v="0"/>
    <n v="0"/>
    <n v="0"/>
    <n v="8750000"/>
    <m/>
    <n v="0"/>
    <n v="8750000"/>
    <n v="8750000"/>
    <n v="8750000"/>
    <x v="5"/>
    <d v="2024-05-30T00:00:00"/>
    <s v="H0424"/>
    <s v="ETJ"/>
    <x v="1"/>
    <n v="1"/>
    <n v="5"/>
    <s v="enter30cm675"/>
    <s v="enter30cm6758750000"/>
    <s v="enter30cm6758750000"/>
    <s v="ETJUNTANAH042445442enter30cm675"/>
    <m/>
    <n v="932"/>
    <s v=""/>
    <s v="200 LSN"/>
    <s v="enter30cm675200lsnuntana"/>
    <n v="932"/>
    <x v="46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5"/>
    <s v="DUT_0406_24H-1"/>
    <m/>
    <n v="15"/>
    <d v="2024-06-04T00:00:00"/>
    <s v="DUTA BUANA"/>
    <s v="UNTANA"/>
    <s v="HM/099/05-24H"/>
    <m/>
    <d v="2024-05-28T00:00:00"/>
    <m/>
    <s v="BALLPEN GEL TF-1190 HTM 0.3MM HIGHTECH"/>
    <n v="9"/>
    <n v="864"/>
    <s v="LSN"/>
    <n v="26500"/>
    <m/>
    <s v="96 LSN"/>
    <n v="0.03"/>
    <m/>
    <m/>
    <m/>
    <m/>
    <n v="22896000"/>
    <n v="686880"/>
    <n v="0"/>
    <n v="0"/>
    <n v="686880"/>
    <n v="22209120"/>
    <m/>
    <n v="686880"/>
    <n v="22209120"/>
    <n v="2544000"/>
    <n v="22896000"/>
    <x v="6"/>
    <d v="2024-05-28T00:00:00"/>
    <s v="HM/099/05-24H"/>
    <s v="DUTA BUANA"/>
    <x v="1"/>
    <n v="1"/>
    <n v="5"/>
    <s v="ballpengeltf1190htm03mmhightech"/>
    <s v="ballpengeltf1190htm03mmhightech25440000,03"/>
    <s v="ballpengeltf1190htm03mmhightech25440000,03"/>
    <s v="DUTA BUANAUNTANAHM/099/05-24H45440ballpengeltf1190htm03mmhightech"/>
    <m/>
    <n v="150"/>
    <b v="1"/>
    <s v="96 LSN"/>
    <s v="ballpengeltf1190htm03mmhightech96lsnuntana"/>
    <n v="151"/>
    <x v="47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6"/>
    <s v="DBS_0406_224-3"/>
    <m/>
    <n v="16"/>
    <m/>
    <s v="DB STATIONERY"/>
    <s v="UNTANA"/>
    <s v="JUE642/24"/>
    <m/>
    <d v="2024-05-29T00:00:00"/>
    <m/>
    <s v="GEL DEBOZZ 0.5 DB-G05"/>
    <n v="3"/>
    <n v="360"/>
    <s v="LSN"/>
    <n v="25500"/>
    <m/>
    <s v="120 LSN"/>
    <m/>
    <m/>
    <m/>
    <m/>
    <m/>
    <n v="9180000"/>
    <n v="0"/>
    <n v="0"/>
    <n v="0"/>
    <n v="0"/>
    <n v="9180000"/>
    <m/>
    <s v=""/>
    <s v=""/>
    <n v="3060000"/>
    <n v="9180000"/>
    <x v="6"/>
    <d v="2024-05-29T00:00:00"/>
    <s v="JUE642/24"/>
    <s v="DB STATIONERY"/>
    <x v="1"/>
    <n v="3"/>
    <n v="5"/>
    <s v="geldebozz05dbg05"/>
    <s v="geldebozz05dbg053060000"/>
    <s v="geldebozz05dbg053060000"/>
    <s v="DB STATIONERYUNTANAJUE642/2445441geldebozz05dbg05"/>
    <m/>
    <n v="1040"/>
    <b v="1"/>
    <s v="120 LSN"/>
    <s v="geldebozz05dbg05120lsnuntana"/>
    <n v="1040"/>
    <x v="48"/>
    <m/>
  </r>
  <r>
    <s v=""/>
    <s v=""/>
    <m/>
    <n v="16"/>
    <m/>
    <m/>
    <m/>
    <m/>
    <m/>
    <m/>
    <m/>
    <s v="GEL TECHJOB TG 346-B"/>
    <n v="2"/>
    <n v="288"/>
    <s v="LSN"/>
    <n v="25500"/>
    <m/>
    <s v="144 LSN"/>
    <m/>
    <m/>
    <m/>
    <m/>
    <m/>
    <n v="7344000"/>
    <n v="0"/>
    <n v="0"/>
    <n v="0"/>
    <n v="0"/>
    <n v="7344000"/>
    <m/>
    <s v=""/>
    <s v=""/>
    <n v="3672000"/>
    <n v="7344000"/>
    <x v="6"/>
    <d v="2024-05-29T00:00:00"/>
    <s v="JUE642/24"/>
    <s v="DB STATIONERY"/>
    <x v="1"/>
    <s v=""/>
    <n v="5"/>
    <s v="geltechjobtg346b"/>
    <s v="geltechjobtg346b3672000"/>
    <s v="geltechjobtg346b3672000"/>
    <s v=""/>
    <m/>
    <n v="1138"/>
    <b v="1"/>
    <s v="144 LSN"/>
    <s v="geltechjobtg346b144lsnuntana"/>
    <n v="1138"/>
    <x v="49"/>
    <m/>
  </r>
  <r>
    <s v=""/>
    <s v=""/>
    <m/>
    <n v="16"/>
    <m/>
    <m/>
    <m/>
    <m/>
    <m/>
    <m/>
    <m/>
    <s v="ISI GEL TIZO 1.0 TG 308-AR"/>
    <n v="2"/>
    <n v="160"/>
    <s v="PCS"/>
    <n v="22500"/>
    <m/>
    <s v="80 PCS"/>
    <m/>
    <m/>
    <m/>
    <m/>
    <m/>
    <n v="3600000"/>
    <n v="0"/>
    <n v="0"/>
    <n v="0"/>
    <n v="0"/>
    <n v="3600000"/>
    <m/>
    <n v="0"/>
    <n v="20124000"/>
    <n v="1800000"/>
    <n v="3600000"/>
    <x v="6"/>
    <d v="2024-05-29T00:00:00"/>
    <s v="JUE642/24"/>
    <s v="DB STATIONERY"/>
    <x v="1"/>
    <s v=""/>
    <n v="5"/>
    <s v="isigeltizo10tg308ar"/>
    <s v="isigeltizo10tg308ar1800000"/>
    <s v="isigeltizo10tg308ar1800000"/>
    <s v=""/>
    <m/>
    <n v="1479"/>
    <b v="1"/>
    <s v="80 PCS"/>
    <s v="isigeltizo10tg308ar80pcsuntana"/>
    <e v="#N/A"/>
    <x v="5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7"/>
    <s v="SBS_0406_2B1-3"/>
    <m/>
    <n v="17"/>
    <m/>
    <s v="SBS"/>
    <s v="UNTANA"/>
    <s v="WF0002B1"/>
    <m/>
    <d v="2024-06-03T00:00:00"/>
    <m/>
    <s v="BNL AA0321-01/ A6-80/ FRUIT"/>
    <n v="1"/>
    <n v="240"/>
    <s v="PCS"/>
    <n v="8100"/>
    <m/>
    <s v="240 PCS"/>
    <m/>
    <m/>
    <m/>
    <m/>
    <m/>
    <n v="1944000"/>
    <n v="0"/>
    <n v="0"/>
    <n v="0"/>
    <n v="0"/>
    <n v="1944000"/>
    <m/>
    <s v=""/>
    <s v=""/>
    <n v="1944000"/>
    <n v="1944000"/>
    <x v="6"/>
    <d v="2024-06-03T00:00:00"/>
    <s v="WF0002B1"/>
    <s v="SBS"/>
    <x v="1"/>
    <n v="3"/>
    <n v="6"/>
    <s v="bnlaa032101a680fruit"/>
    <s v="bnlaa032101a680fruit1944000"/>
    <s v="bnlaa032101a680fruit1944000"/>
    <s v="SBSUNTANAWF0002B145446bnlaa032101a680fruit"/>
    <m/>
    <n v="408"/>
    <b v="1"/>
    <s v="240 PCS"/>
    <s v="bnlaa032101a680fruit240pcsuntana"/>
    <n v="408"/>
    <x v="51"/>
    <m/>
  </r>
  <r>
    <s v=""/>
    <s v=""/>
    <m/>
    <n v="17"/>
    <m/>
    <m/>
    <m/>
    <m/>
    <m/>
    <m/>
    <m/>
    <s v="BNL AA0321-02/ A6-80/ LIFE GLOWING"/>
    <n v="1"/>
    <n v="240"/>
    <s v="PCS"/>
    <n v="8100"/>
    <m/>
    <s v="240 PCS"/>
    <m/>
    <m/>
    <m/>
    <m/>
    <m/>
    <n v="1944000"/>
    <n v="0"/>
    <n v="0"/>
    <n v="0"/>
    <n v="0"/>
    <n v="1944000"/>
    <m/>
    <s v=""/>
    <s v=""/>
    <n v="1944000"/>
    <n v="1944000"/>
    <x v="6"/>
    <d v="2024-06-03T00:00:00"/>
    <s v="WF0002B1"/>
    <s v="SBS"/>
    <x v="1"/>
    <s v=""/>
    <n v="6"/>
    <s v="bnlaa032102a680lifeglowing"/>
    <s v="bnlaa032102a680lifeglowing1944000"/>
    <s v="bnlaa032102a680lifeglowing1944000"/>
    <s v=""/>
    <m/>
    <n v="409"/>
    <b v="1"/>
    <s v="240 PCS"/>
    <s v="bnlaa032102a680lifeglowing240pcsuntana"/>
    <n v="409"/>
    <x v="52"/>
    <m/>
  </r>
  <r>
    <s v=""/>
    <s v=""/>
    <m/>
    <n v="17"/>
    <m/>
    <m/>
    <m/>
    <m/>
    <m/>
    <m/>
    <m/>
    <s v="BNL AA0321-03/ A6-80/ BALLOON"/>
    <n v="1"/>
    <n v="240"/>
    <s v="PCS"/>
    <n v="8100"/>
    <m/>
    <s v="240 PCS"/>
    <m/>
    <m/>
    <m/>
    <m/>
    <m/>
    <n v="1944000"/>
    <n v="0"/>
    <n v="0"/>
    <n v="0"/>
    <n v="0"/>
    <n v="1944000"/>
    <m/>
    <n v="0"/>
    <n v="5832000"/>
    <n v="1944000"/>
    <n v="1944000"/>
    <x v="6"/>
    <d v="2024-06-03T00:00:00"/>
    <s v="WF0002B1"/>
    <s v="SBS"/>
    <x v="1"/>
    <s v=""/>
    <n v="6"/>
    <s v="bnlaa032103a680balloon"/>
    <s v="bnlaa032103a680balloon1944000"/>
    <s v="bnlaa032103a680balloon1944000"/>
    <s v=""/>
    <m/>
    <n v="411"/>
    <b v="1"/>
    <s v="240 PCS"/>
    <s v="bnlaa032103a680balloon240pcsuntana"/>
    <n v="411"/>
    <x v="53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8"/>
    <s v="SBS_0406_3B1-1"/>
    <m/>
    <n v="18"/>
    <m/>
    <s v="SBS"/>
    <s v="UNTANA"/>
    <s v="WF0003B1"/>
    <m/>
    <d v="2024-06-03T00:00:00"/>
    <m/>
    <s v="PCP GASTA PC-201M/ METALIK"/>
    <n v="5"/>
    <n v="120"/>
    <s v="LSN"/>
    <n v="48300"/>
    <m/>
    <s v="24 LSN"/>
    <m/>
    <m/>
    <m/>
    <m/>
    <m/>
    <n v="5796000"/>
    <n v="0"/>
    <n v="0"/>
    <n v="0"/>
    <n v="0"/>
    <n v="5796000"/>
    <m/>
    <n v="0"/>
    <n v="5796000"/>
    <n v="1159200"/>
    <n v="5796000"/>
    <x v="6"/>
    <d v="2024-06-03T00:00:00"/>
    <s v="WF0003B1"/>
    <s v="SBS"/>
    <x v="1"/>
    <n v="1"/>
    <n v="6"/>
    <s v="pcpgastapc201mmetalik"/>
    <s v="pcpgastapc201mmetalik1159200"/>
    <s v="pcpgastapc201mmetalik1159200"/>
    <s v="SBSUNTANAWF0003B145446pcpgastapc201mmetalik"/>
    <m/>
    <n v="3403"/>
    <b v="1"/>
    <s v="24 LSN"/>
    <s v="pcpgastapc201mmetalik24lsnuntana"/>
    <n v="3403"/>
    <x v="54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9"/>
    <s v="SBS_0406_04A-2"/>
    <m/>
    <n v="19"/>
    <m/>
    <s v="SBS"/>
    <s v="UNTANA"/>
    <s v="WF0004A"/>
    <m/>
    <d v="2024-06-03T00:00:00"/>
    <m/>
    <s v="PALET GAMBAR BIOLA-ANGGUR BUTEK/ WAG-201"/>
    <n v="3"/>
    <n v="180"/>
    <s v="LSN"/>
    <n v="9300"/>
    <m/>
    <s v="60 LSN"/>
    <m/>
    <m/>
    <m/>
    <m/>
    <m/>
    <n v="1674000"/>
    <n v="0"/>
    <n v="0"/>
    <n v="0"/>
    <n v="0"/>
    <n v="1674000"/>
    <m/>
    <s v=""/>
    <s v=""/>
    <n v="558000"/>
    <n v="1674000"/>
    <x v="6"/>
    <d v="2024-06-03T00:00:00"/>
    <s v="WF0004A"/>
    <s v="SBS"/>
    <x v="1"/>
    <n v="2"/>
    <n v="6"/>
    <s v="paletgambarbiolaanggurbutekwag201"/>
    <s v="paletgambarbiolaanggurbutekwag201558000"/>
    <s v="paletgambarbiolaanggurbutekwag201558000"/>
    <s v="SBSUNTANAWF0004A45446paletgambarbiolaanggurbutekwag201"/>
    <m/>
    <n v="3404"/>
    <b v="1"/>
    <s v="60 LSN"/>
    <s v="paletgambarbiolaanggurbutekwag20160lsnuntana"/>
    <n v="3404"/>
    <x v="55"/>
    <m/>
  </r>
  <r>
    <s v=""/>
    <s v=""/>
    <m/>
    <n v="19"/>
    <m/>
    <m/>
    <m/>
    <m/>
    <m/>
    <m/>
    <m/>
    <s v="PALET GAMBAR BIOLA-APEL BUTEK/ WAP-202"/>
    <n v="3"/>
    <n v="180"/>
    <s v="LSN"/>
    <n v="9300"/>
    <m/>
    <s v="60 LSN"/>
    <m/>
    <m/>
    <m/>
    <m/>
    <m/>
    <n v="1674000"/>
    <n v="0"/>
    <n v="0"/>
    <n v="0"/>
    <n v="0"/>
    <n v="1674000"/>
    <m/>
    <n v="0"/>
    <n v="3348000"/>
    <n v="558000"/>
    <n v="1674000"/>
    <x v="6"/>
    <d v="2024-06-03T00:00:00"/>
    <s v="WF0004A"/>
    <s v="SBS"/>
    <x v="1"/>
    <s v=""/>
    <n v="6"/>
    <s v="paletgambarbiolaapelbutekwap202"/>
    <s v="paletgambarbiolaapelbutekwap202558000"/>
    <s v="paletgambarbiolaapelbutekwap202558000"/>
    <s v=""/>
    <m/>
    <n v="3405"/>
    <b v="1"/>
    <s v="60 LSN"/>
    <s v="paletgambarbiolaapelbutekwap20260lsnuntana"/>
    <n v="3405"/>
    <x v="56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0"/>
    <s v="COM_0506_606-2"/>
    <m/>
    <n v="20"/>
    <d v="2024-06-05T00:00:00"/>
    <s v="COMBI"/>
    <s v="UNTANA"/>
    <s v="0606"/>
    <m/>
    <d v="2024-06-05T00:00:00"/>
    <m/>
    <s v="DOC RIT INFINITY"/>
    <n v="2"/>
    <n v="16"/>
    <s v="LSN"/>
    <n v="180000"/>
    <m/>
    <s v="8 LSN"/>
    <m/>
    <m/>
    <m/>
    <m/>
    <s v="WARNA BIRU"/>
    <n v="2880000"/>
    <n v="0"/>
    <n v="0"/>
    <n v="0"/>
    <n v="0"/>
    <n v="2880000"/>
    <m/>
    <s v=""/>
    <s v=""/>
    <n v="1440000"/>
    <n v="2880000"/>
    <x v="7"/>
    <d v="2024-06-05T00:00:00"/>
    <s v="0606"/>
    <s v="COMBI"/>
    <x v="1"/>
    <n v="2"/>
    <n v="6"/>
    <s v="docritinfinity"/>
    <s v="docritinfinity1440000"/>
    <s v="docritinfinity1440000"/>
    <s v="COMBIUNTANA060645448docritinfinity"/>
    <m/>
    <n v="865"/>
    <b v="1"/>
    <s v="8 LSN"/>
    <s v="docritinfinity8lsnuntana"/>
    <n v="865"/>
    <x v="57"/>
    <m/>
  </r>
  <r>
    <s v=""/>
    <s v=""/>
    <m/>
    <n v="20"/>
    <m/>
    <m/>
    <m/>
    <m/>
    <m/>
    <m/>
    <m/>
    <s v="DOC RIT PRESTIGE"/>
    <n v="2"/>
    <n v="16"/>
    <s v="LSN"/>
    <n v="195000"/>
    <m/>
    <s v="8 LSN"/>
    <m/>
    <m/>
    <m/>
    <m/>
    <s v="WARNA CAMPUR"/>
    <n v="3120000"/>
    <n v="0"/>
    <n v="0"/>
    <n v="0"/>
    <n v="0"/>
    <n v="3120000"/>
    <m/>
    <n v="0"/>
    <n v="6000000"/>
    <n v="1560000"/>
    <n v="3120000"/>
    <x v="7"/>
    <d v="2024-06-05T00:00:00"/>
    <s v="0606"/>
    <s v="COMBI"/>
    <x v="1"/>
    <s v=""/>
    <n v="6"/>
    <s v="docritprestige"/>
    <s v="docritprestige1560000"/>
    <s v="docritprestige1560000"/>
    <s v=""/>
    <m/>
    <n v="873"/>
    <b v="1"/>
    <s v="8 LSN"/>
    <s v="docritprestige8lsnuntana"/>
    <n v="873"/>
    <x v="58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1"/>
    <s v="SBS_0506_024-2"/>
    <m/>
    <n v="21"/>
    <m/>
    <s v="SBS"/>
    <s v="UNTANA"/>
    <s v="SURAT JALAN : TH033/5/2024"/>
    <m/>
    <d v="2024-05-29T00:00:00"/>
    <m/>
    <s v="CORRECTION TAPE MT-737A/5X16/+REFILL"/>
    <n v="10"/>
    <n v="480"/>
    <s v="LSN"/>
    <m/>
    <m/>
    <s v="48 LSN"/>
    <m/>
    <m/>
    <m/>
    <m/>
    <s v="SURAT JALAN"/>
    <s v=""/>
    <s v=""/>
    <s v=""/>
    <s v=""/>
    <s v=""/>
    <s v=""/>
    <m/>
    <s v=""/>
    <s v=""/>
    <n v="0"/>
    <s v=""/>
    <x v="7"/>
    <d v="2024-05-29T00:00:00"/>
    <s v="SURAT JALAN : TH033/5/2024"/>
    <s v="SBS"/>
    <x v="1"/>
    <n v="2"/>
    <n v="5"/>
    <s v="correctiontapemt737a5x16refill"/>
    <s v="correctiontapemt737a5x16refill0"/>
    <s v="correctiontapemt737a5x16refill0"/>
    <s v="SBSUNTANASURAT JALAN : TH033/5/202445441correctiontapemt737a5x16refill"/>
    <m/>
    <n v="756"/>
    <b v="1"/>
    <s v="48 LSN"/>
    <s v="correctiontapemt737a5x16refill48lsnuntana"/>
    <n v="756"/>
    <x v="59"/>
    <m/>
  </r>
  <r>
    <s v=""/>
    <s v=""/>
    <m/>
    <n v="21"/>
    <m/>
    <m/>
    <m/>
    <m/>
    <m/>
    <m/>
    <m/>
    <s v="ELEVATED TRAY MICROTOP 604 HITAM"/>
    <n v="2"/>
    <n v="12"/>
    <s v="PCS"/>
    <m/>
    <m/>
    <s v="6 PCS"/>
    <m/>
    <m/>
    <m/>
    <m/>
    <s v="SURAT JALAN"/>
    <s v=""/>
    <s v=""/>
    <s v=""/>
    <s v=""/>
    <s v=""/>
    <s v=""/>
    <m/>
    <n v="0"/>
    <n v="0"/>
    <n v="0"/>
    <s v=""/>
    <x v="7"/>
    <d v="2024-05-29T00:00:00"/>
    <s v="SURAT JALAN : TH033/5/2024"/>
    <s v="SBS"/>
    <x v="1"/>
    <s v=""/>
    <n v="5"/>
    <s v="elevatedtraymicrotop604hitam"/>
    <s v="elevatedtraymicrotop604hitam0"/>
    <s v="elevatedtraymicrotop604hitam0"/>
    <s v=""/>
    <m/>
    <n v="929"/>
    <b v="1"/>
    <s v="6 PCS"/>
    <s v="elevatedtraymicrotop604hitam6pcsuntana"/>
    <e v="#N/A"/>
    <x v="6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2"/>
    <s v="YUS_0506_105-10"/>
    <m/>
    <n v="22"/>
    <m/>
    <s v="YUSHINCA"/>
    <s v="UNTANA"/>
    <s v="24/YS/V/105"/>
    <m/>
    <d v="2024-05-31T00:00:00"/>
    <m/>
    <s v="DOKUMEN KEEPER DK-40 BIRU"/>
    <n v="2"/>
    <n v="48"/>
    <s v="PCS"/>
    <n v="32500"/>
    <m/>
    <s v="24 PCS"/>
    <n v="0.2"/>
    <m/>
    <m/>
    <m/>
    <m/>
    <n v="1560000"/>
    <n v="312000"/>
    <n v="0"/>
    <n v="0"/>
    <n v="312000"/>
    <n v="1248000"/>
    <m/>
    <s v=""/>
    <s v=""/>
    <n v="780000"/>
    <n v="1560000"/>
    <x v="7"/>
    <d v="2024-05-31T00:00:00"/>
    <s v="24/YS/V/105"/>
    <s v="YUSHINCA"/>
    <x v="1"/>
    <n v="10"/>
    <n v="5"/>
    <s v="dokumenkeeperdk40biru"/>
    <s v="dokumenkeeperdk40biru7800000,2"/>
    <s v="dokumenkeeperdk40biru7800000,2"/>
    <s v="YUSHINCAUNTANA24/YS/V/10545443dokumenkeeperdk40biru"/>
    <m/>
    <n v="886"/>
    <b v="1"/>
    <s v="24 PCS"/>
    <s v="dokumenkeeperdk40biru24pcsuntana"/>
    <n v="886"/>
    <x v="61"/>
    <m/>
  </r>
  <r>
    <s v=""/>
    <s v=""/>
    <m/>
    <n v="22"/>
    <m/>
    <m/>
    <m/>
    <m/>
    <m/>
    <m/>
    <m/>
    <s v="DOKUMEN KEEPER DK-40 HITAM"/>
    <n v="3"/>
    <n v="72"/>
    <s v="PCS"/>
    <n v="32500"/>
    <m/>
    <s v="24 PCS"/>
    <n v="0.2"/>
    <m/>
    <m/>
    <m/>
    <m/>
    <n v="2340000"/>
    <n v="468000"/>
    <n v="0"/>
    <n v="0"/>
    <n v="468000"/>
    <n v="1872000"/>
    <m/>
    <s v=""/>
    <s v=""/>
    <n v="780000"/>
    <n v="2340000"/>
    <x v="7"/>
    <d v="2024-05-31T00:00:00"/>
    <s v="24/YS/V/105"/>
    <s v="YUSHINCA"/>
    <x v="1"/>
    <s v=""/>
    <n v="5"/>
    <s v="dokumenkeeperdk40hitam"/>
    <s v="dokumenkeeperdk40hitam7800000,2"/>
    <s v="dokumenkeeperdk40hitam7800000,2"/>
    <s v=""/>
    <m/>
    <n v="888"/>
    <b v="1"/>
    <s v="24 PCS"/>
    <s v="dokumenkeeperdk40hitam24pcsuntana"/>
    <n v="888"/>
    <x v="62"/>
    <m/>
  </r>
  <r>
    <s v=""/>
    <s v=""/>
    <m/>
    <n v="22"/>
    <m/>
    <m/>
    <m/>
    <m/>
    <m/>
    <m/>
    <m/>
    <s v="DOKUMEN KEEPER DK-40 MERAH"/>
    <n v="1"/>
    <n v="24"/>
    <s v="PCS"/>
    <n v="32500"/>
    <m/>
    <s v="24 PCS"/>
    <n v="0.2"/>
    <m/>
    <m/>
    <m/>
    <m/>
    <n v="780000"/>
    <n v="156000"/>
    <n v="0"/>
    <n v="0"/>
    <n v="156000"/>
    <n v="624000"/>
    <m/>
    <s v=""/>
    <s v=""/>
    <n v="780000"/>
    <n v="780000"/>
    <x v="7"/>
    <d v="2024-05-31T00:00:00"/>
    <s v="24/YS/V/105"/>
    <s v="YUSHINCA"/>
    <x v="1"/>
    <s v=""/>
    <n v="5"/>
    <s v="dokumenkeeperdk40merah"/>
    <s v="dokumenkeeperdk40merah7800000,2"/>
    <s v="dokumenkeeperdk40merah7800000,2"/>
    <s v=""/>
    <m/>
    <n v="889"/>
    <b v="1"/>
    <s v="24 PCS"/>
    <s v="dokumenkeeperdk40merah24pcsuntana"/>
    <n v="889"/>
    <x v="63"/>
    <m/>
  </r>
  <r>
    <s v=""/>
    <s v=""/>
    <m/>
    <n v="22"/>
    <m/>
    <m/>
    <m/>
    <m/>
    <m/>
    <m/>
    <m/>
    <s v="DOKUMEN KEEPER DK-40 BIRU"/>
    <m/>
    <n v="16"/>
    <s v="PCS"/>
    <n v="32500"/>
    <m/>
    <m/>
    <n v="0.2"/>
    <m/>
    <m/>
    <m/>
    <m/>
    <n v="520000"/>
    <n v="104000"/>
    <n v="0"/>
    <n v="0"/>
    <n v="104000"/>
    <n v="416000"/>
    <m/>
    <s v=""/>
    <s v=""/>
    <n v="520000"/>
    <n v="520000"/>
    <x v="7"/>
    <d v="2024-05-31T00:00:00"/>
    <s v="24/YS/V/105"/>
    <s v="YUSHINCA"/>
    <x v="1"/>
    <s v=""/>
    <n v="5"/>
    <s v="dokumenkeeperdk40biru"/>
    <s v="dokumenkeeperdk40biru5200000,2"/>
    <s v="dokumenkeeperdk40biru325000,2"/>
    <s v=""/>
    <m/>
    <n v="886"/>
    <s v=""/>
    <s v="24 PCS"/>
    <s v="dokumenkeeperdk40biru24pcsuntana"/>
    <n v="886"/>
    <x v="64"/>
    <m/>
  </r>
  <r>
    <s v=""/>
    <s v=""/>
    <m/>
    <n v="22"/>
    <m/>
    <m/>
    <m/>
    <m/>
    <m/>
    <m/>
    <m/>
    <s v="DOKUMEN KEEPER DK-40 HITAM"/>
    <m/>
    <n v="16"/>
    <s v="PCS"/>
    <n v="32500"/>
    <m/>
    <m/>
    <n v="0.2"/>
    <m/>
    <m/>
    <m/>
    <m/>
    <n v="520000"/>
    <n v="104000"/>
    <n v="0"/>
    <n v="0"/>
    <n v="104000"/>
    <n v="416000"/>
    <m/>
    <s v=""/>
    <s v=""/>
    <n v="520000"/>
    <n v="520000"/>
    <x v="7"/>
    <d v="2024-05-31T00:00:00"/>
    <s v="24/YS/V/105"/>
    <s v="YUSHINCA"/>
    <x v="1"/>
    <s v=""/>
    <n v="5"/>
    <s v="dokumenkeeperdk40hitam"/>
    <s v="dokumenkeeperdk40hitam5200000,2"/>
    <s v="dokumenkeeperdk40hitam325000,2"/>
    <s v=""/>
    <m/>
    <n v="888"/>
    <s v=""/>
    <s v="24 PCS"/>
    <s v="dokumenkeeperdk40hitam24pcsuntana"/>
    <n v="888"/>
    <x v="65"/>
    <m/>
  </r>
  <r>
    <s v=""/>
    <s v=""/>
    <m/>
    <n v="22"/>
    <m/>
    <m/>
    <m/>
    <m/>
    <m/>
    <m/>
    <m/>
    <s v="DOKUMEN KEEPER DK-40 MERAH"/>
    <m/>
    <n v="16"/>
    <s v="PCS"/>
    <n v="32500"/>
    <m/>
    <m/>
    <n v="0.2"/>
    <m/>
    <m/>
    <m/>
    <m/>
    <n v="520000"/>
    <n v="104000"/>
    <n v="0"/>
    <n v="0"/>
    <n v="104000"/>
    <n v="416000"/>
    <m/>
    <s v=""/>
    <s v=""/>
    <n v="520000"/>
    <n v="520000"/>
    <x v="7"/>
    <d v="2024-05-31T00:00:00"/>
    <s v="24/YS/V/105"/>
    <s v="YUSHINCA"/>
    <x v="1"/>
    <s v=""/>
    <n v="5"/>
    <s v="dokumenkeeperdk40merah"/>
    <s v="dokumenkeeperdk40merah5200000,2"/>
    <s v="dokumenkeeperdk40merah325000,2"/>
    <s v=""/>
    <m/>
    <n v="889"/>
    <s v=""/>
    <s v="24 PCS"/>
    <s v="dokumenkeeperdk40merah24pcsuntana"/>
    <n v="889"/>
    <x v="66"/>
    <m/>
  </r>
  <r>
    <s v=""/>
    <s v=""/>
    <m/>
    <n v="22"/>
    <m/>
    <m/>
    <m/>
    <m/>
    <m/>
    <m/>
    <m/>
    <s v="DOKUMEN KEEPER DK-60 HITAM"/>
    <n v="2"/>
    <n v="120"/>
    <s v="PCS"/>
    <n v="37500"/>
    <m/>
    <s v="24 PCS"/>
    <n v="0.2"/>
    <m/>
    <m/>
    <m/>
    <m/>
    <n v="4500000"/>
    <n v="900000"/>
    <n v="0"/>
    <n v="0"/>
    <n v="900000"/>
    <n v="3600000"/>
    <m/>
    <s v=""/>
    <s v=""/>
    <n v="2250000"/>
    <n v="4500000"/>
    <x v="7"/>
    <d v="2024-05-31T00:00:00"/>
    <s v="24/YS/V/105"/>
    <s v="YUSHINCA"/>
    <x v="1"/>
    <s v=""/>
    <e v="#REF!"/>
    <s v="dokumenkeeperdk60hitam"/>
    <s v="dokumenkeeperdk60hitam22500000,2"/>
    <s v="dokumenkeeperdk60hitam22500000,2"/>
    <s v=""/>
    <m/>
    <n v="894"/>
    <b v="1"/>
    <s v="24 PCS"/>
    <s v="dokumenkeeperdk60hitam24pcsuntana"/>
    <n v="894"/>
    <x v="67"/>
    <m/>
  </r>
  <r>
    <s v=""/>
    <s v=""/>
    <m/>
    <n v="22"/>
    <m/>
    <m/>
    <m/>
    <m/>
    <m/>
    <m/>
    <m/>
    <s v="DOKUMEN KEEPER DK-60 HITAM"/>
    <m/>
    <n v="23"/>
    <s v="PCS"/>
    <n v="37500"/>
    <m/>
    <s v="24 PCS"/>
    <n v="0.2"/>
    <m/>
    <m/>
    <m/>
    <m/>
    <n v="862500"/>
    <n v="172500"/>
    <n v="0"/>
    <n v="0"/>
    <n v="172500"/>
    <n v="690000"/>
    <m/>
    <s v=""/>
    <s v=""/>
    <n v="862500"/>
    <n v="862500"/>
    <x v="7"/>
    <d v="2024-05-31T00:00:00"/>
    <s v="24/YS/V/105"/>
    <s v="YUSHINCA"/>
    <x v="1"/>
    <s v=""/>
    <e v="#REF!"/>
    <s v="dokumenkeeperdk60hitam"/>
    <s v="dokumenkeeperdk60hitam8625000,2"/>
    <s v="dokumenkeeperdk60hitam375000,2"/>
    <s v=""/>
    <m/>
    <n v="894"/>
    <b v="1"/>
    <s v="24 PCS"/>
    <s v="dokumenkeeperdk60hitam24pcsuntana"/>
    <n v="894"/>
    <x v="68"/>
    <m/>
  </r>
  <r>
    <s v=""/>
    <s v=""/>
    <m/>
    <n v="22"/>
    <m/>
    <m/>
    <m/>
    <m/>
    <m/>
    <m/>
    <m/>
    <s v="DOKUMEN KEEPER DK-60 MERAH"/>
    <n v="2"/>
    <n v="48"/>
    <s v="PCS"/>
    <n v="37500"/>
    <m/>
    <s v="24 PCS"/>
    <n v="0.2"/>
    <m/>
    <m/>
    <m/>
    <m/>
    <n v="1800000"/>
    <n v="360000"/>
    <n v="0"/>
    <n v="0"/>
    <n v="360000"/>
    <n v="1440000"/>
    <m/>
    <s v=""/>
    <s v=""/>
    <n v="900000"/>
    <n v="1800000"/>
    <x v="7"/>
    <d v="2024-05-31T00:00:00"/>
    <s v="24/YS/V/105"/>
    <s v="YUSHINCA"/>
    <x v="1"/>
    <s v=""/>
    <e v="#REF!"/>
    <s v="dokumenkeeperdk60merah"/>
    <s v="dokumenkeeperdk60merah9000000,2"/>
    <s v="dokumenkeeperdk60merah9000000,2"/>
    <s v=""/>
    <m/>
    <n v="895"/>
    <b v="1"/>
    <s v="24 PCS"/>
    <s v="dokumenkeeperdk60merah24pcsuntana"/>
    <n v="895"/>
    <x v="69"/>
    <m/>
  </r>
  <r>
    <s v=""/>
    <s v=""/>
    <m/>
    <n v="22"/>
    <m/>
    <m/>
    <m/>
    <m/>
    <m/>
    <m/>
    <m/>
    <s v="DOKUMEN KEEPER DK-60 MERAH"/>
    <m/>
    <n v="20"/>
    <s v="PCS"/>
    <n v="37500"/>
    <m/>
    <s v="24 PCS"/>
    <n v="0.2"/>
    <m/>
    <m/>
    <m/>
    <m/>
    <n v="750000"/>
    <n v="150000"/>
    <n v="0"/>
    <n v="0"/>
    <n v="150000"/>
    <n v="600000"/>
    <m/>
    <n v="2830500"/>
    <n v="11322000"/>
    <n v="750000"/>
    <n v="750000"/>
    <x v="7"/>
    <d v="2024-05-31T00:00:00"/>
    <s v="24/YS/V/105"/>
    <s v="YUSHINCA"/>
    <x v="1"/>
    <s v=""/>
    <e v="#REF!"/>
    <s v="dokumenkeeperdk60merah"/>
    <s v="dokumenkeeperdk60merah7500000,2"/>
    <s v="dokumenkeeperdk60merah375000,2"/>
    <s v=""/>
    <m/>
    <n v="895"/>
    <b v="1"/>
    <s v="24 PCS"/>
    <s v="dokumenkeeperdk60merah24pcsuntana"/>
    <n v="895"/>
    <x v="7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3"/>
    <s v="SUR_0606_020-2"/>
    <m/>
    <n v="23"/>
    <d v="2024-06-06T00:00:00"/>
    <s v="SURYA PRATAMA"/>
    <s v="UNTANA"/>
    <s v="F24F000020"/>
    <m/>
    <d v="2024-06-03T00:00:00"/>
    <m/>
    <s v="CAT AIR OPINI 110@216"/>
    <n v="20"/>
    <n v="4320"/>
    <s v="PCS"/>
    <n v="9400"/>
    <m/>
    <s v="216 PCS"/>
    <n v="0.2"/>
    <n v="2.5000000000000001E-2"/>
    <m/>
    <m/>
    <m/>
    <n v="40608000"/>
    <n v="8121600"/>
    <n v="812160"/>
    <n v="0"/>
    <n v="8933760"/>
    <n v="31674240"/>
    <m/>
    <s v=""/>
    <s v=""/>
    <n v="2030400"/>
    <n v="40608000"/>
    <x v="8"/>
    <d v="2024-06-03T00:00:00"/>
    <s v="F24F000020"/>
    <s v="SURYA PRATAMA"/>
    <x v="1"/>
    <n v="2"/>
    <n v="6"/>
    <s v="catairopini110@216"/>
    <s v="catairopini110@21620304000,20,025"/>
    <s v="catairopini110@21620304000,20,025"/>
    <s v="SURYA PRATAMAUNTANAF24F00002045446catairopini110@216"/>
    <m/>
    <n v="650"/>
    <b v="1"/>
    <s v="216 PCS"/>
    <s v="catairopini110@216216pcsuntana"/>
    <n v="650"/>
    <x v="71"/>
    <m/>
  </r>
  <r>
    <s v=""/>
    <s v=""/>
    <m/>
    <n v="23"/>
    <m/>
    <m/>
    <m/>
    <m/>
    <m/>
    <m/>
    <m/>
    <s v="CAT AIR OPINI 120 @144"/>
    <n v="10"/>
    <n v="1440"/>
    <s v="PCS"/>
    <n v="9920"/>
    <m/>
    <s v="144 PCS"/>
    <n v="0.2"/>
    <n v="2.5000000000000001E-2"/>
    <m/>
    <m/>
    <m/>
    <n v="14284800"/>
    <n v="2856960"/>
    <n v="285696"/>
    <n v="0"/>
    <n v="3142656"/>
    <n v="11142144"/>
    <m/>
    <n v="12076416"/>
    <n v="42816384"/>
    <n v="1428480"/>
    <n v="14284800"/>
    <x v="8"/>
    <d v="2024-06-03T00:00:00"/>
    <s v="F24F000020"/>
    <s v="SURYA PRATAMA"/>
    <x v="1"/>
    <s v=""/>
    <n v="6"/>
    <s v="catairopini120@144"/>
    <s v="catairopini120@14414284800,20,025"/>
    <s v="catairopini120@14414284800,20,025"/>
    <s v=""/>
    <m/>
    <n v="651"/>
    <b v="1"/>
    <s v="144 PCS"/>
    <s v="catairopini120@144144pcsuntana"/>
    <n v="651"/>
    <x v="72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4"/>
    <s v="SUR_0606_24H-4"/>
    <m/>
    <n v="24"/>
    <d v="2024-06-06T00:00:00"/>
    <s v="SURYA PRATAMA"/>
    <s v="UNTANA"/>
    <s v="M/102/06-24H"/>
    <m/>
    <d v="2024-06-03T00:00:00"/>
    <m/>
    <s v="ACRYLIC COLOUR TF-AC-004N (12 X 6 ML) NEON"/>
    <n v="4"/>
    <n v="288"/>
    <s v="SET"/>
    <n v="16000"/>
    <m/>
    <s v="72 SET"/>
    <n v="0.03"/>
    <m/>
    <m/>
    <m/>
    <m/>
    <n v="4608000"/>
    <n v="138240"/>
    <n v="0"/>
    <n v="0"/>
    <n v="138240"/>
    <n v="4469760"/>
    <m/>
    <s v=""/>
    <s v=""/>
    <n v="1152000"/>
    <n v="4608000"/>
    <x v="8"/>
    <d v="2024-06-03T00:00:00"/>
    <s v="M/102/06-24H"/>
    <s v="SURYA PRATAMA"/>
    <x v="1"/>
    <n v="4"/>
    <n v="6"/>
    <s v="acryliccolourtfac004n12x6mlneon"/>
    <s v="acryliccolourtfac004n12x6mlneon11520000,03"/>
    <s v="acryliccolourtfac004n12x6mlneon11520000,03"/>
    <s v="SURYA PRATAMAUNTANAM/102/06-24H45446acryliccolourtfac004n12x6mlneon"/>
    <m/>
    <n v="32"/>
    <b v="1"/>
    <s v="72 SET"/>
    <s v="acryliccolourtfac004n12x6mlneon72setuntana"/>
    <n v="32"/>
    <x v="73"/>
    <m/>
  </r>
  <r>
    <s v=""/>
    <s v=""/>
    <m/>
    <n v="24"/>
    <m/>
    <m/>
    <m/>
    <m/>
    <m/>
    <m/>
    <m/>
    <s v="ACRYLIC COLOUR TF-AC-005P (12 X 6 ML) PASTEL"/>
    <n v="3"/>
    <n v="216"/>
    <s v="SET"/>
    <n v="16000"/>
    <m/>
    <s v="72 SET"/>
    <n v="0.03"/>
    <m/>
    <m/>
    <m/>
    <m/>
    <n v="3456000"/>
    <n v="103680"/>
    <n v="0"/>
    <n v="0"/>
    <n v="103680"/>
    <n v="3352320"/>
    <m/>
    <s v=""/>
    <s v=""/>
    <n v="1152000"/>
    <n v="3456000"/>
    <x v="8"/>
    <d v="2024-06-03T00:00:00"/>
    <s v="M/102/06-24H"/>
    <s v="SURYA PRATAMA"/>
    <x v="1"/>
    <s v=""/>
    <n v="6"/>
    <s v="acryliccolourtfac005p12x6mlpastel"/>
    <s v="acryliccolourtfac005p12x6mlpastel11520000,03"/>
    <s v="acryliccolourtfac005p12x6mlpastel11520000,03"/>
    <s v=""/>
    <m/>
    <n v="33"/>
    <b v="1"/>
    <s v="72 SET"/>
    <s v="acryliccolourtfac005p12x6mlpastel72setuntana"/>
    <n v="33"/>
    <x v="74"/>
    <m/>
  </r>
  <r>
    <s v=""/>
    <s v=""/>
    <m/>
    <n v="24"/>
    <m/>
    <m/>
    <m/>
    <m/>
    <m/>
    <m/>
    <m/>
    <s v="ACRYLIC COLOUR TF-AC-006M 12 X 6 ML( METALIC"/>
    <n v="3"/>
    <n v="216"/>
    <s v="SET"/>
    <n v="16000"/>
    <m/>
    <s v="72 SET"/>
    <n v="0.03"/>
    <m/>
    <m/>
    <m/>
    <m/>
    <n v="3456000"/>
    <n v="103680"/>
    <n v="0"/>
    <n v="0"/>
    <n v="103680"/>
    <n v="3352320"/>
    <m/>
    <s v=""/>
    <s v=""/>
    <n v="1152000"/>
    <n v="3456000"/>
    <x v="8"/>
    <d v="2024-06-03T00:00:00"/>
    <s v="M/102/06-24H"/>
    <s v="SURYA PRATAMA"/>
    <x v="1"/>
    <s v=""/>
    <n v="6"/>
    <s v="acryliccolourtfac006m12x6mlmetalic"/>
    <s v="acryliccolourtfac006m12x6mlmetalic11520000,03"/>
    <s v="acryliccolourtfac006m12x6mlmetalic11520000,03"/>
    <s v=""/>
    <m/>
    <n v="34"/>
    <b v="1"/>
    <s v="72 SET"/>
    <s v="acryliccolourtfac006m12x6mlmetalic72setuntana"/>
    <n v="34"/>
    <x v="75"/>
    <m/>
  </r>
  <r>
    <s v=""/>
    <s v=""/>
    <m/>
    <n v="24"/>
    <m/>
    <m/>
    <m/>
    <m/>
    <m/>
    <m/>
    <m/>
    <s v="BALLPEN PROMOSI WY 851A 4WR"/>
    <m/>
    <n v="60"/>
    <s v="LSN"/>
    <m/>
    <m/>
    <m/>
    <m/>
    <m/>
    <m/>
    <m/>
    <m/>
    <s v=""/>
    <s v=""/>
    <s v=""/>
    <s v=""/>
    <s v=""/>
    <s v=""/>
    <m/>
    <n v="345600"/>
    <n v="11174400"/>
    <n v="0"/>
    <s v=""/>
    <x v="8"/>
    <d v="2024-06-03T00:00:00"/>
    <s v="M/102/06-24H"/>
    <s v="SURYA PRATAMA"/>
    <x v="1"/>
    <s v=""/>
    <n v="6"/>
    <s v="ballpenpromosiwy851a4wr"/>
    <s v="ballpenpromosiwy851a4wr0"/>
    <s v="ballpenpromosiwy851a4wr0"/>
    <s v=""/>
    <m/>
    <n v="3415"/>
    <s v=""/>
    <s v="60 LSN"/>
    <s v="ballpenpromosiwy851a4wr60lsnuntana"/>
    <n v="3415"/>
    <x v="76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5"/>
    <s v="GLO_0606_ 31-1"/>
    <m/>
    <n v="25"/>
    <m/>
    <s v="GLORY"/>
    <s v="UNTANA"/>
    <s v="N 31"/>
    <m/>
    <d v="2024-06-06T00:00:00"/>
    <m/>
    <s v="AG CK POLOS"/>
    <m/>
    <n v="120"/>
    <s v="PCS"/>
    <n v="13000"/>
    <m/>
    <m/>
    <n v="0.05"/>
    <m/>
    <m/>
    <m/>
    <s v="DISKON CAH 5%"/>
    <n v="1560000"/>
    <n v="78000"/>
    <n v="0"/>
    <n v="0"/>
    <n v="78000"/>
    <n v="1482000"/>
    <m/>
    <n v="78000"/>
    <n v="1482000"/>
    <n v="1560000"/>
    <n v="1560000"/>
    <x v="8"/>
    <d v="2024-06-06T00:00:00"/>
    <s v="N 31"/>
    <s v="GLORY"/>
    <x v="1"/>
    <n v="1"/>
    <n v="6"/>
    <s v="agckpolos"/>
    <s v="agckpolos15600000,05"/>
    <s v="agckpolos130000,05"/>
    <s v="GLORYUNTANAN 3145449agckpolos"/>
    <m/>
    <n v="56"/>
    <s v=""/>
    <s v="120 PCS"/>
    <s v="agckpolos120pcsuntana"/>
    <n v="56"/>
    <x v="77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6"/>
    <s v="HAN_1006_083-2"/>
    <m/>
    <n v="26"/>
    <d v="2024-06-10T00:00:00"/>
    <s v="HANSA"/>
    <s v="UNTANA"/>
    <s v="HN0622024083"/>
    <m/>
    <d v="2024-06-10T00:00:00"/>
    <m/>
    <s v="MALAM SHINTOENG K 6-12W"/>
    <m/>
    <n v="48"/>
    <s v="PCS"/>
    <n v="1600"/>
    <m/>
    <m/>
    <m/>
    <m/>
    <m/>
    <m/>
    <m/>
    <n v="76800"/>
    <n v="0"/>
    <n v="0"/>
    <n v="0"/>
    <n v="0"/>
    <n v="76800"/>
    <m/>
    <s v=""/>
    <s v=""/>
    <n v="76800"/>
    <n v="76800"/>
    <x v="9"/>
    <d v="2024-06-10T00:00:00"/>
    <s v="HN0622024083"/>
    <s v="HANSA"/>
    <x v="1"/>
    <n v="2"/>
    <n v="6"/>
    <s v="malamshintoengk612w"/>
    <s v="malamshintoengk612w76800"/>
    <s v="malamshintoengk612w1600"/>
    <s v="HANSAUNTANAHN062202408345453malamshintoengk612w"/>
    <m/>
    <n v="2044"/>
    <s v=""/>
    <s v="480 PCS"/>
    <s v="malamshintoengk612w480pcsuntana"/>
    <n v="2044"/>
    <x v="78"/>
    <m/>
  </r>
  <r>
    <s v=""/>
    <s v=""/>
    <m/>
    <n v="26"/>
    <m/>
    <m/>
    <m/>
    <m/>
    <m/>
    <m/>
    <m/>
    <s v="MALAM SHINTOENG K 1W POLOS"/>
    <m/>
    <n v="24"/>
    <s v="PCS"/>
    <n v="1600"/>
    <m/>
    <m/>
    <m/>
    <m/>
    <m/>
    <m/>
    <m/>
    <n v="38400"/>
    <n v="0"/>
    <n v="0"/>
    <n v="0"/>
    <n v="0"/>
    <n v="38400"/>
    <m/>
    <n v="0"/>
    <n v="115200"/>
    <n v="38400"/>
    <n v="38400"/>
    <x v="9"/>
    <d v="2024-06-10T00:00:00"/>
    <s v="HN0622024083"/>
    <s v="HANSA"/>
    <x v="1"/>
    <s v=""/>
    <n v="6"/>
    <s v="malamshintoengk1wpolos"/>
    <s v="malamshintoengk1wpolos38400"/>
    <s v="malamshintoengk1wpolos1600"/>
    <s v=""/>
    <m/>
    <n v="2043"/>
    <s v=""/>
    <s v="480 PCS"/>
    <s v="malamshintoengk1wpolos480pcsuntana"/>
    <n v="2043"/>
    <x v="79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7"/>
    <s v="MAR_0606_736-4"/>
    <m/>
    <n v="27"/>
    <d v="2024-06-06T00:00:00"/>
    <s v="MARCONATA"/>
    <s v="UNTANA"/>
    <s v="06736"/>
    <m/>
    <d v="2024-06-04T00:00:00"/>
    <m/>
    <s v="AG BRANDED KCG BUAYA"/>
    <n v="1"/>
    <n v="150"/>
    <s v="PCS"/>
    <n v="20000"/>
    <m/>
    <m/>
    <m/>
    <m/>
    <m/>
    <m/>
    <m/>
    <n v="3000000"/>
    <n v="0"/>
    <n v="0"/>
    <n v="0"/>
    <n v="0"/>
    <n v="3000000"/>
    <m/>
    <s v=""/>
    <s v=""/>
    <n v="3000000"/>
    <n v="3000000"/>
    <x v="8"/>
    <d v="2024-06-04T00:00:00"/>
    <s v="06736"/>
    <s v="MARCONATA"/>
    <x v="1"/>
    <n v="4"/>
    <n v="6"/>
    <s v="agbrandedkcgbuaya"/>
    <s v="agbrandedkcgbuaya3000000"/>
    <s v="agbrandedkcgbuaya3000000"/>
    <s v="MARCONATAUNTANA0673645447agbrandedkcgbuaya"/>
    <m/>
    <n v="3416"/>
    <s v=""/>
    <s v="150 PCS"/>
    <s v="agbrandedkcgbuaya150pcsuntana"/>
    <n v="3416"/>
    <x v="80"/>
    <m/>
  </r>
  <r>
    <s v=""/>
    <s v=""/>
    <m/>
    <n v="27"/>
    <m/>
    <m/>
    <m/>
    <m/>
    <m/>
    <m/>
    <m/>
    <s v="AG BRANDED KCG 237 BRILLIANT"/>
    <n v="1"/>
    <n v="150"/>
    <s v="PCS"/>
    <n v="20000"/>
    <m/>
    <m/>
    <m/>
    <m/>
    <m/>
    <m/>
    <m/>
    <n v="3000000"/>
    <n v="0"/>
    <n v="0"/>
    <n v="0"/>
    <n v="0"/>
    <n v="3000000"/>
    <m/>
    <s v=""/>
    <s v=""/>
    <n v="3000000"/>
    <n v="3000000"/>
    <x v="8"/>
    <d v="2024-06-04T00:00:00"/>
    <s v="06736"/>
    <s v="MARCONATA"/>
    <x v="1"/>
    <s v=""/>
    <n v="6"/>
    <s v="agbrandedkcg237brilliant"/>
    <s v="agbrandedkcg237brilliant3000000"/>
    <s v="agbrandedkcg237brilliant3000000"/>
    <s v=""/>
    <m/>
    <n v="3417"/>
    <s v=""/>
    <s v="150 PCS"/>
    <s v="agbrandedkcg237brilliant150pcsuntana"/>
    <n v="3417"/>
    <x v="81"/>
    <m/>
  </r>
  <r>
    <s v=""/>
    <s v=""/>
    <m/>
    <n v="27"/>
    <m/>
    <m/>
    <m/>
    <m/>
    <m/>
    <m/>
    <m/>
    <s v="AG BRANDED KCG LV BUNGA"/>
    <n v="1"/>
    <n v="150"/>
    <m/>
    <n v="20000"/>
    <m/>
    <m/>
    <m/>
    <m/>
    <m/>
    <m/>
    <m/>
    <n v="3000000"/>
    <n v="0"/>
    <n v="0"/>
    <n v="0"/>
    <n v="0"/>
    <n v="3000000"/>
    <m/>
    <s v=""/>
    <s v=""/>
    <n v="3000000"/>
    <n v="3000000"/>
    <x v="8"/>
    <d v="2024-06-04T00:00:00"/>
    <s v="06736"/>
    <s v="MARCONATA"/>
    <x v="1"/>
    <s v=""/>
    <n v="6"/>
    <s v="agbrandedkcglvbunga"/>
    <s v="agbrandedkcglvbunga3000000"/>
    <s v="agbrandedkcglvbunga3000000"/>
    <s v=""/>
    <m/>
    <n v="3418"/>
    <s v=""/>
    <s v="150 PCS"/>
    <s v="agbrandedkcglvbunga150pcsuntana"/>
    <n v="3418"/>
    <x v="82"/>
    <m/>
  </r>
  <r>
    <s v=""/>
    <s v=""/>
    <m/>
    <n v="27"/>
    <m/>
    <m/>
    <m/>
    <m/>
    <m/>
    <m/>
    <m/>
    <s v="AG BRANDED KCG LV KOTAK"/>
    <n v="1"/>
    <n v="150"/>
    <m/>
    <n v="20000"/>
    <m/>
    <m/>
    <m/>
    <m/>
    <m/>
    <m/>
    <m/>
    <n v="3000000"/>
    <n v="0"/>
    <n v="0"/>
    <n v="0"/>
    <n v="0"/>
    <n v="3000000"/>
    <m/>
    <n v="0"/>
    <n v="12000000"/>
    <n v="3000000"/>
    <n v="3000000"/>
    <x v="8"/>
    <d v="2024-06-04T00:00:00"/>
    <s v="06736"/>
    <s v="MARCONATA"/>
    <x v="1"/>
    <s v=""/>
    <n v="6"/>
    <s v="agbrandedkcglvkotak"/>
    <s v="agbrandedkcglvkotak3000000"/>
    <s v="agbrandedkcglvkotak3000000"/>
    <s v=""/>
    <m/>
    <n v="3419"/>
    <s v=""/>
    <s v="150 PCS"/>
    <s v="agbrandedkcglvkotak150pcsuntana"/>
    <n v="3419"/>
    <x v="83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8"/>
    <s v="COM_1306_618-2"/>
    <m/>
    <n v="28"/>
    <d v="2024-06-13T00:00:00"/>
    <s v="COMBI"/>
    <s v="UNTANA"/>
    <s v="0618"/>
    <m/>
    <d v="2024-06-13T00:00:00"/>
    <m/>
    <s v="DOC RIT PRESTIGE"/>
    <m/>
    <n v="8"/>
    <s v="LSN"/>
    <n v="195000"/>
    <m/>
    <m/>
    <m/>
    <m/>
    <m/>
    <m/>
    <m/>
    <n v="1560000"/>
    <n v="0"/>
    <n v="0"/>
    <n v="0"/>
    <n v="0"/>
    <n v="1560000"/>
    <m/>
    <s v=""/>
    <s v=""/>
    <n v="1560000"/>
    <n v="1560000"/>
    <x v="10"/>
    <d v="2024-06-13T00:00:00"/>
    <s v="0618"/>
    <s v="COMBI"/>
    <x v="1"/>
    <n v="2"/>
    <n v="6"/>
    <s v="docritprestige"/>
    <s v="docritprestige1560000"/>
    <s v="docritprestige195000"/>
    <s v="COMBIUNTANA061845456docritprestige"/>
    <m/>
    <n v="873"/>
    <s v=""/>
    <s v="8 LSN"/>
    <s v="docritprestige8lsnuntana"/>
    <n v="873"/>
    <x v="84"/>
    <m/>
  </r>
  <r>
    <s v=""/>
    <s v=""/>
    <m/>
    <n v="28"/>
    <m/>
    <m/>
    <m/>
    <m/>
    <m/>
    <m/>
    <m/>
    <s v="DOC RIT BRILLIANT"/>
    <m/>
    <n v="8"/>
    <s v="LSN"/>
    <n v="213000"/>
    <m/>
    <m/>
    <m/>
    <m/>
    <m/>
    <m/>
    <m/>
    <n v="1704000"/>
    <n v="0"/>
    <n v="0"/>
    <n v="0"/>
    <n v="0"/>
    <n v="1704000"/>
    <m/>
    <n v="0"/>
    <n v="3264000"/>
    <n v="1704000"/>
    <n v="1704000"/>
    <x v="10"/>
    <d v="2024-06-13T00:00:00"/>
    <s v="0618"/>
    <s v="COMBI"/>
    <x v="1"/>
    <s v=""/>
    <n v="6"/>
    <s v="docritbrilliant"/>
    <s v="docritbrilliant1704000"/>
    <s v="docritbrilliant213000"/>
    <s v=""/>
    <m/>
    <n v="857"/>
    <s v=""/>
    <s v="8 LSN"/>
    <s v="docritbrilliant8lsnuntana"/>
    <n v="857"/>
    <x v="85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9"/>
    <s v="COM_1206_617-1"/>
    <m/>
    <n v="29"/>
    <d v="2024-06-12T00:00:00"/>
    <s v="COMBI"/>
    <s v="UNTANA"/>
    <s v="0617"/>
    <m/>
    <d v="2024-06-12T00:00:00"/>
    <m/>
    <s v="DOC RIT INFINITY"/>
    <m/>
    <n v="16"/>
    <s v="LSN"/>
    <n v="180000"/>
    <m/>
    <m/>
    <m/>
    <m/>
    <m/>
    <m/>
    <m/>
    <n v="2880000"/>
    <n v="0"/>
    <n v="0"/>
    <n v="0"/>
    <n v="0"/>
    <n v="2880000"/>
    <m/>
    <n v="0"/>
    <n v="2880000"/>
    <n v="2880000"/>
    <n v="2880000"/>
    <x v="11"/>
    <d v="2024-06-12T00:00:00"/>
    <s v="0617"/>
    <s v="COMBI"/>
    <x v="1"/>
    <n v="1"/>
    <n v="6"/>
    <s v="docritinfinity"/>
    <s v="docritinfinity2880000"/>
    <s v="docritinfinity180000"/>
    <s v="COMBIUNTANA061745455docritinfinity"/>
    <m/>
    <n v="865"/>
    <s v=""/>
    <s v="8 LSN"/>
    <s v="docritinfinity8lsnuntana"/>
    <n v="865"/>
    <x v="86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0"/>
    <s v="HAN_1206_109-1"/>
    <m/>
    <n v="30"/>
    <d v="2024-06-12T00:00:00"/>
    <s v="HANSA"/>
    <s v="UNTANA"/>
    <s v="HN062024109"/>
    <m/>
    <d v="2024-06-12T00:00:00"/>
    <m/>
    <s v="MALAM SHINTOENG B 6-12W"/>
    <m/>
    <n v="150"/>
    <s v="PCS"/>
    <n v="6100"/>
    <m/>
    <m/>
    <m/>
    <m/>
    <m/>
    <m/>
    <m/>
    <n v="915000"/>
    <n v="0"/>
    <n v="0"/>
    <n v="0"/>
    <n v="0"/>
    <n v="915000"/>
    <m/>
    <n v="0"/>
    <n v="915000"/>
    <n v="915000"/>
    <n v="915000"/>
    <x v="11"/>
    <d v="2024-06-12T00:00:00"/>
    <s v="HN062024109"/>
    <s v="HANSA"/>
    <x v="1"/>
    <n v="1"/>
    <n v="6"/>
    <s v="malamshintoengb612w"/>
    <s v="malamshintoengb612w915000"/>
    <s v="malamshintoengb612w6100"/>
    <s v="HANSAUNTANAHN06202410945455malamshintoengb612w"/>
    <m/>
    <n v="2041"/>
    <s v=""/>
    <s v="150 PCS"/>
    <s v="malamshintoengb612w150pcsuntana"/>
    <n v="2041"/>
    <x v="87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1"/>
    <s v="PMJ_1306_139-5"/>
    <m/>
    <n v="31"/>
    <d v="2024-06-13T00:00:00"/>
    <s v="PMJP"/>
    <s v="UNTANA"/>
    <s v="03139"/>
    <m/>
    <d v="2024-06-11T00:00:00"/>
    <m/>
    <s v="STABILLO TZ 8001"/>
    <n v="2"/>
    <n v="288"/>
    <s v="LSN"/>
    <n v="23000"/>
    <m/>
    <m/>
    <m/>
    <m/>
    <m/>
    <m/>
    <m/>
    <n v="6624000"/>
    <n v="0"/>
    <n v="0"/>
    <n v="0"/>
    <n v="0"/>
    <n v="6624000"/>
    <m/>
    <s v=""/>
    <s v=""/>
    <n v="3312000"/>
    <n v="6624000"/>
    <x v="10"/>
    <d v="2024-06-11T00:00:00"/>
    <s v="03139"/>
    <s v="PMJP"/>
    <x v="1"/>
    <n v="5"/>
    <n v="6"/>
    <s v="stabillotz8001"/>
    <s v="stabillotz80013312000"/>
    <s v="stabillotz80013312000"/>
    <s v="PMJPUNTANA0313945454stabillotz8001"/>
    <m/>
    <n v="2919"/>
    <s v=""/>
    <s v="144 LSN"/>
    <s v="stabillotz8001144lsnuntana"/>
    <n v="2919"/>
    <x v="88"/>
    <m/>
  </r>
  <r>
    <s v=""/>
    <s v=""/>
    <m/>
    <n v="31"/>
    <m/>
    <m/>
    <m/>
    <m/>
    <m/>
    <m/>
    <m/>
    <s v="MAGIC BOARD 908"/>
    <n v="7"/>
    <n v="672"/>
    <s v="PCS"/>
    <n v="14500"/>
    <m/>
    <m/>
    <m/>
    <m/>
    <m/>
    <m/>
    <m/>
    <n v="9744000"/>
    <n v="0"/>
    <n v="0"/>
    <n v="0"/>
    <n v="0"/>
    <n v="9744000"/>
    <m/>
    <s v=""/>
    <s v=""/>
    <n v="1392000"/>
    <n v="9744000"/>
    <x v="10"/>
    <d v="2024-06-11T00:00:00"/>
    <s v="03139"/>
    <s v="PMJP"/>
    <x v="1"/>
    <s v=""/>
    <n v="6"/>
    <s v="magicboard908"/>
    <s v="magicboard9081392000"/>
    <s v="magicboard9081392000"/>
    <s v=""/>
    <m/>
    <n v="3420"/>
    <s v=""/>
    <s v="96 PCS"/>
    <s v="magicboard90896pcsuntana"/>
    <n v="3420"/>
    <x v="89"/>
    <m/>
  </r>
  <r>
    <s v=""/>
    <s v=""/>
    <m/>
    <n v="31"/>
    <m/>
    <m/>
    <m/>
    <m/>
    <m/>
    <m/>
    <m/>
    <s v="MAGIC BOARD 908"/>
    <m/>
    <n v="94"/>
    <s v="PCS"/>
    <n v="14500"/>
    <m/>
    <m/>
    <m/>
    <m/>
    <m/>
    <m/>
    <m/>
    <n v="1363000"/>
    <n v="0"/>
    <n v="0"/>
    <n v="0"/>
    <n v="0"/>
    <n v="1363000"/>
    <m/>
    <s v=""/>
    <s v=""/>
    <n v="1363000"/>
    <n v="1363000"/>
    <x v="10"/>
    <d v="2024-06-11T00:00:00"/>
    <s v="03139"/>
    <s v="PMJP"/>
    <x v="1"/>
    <s v=""/>
    <n v="6"/>
    <s v="magicboard908"/>
    <s v="magicboard9081363000"/>
    <s v="magicboard90814500"/>
    <s v=""/>
    <m/>
    <n v="3420"/>
    <s v=""/>
    <s v="96 PCS"/>
    <s v="magicboard90896pcsuntana"/>
    <n v="3420"/>
    <x v="90"/>
    <m/>
  </r>
  <r>
    <s v=""/>
    <s v=""/>
    <m/>
    <n v="31"/>
    <m/>
    <m/>
    <m/>
    <m/>
    <m/>
    <m/>
    <m/>
    <s v="MAGIC BOARD 906"/>
    <n v="7"/>
    <n v="672"/>
    <s v="PCS"/>
    <n v="14500"/>
    <m/>
    <m/>
    <m/>
    <m/>
    <m/>
    <m/>
    <m/>
    <n v="9744000"/>
    <n v="0"/>
    <n v="0"/>
    <n v="0"/>
    <n v="0"/>
    <n v="9744000"/>
    <m/>
    <s v=""/>
    <s v=""/>
    <n v="1392000"/>
    <n v="9744000"/>
    <x v="10"/>
    <d v="2024-06-11T00:00:00"/>
    <s v="03139"/>
    <s v="PMJP"/>
    <x v="1"/>
    <s v=""/>
    <n v="6"/>
    <s v="magicboard906"/>
    <s v="magicboard9061392000"/>
    <s v="magicboard9061392000"/>
    <s v=""/>
    <m/>
    <n v="3421"/>
    <s v=""/>
    <s v="96 PCS"/>
    <s v="magicboard90696pcsuntana"/>
    <n v="3421"/>
    <x v="91"/>
    <m/>
  </r>
  <r>
    <s v=""/>
    <s v=""/>
    <m/>
    <n v="31"/>
    <m/>
    <m/>
    <m/>
    <m/>
    <m/>
    <m/>
    <m/>
    <s v="MAGIC BOARD 906"/>
    <m/>
    <n v="94"/>
    <s v="PCS"/>
    <n v="14500"/>
    <m/>
    <m/>
    <m/>
    <m/>
    <m/>
    <m/>
    <m/>
    <n v="1363000"/>
    <n v="0"/>
    <n v="0"/>
    <n v="0"/>
    <n v="0"/>
    <n v="1363000"/>
    <m/>
    <n v="0"/>
    <n v="28838000"/>
    <n v="1363000"/>
    <n v="1363000"/>
    <x v="10"/>
    <d v="2024-06-11T00:00:00"/>
    <s v="03139"/>
    <s v="PMJP"/>
    <x v="1"/>
    <s v=""/>
    <n v="6"/>
    <s v="magicboard906"/>
    <s v="magicboard9061363000"/>
    <s v="magicboard90614500"/>
    <s v=""/>
    <m/>
    <n v="3421"/>
    <s v=""/>
    <s v="96 PCS"/>
    <s v="magicboard90696pcsuntana"/>
    <n v="3421"/>
    <x v="92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2"/>
    <s v="BIN_1206_055-5"/>
    <m/>
    <n v="32"/>
    <d v="2024-06-12T00:00:00"/>
    <s v="BINTANG SAUDARA"/>
    <s v="UNTANA"/>
    <s v="SO2024060086055"/>
    <m/>
    <d v="2024-06-08T00:00:00"/>
    <m/>
    <s v="ACRYLIC SISIPAN KERTAS A5 T (15 X 21 CM)"/>
    <n v="1"/>
    <n v="60"/>
    <s v="PCS"/>
    <n v="25000"/>
    <m/>
    <m/>
    <m/>
    <m/>
    <m/>
    <m/>
    <m/>
    <n v="1500000"/>
    <n v="0"/>
    <n v="0"/>
    <n v="0"/>
    <n v="0"/>
    <n v="1500000"/>
    <m/>
    <s v=""/>
    <s v=""/>
    <n v="1500000"/>
    <n v="1500000"/>
    <x v="11"/>
    <d v="2024-06-08T00:00:00"/>
    <s v="SO2024060086055"/>
    <s v="BINTANG SAUDARA"/>
    <x v="1"/>
    <n v="5"/>
    <n v="6"/>
    <s v="acrylicsisipankertasa5t15x21cm"/>
    <s v="acrylicsisipankertasa5t15x21cm1500000"/>
    <s v="acrylicsisipankertasa5t15x21cm1500000"/>
    <s v="BINTANG SAUDARAUNTANASO202406008605545451acrylicsisipankertasa5t15x21cm"/>
    <m/>
    <n v="45"/>
    <s v=""/>
    <s v="60 PCS"/>
    <s v="acrylicsisipankertasa5t15x21cm60pcsuntana"/>
    <n v="45"/>
    <x v="93"/>
    <m/>
  </r>
  <r>
    <s v=""/>
    <s v=""/>
    <m/>
    <n v="32"/>
    <m/>
    <m/>
    <m/>
    <m/>
    <m/>
    <m/>
    <m/>
    <s v="AGENDA DIARY D-128"/>
    <n v="1"/>
    <n v="144"/>
    <s v="PCS"/>
    <n v="11000"/>
    <m/>
    <m/>
    <n v="0.03"/>
    <m/>
    <m/>
    <m/>
    <m/>
    <n v="1584000"/>
    <n v="47520"/>
    <n v="0"/>
    <n v="0"/>
    <n v="47520"/>
    <n v="1536480"/>
    <m/>
    <s v=""/>
    <s v=""/>
    <n v="1584000"/>
    <n v="1584000"/>
    <x v="11"/>
    <d v="2024-06-08T00:00:00"/>
    <s v="SO2024060086055"/>
    <s v="BINTANG SAUDARA"/>
    <x v="1"/>
    <s v=""/>
    <n v="6"/>
    <s v="agendadiaryd128"/>
    <s v="agendadiaryd12815840000,03"/>
    <s v="agendadiaryd12815840000,03"/>
    <s v=""/>
    <m/>
    <n v="69"/>
    <s v=""/>
    <s v="144 PCS"/>
    <s v="agendadiaryd128144pcsuntana"/>
    <n v="69"/>
    <x v="94"/>
    <m/>
  </r>
  <r>
    <s v=""/>
    <s v=""/>
    <m/>
    <n v="32"/>
    <m/>
    <m/>
    <m/>
    <m/>
    <m/>
    <m/>
    <m/>
    <s v="BUKU MEWARNAI BTS/ MIX 2201 "/>
    <n v="2"/>
    <n v="1600"/>
    <s v="PCS"/>
    <n v="2500"/>
    <m/>
    <m/>
    <m/>
    <m/>
    <m/>
    <m/>
    <m/>
    <n v="4000000"/>
    <n v="0"/>
    <n v="0"/>
    <n v="0"/>
    <n v="0"/>
    <n v="4000000"/>
    <m/>
    <s v=""/>
    <s v=""/>
    <n v="2000000"/>
    <n v="4000000"/>
    <x v="11"/>
    <d v="2024-06-08T00:00:00"/>
    <s v="SO2024060086055"/>
    <s v="BINTANG SAUDARA"/>
    <x v="1"/>
    <s v=""/>
    <n v="6"/>
    <s v="bukumewarnaibtsmix2201"/>
    <s v="bukumewarnaibtsmix22012000000"/>
    <s v="bukumewarnaibtsmix22012000000"/>
    <s v=""/>
    <m/>
    <n v="557"/>
    <s v=""/>
    <s v="800 PCS"/>
    <s v="bukumewarnaibtsmix2201800pcsuntana"/>
    <n v="557"/>
    <x v="95"/>
    <m/>
  </r>
  <r>
    <s v=""/>
    <s v=""/>
    <m/>
    <n v="32"/>
    <m/>
    <m/>
    <m/>
    <m/>
    <m/>
    <m/>
    <m/>
    <s v="SKETCH BOOK A4-3557"/>
    <n v="5"/>
    <n v="240"/>
    <s v="PCS"/>
    <n v="25500"/>
    <m/>
    <m/>
    <m/>
    <m/>
    <m/>
    <m/>
    <m/>
    <n v="6120000"/>
    <n v="0"/>
    <n v="0"/>
    <n v="0"/>
    <n v="0"/>
    <n v="6120000"/>
    <m/>
    <s v=""/>
    <s v=""/>
    <n v="1224000"/>
    <n v="6120000"/>
    <x v="11"/>
    <d v="2024-06-08T00:00:00"/>
    <s v="SO2024060086055"/>
    <s v="BINTANG SAUDARA"/>
    <x v="1"/>
    <s v=""/>
    <n v="6"/>
    <s v="sketchbooka43557"/>
    <s v="sketchbooka435571224000"/>
    <s v="sketchbooka435571224000"/>
    <s v=""/>
    <m/>
    <n v="2905"/>
    <s v=""/>
    <s v="72 PCS"/>
    <s v="sketchbooka4355772pcsuntana"/>
    <n v="2905"/>
    <x v="96"/>
    <m/>
  </r>
  <r>
    <s v=""/>
    <s v=""/>
    <m/>
    <n v="32"/>
    <m/>
    <m/>
    <m/>
    <m/>
    <m/>
    <m/>
    <m/>
    <s v="SKETCH BOOK A5-3555"/>
    <n v="5"/>
    <n v="600"/>
    <s v="PCS"/>
    <n v="15500"/>
    <m/>
    <m/>
    <m/>
    <m/>
    <m/>
    <m/>
    <m/>
    <n v="9300000"/>
    <n v="0"/>
    <n v="0"/>
    <n v="0"/>
    <n v="0"/>
    <n v="9300000"/>
    <m/>
    <n v="47520"/>
    <n v="22456480"/>
    <n v="1860000"/>
    <n v="9300000"/>
    <x v="11"/>
    <d v="2024-06-08T00:00:00"/>
    <s v="SO2024060086055"/>
    <s v="BINTANG SAUDARA"/>
    <x v="1"/>
    <s v=""/>
    <n v="6"/>
    <s v="sketchbooka53555"/>
    <s v="sketchbooka535551860000"/>
    <s v="sketchbooka535551860000"/>
    <s v=""/>
    <m/>
    <n v="2906"/>
    <s v=""/>
    <s v="144 PCS"/>
    <s v="sketchbooka53555144pcsuntana"/>
    <n v="2906"/>
    <x v="97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3"/>
    <s v="DAV_1306_624-2"/>
    <m/>
    <n v="33"/>
    <d v="2024-06-13T00:00:00"/>
    <s v="DAVIS MANDIRI GLOBALINDO"/>
    <s v="UNTANA"/>
    <s v="80838/JL/UTM/0624"/>
    <m/>
    <d v="2024-06-07T00:00:00"/>
    <m/>
    <s v="GEL PEN G 8002"/>
    <n v="3"/>
    <n v="432"/>
    <s v="LSN"/>
    <n v="8750"/>
    <m/>
    <m/>
    <m/>
    <m/>
    <m/>
    <m/>
    <m/>
    <n v="3780000"/>
    <n v="0"/>
    <n v="0"/>
    <n v="0"/>
    <n v="0"/>
    <n v="3780000"/>
    <m/>
    <s v=""/>
    <s v=""/>
    <n v="1260000"/>
    <n v="3780000"/>
    <x v="10"/>
    <d v="2024-06-07T00:00:00"/>
    <s v="80838/JL/UTM/0624"/>
    <s v="DAVIS MANDIRI GLOBALINDO"/>
    <x v="1"/>
    <n v="2"/>
    <n v="6"/>
    <s v="gelpeng8002"/>
    <s v="gelpeng80021260000"/>
    <s v="gelpeng80021260000"/>
    <s v="DAVIS MANDIRI GLOBALINDOUNTANA80838/JL/UTM/062445450gelpeng8002"/>
    <m/>
    <n v="3422"/>
    <s v=""/>
    <s v="144 LSN"/>
    <s v="gelpeng8002144lsnuntana"/>
    <n v="3422"/>
    <x v="98"/>
    <m/>
  </r>
  <r>
    <s v=""/>
    <s v=""/>
    <m/>
    <n v="33"/>
    <m/>
    <m/>
    <m/>
    <m/>
    <m/>
    <m/>
    <m/>
    <s v="GEL PEN DV-8003 (IPEN 14)"/>
    <n v="5"/>
    <n v="720"/>
    <s v="LSN"/>
    <n v="8000"/>
    <m/>
    <m/>
    <m/>
    <m/>
    <m/>
    <m/>
    <m/>
    <n v="5760000"/>
    <n v="0"/>
    <n v="0"/>
    <n v="0"/>
    <n v="0"/>
    <n v="5760000"/>
    <m/>
    <n v="0"/>
    <n v="9540000"/>
    <n v="1152000"/>
    <n v="5760000"/>
    <x v="10"/>
    <d v="2024-06-07T00:00:00"/>
    <s v="80838/JL/UTM/0624"/>
    <s v="DAVIS MANDIRI GLOBALINDO"/>
    <x v="1"/>
    <s v=""/>
    <n v="6"/>
    <s v="gelpendv8003ipen14"/>
    <s v="gelpendv8003ipen141152000"/>
    <s v="gelpendv8003ipen141152000"/>
    <s v=""/>
    <m/>
    <n v="3423"/>
    <s v=""/>
    <s v="144 LSN"/>
    <s v="gelpendv8003ipen14144lsnuntana"/>
    <n v="3423"/>
    <x v="99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4"/>
    <s v="HAN_1106_104-7"/>
    <m/>
    <n v="34"/>
    <d v="2024-06-11T00:00:00"/>
    <s v="HANSA"/>
    <s v="UNTANA"/>
    <s v="HN062024104"/>
    <m/>
    <d v="2024-06-11T00:00:00"/>
    <m/>
    <s v="MALAM SHINTOENG K 6-12W"/>
    <m/>
    <n v="60"/>
    <s v="PCS"/>
    <n v="1600"/>
    <m/>
    <m/>
    <m/>
    <m/>
    <m/>
    <m/>
    <m/>
    <n v="96000"/>
    <n v="0"/>
    <n v="0"/>
    <n v="0"/>
    <n v="0"/>
    <n v="96000"/>
    <m/>
    <s v=""/>
    <s v=""/>
    <n v="96000"/>
    <n v="96000"/>
    <x v="12"/>
    <d v="2024-06-11T00:00:00"/>
    <s v="HN062024104"/>
    <s v="HANSA"/>
    <x v="1"/>
    <n v="7"/>
    <n v="6"/>
    <s v="malamshintoengk612w"/>
    <s v="malamshintoengk612w96000"/>
    <s v="malamshintoengk612w1600"/>
    <s v="HANSAUNTANAHN06202410445454malamshintoengk612w"/>
    <m/>
    <n v="2044"/>
    <s v=""/>
    <s v="480 PCS"/>
    <s v="malamshintoengk612w480pcsuntana"/>
    <n v="2044"/>
    <x v="100"/>
    <m/>
  </r>
  <r>
    <s v=""/>
    <s v=""/>
    <m/>
    <n v="34"/>
    <m/>
    <m/>
    <m/>
    <m/>
    <m/>
    <m/>
    <m/>
    <s v="MALAM SHINTOENG K 1W POLOS"/>
    <m/>
    <n v="60"/>
    <s v="PCS"/>
    <n v="1600"/>
    <m/>
    <m/>
    <m/>
    <m/>
    <m/>
    <m/>
    <m/>
    <n v="96000"/>
    <n v="0"/>
    <n v="0"/>
    <n v="0"/>
    <n v="0"/>
    <n v="96000"/>
    <m/>
    <s v=""/>
    <s v=""/>
    <n v="96000"/>
    <n v="96000"/>
    <x v="12"/>
    <d v="2024-06-11T00:00:00"/>
    <s v="HN062024104"/>
    <s v="HANSA"/>
    <x v="1"/>
    <s v=""/>
    <n v="6"/>
    <s v="malamshintoengk1wpolos"/>
    <s v="malamshintoengk1wpolos96000"/>
    <s v="malamshintoengk1wpolos1600"/>
    <s v=""/>
    <m/>
    <n v="2043"/>
    <s v=""/>
    <s v="480 PCS"/>
    <s v="malamshintoengk1wpolos480pcsuntana"/>
    <n v="2043"/>
    <x v="101"/>
    <m/>
  </r>
  <r>
    <s v=""/>
    <s v=""/>
    <m/>
    <n v="34"/>
    <m/>
    <m/>
    <m/>
    <m/>
    <m/>
    <m/>
    <m/>
    <s v="MALAM SHINTOENG TG 6-12W"/>
    <m/>
    <n v="50"/>
    <s v="PCS"/>
    <n v="4550"/>
    <m/>
    <m/>
    <m/>
    <m/>
    <m/>
    <m/>
    <m/>
    <n v="227500"/>
    <n v="0"/>
    <n v="0"/>
    <n v="0"/>
    <n v="0"/>
    <n v="227500"/>
    <m/>
    <s v=""/>
    <s v=""/>
    <n v="227500"/>
    <n v="227500"/>
    <x v="12"/>
    <d v="2024-06-11T00:00:00"/>
    <s v="HN062024104"/>
    <s v="HANSA"/>
    <x v="1"/>
    <s v=""/>
    <n v="6"/>
    <s v="malamshintoengtg612w"/>
    <s v="malamshintoengtg612w227500"/>
    <s v="malamshintoengtg612w4550"/>
    <s v=""/>
    <m/>
    <n v="2048"/>
    <s v=""/>
    <s v="210 PCS"/>
    <s v="malamshintoengtg612w210pcsuntana"/>
    <n v="2048"/>
    <x v="102"/>
    <m/>
  </r>
  <r>
    <s v=""/>
    <s v=""/>
    <m/>
    <n v="34"/>
    <m/>
    <m/>
    <m/>
    <m/>
    <m/>
    <m/>
    <m/>
    <s v="MALAM SHINTOENG TG 1W POLOS"/>
    <m/>
    <n v="50"/>
    <s v="PCS"/>
    <n v="4330"/>
    <m/>
    <m/>
    <m/>
    <m/>
    <m/>
    <m/>
    <m/>
    <n v="216500"/>
    <n v="0"/>
    <n v="0"/>
    <n v="0"/>
    <n v="0"/>
    <n v="216500"/>
    <m/>
    <s v=""/>
    <s v=""/>
    <n v="216500"/>
    <n v="216500"/>
    <x v="12"/>
    <d v="2024-06-11T00:00:00"/>
    <s v="HN062024104"/>
    <s v="HANSA"/>
    <x v="1"/>
    <s v=""/>
    <n v="6"/>
    <s v="malamshintoengtg1wpolos"/>
    <s v="malamshintoengtg1wpolos216500"/>
    <s v="malamshintoengtg1wpolos4330"/>
    <s v=""/>
    <m/>
    <n v="2046"/>
    <s v=""/>
    <s v="210 PCS"/>
    <s v="malamshintoengtg1wpolos210pcsuntana"/>
    <n v="2046"/>
    <x v="103"/>
    <m/>
  </r>
  <r>
    <s v=""/>
    <s v=""/>
    <m/>
    <n v="34"/>
    <m/>
    <m/>
    <m/>
    <m/>
    <m/>
    <m/>
    <m/>
    <s v="MALAM SHINTOENG B 6-12W"/>
    <m/>
    <n v="20"/>
    <s v="PCS"/>
    <n v="6100"/>
    <m/>
    <m/>
    <m/>
    <m/>
    <m/>
    <m/>
    <m/>
    <n v="122000"/>
    <n v="0"/>
    <n v="0"/>
    <n v="0"/>
    <n v="0"/>
    <n v="122000"/>
    <m/>
    <s v=""/>
    <s v=""/>
    <n v="122000"/>
    <n v="122000"/>
    <x v="12"/>
    <d v="2024-06-11T00:00:00"/>
    <s v="HN062024104"/>
    <s v="HANSA"/>
    <x v="1"/>
    <s v=""/>
    <n v="6"/>
    <s v="malamshintoengb612w"/>
    <s v="malamshintoengb612w122000"/>
    <s v="malamshintoengb612w6100"/>
    <s v=""/>
    <m/>
    <n v="2041"/>
    <s v=""/>
    <s v="150 PCS"/>
    <s v="malamshintoengb612w150pcsuntana"/>
    <n v="2041"/>
    <x v="104"/>
    <m/>
  </r>
  <r>
    <s v=""/>
    <s v=""/>
    <m/>
    <n v="34"/>
    <m/>
    <m/>
    <m/>
    <m/>
    <m/>
    <m/>
    <m/>
    <s v="MALAM SHINTOENG B 1W POLOS"/>
    <m/>
    <n v="20"/>
    <s v="PCS"/>
    <n v="5770"/>
    <m/>
    <m/>
    <m/>
    <m/>
    <m/>
    <m/>
    <m/>
    <n v="115400"/>
    <n v="0"/>
    <n v="0"/>
    <n v="0"/>
    <n v="0"/>
    <n v="115400"/>
    <m/>
    <s v=""/>
    <s v=""/>
    <n v="115400"/>
    <n v="115400"/>
    <x v="12"/>
    <d v="2024-06-11T00:00:00"/>
    <s v="HN062024104"/>
    <s v="HANSA"/>
    <x v="1"/>
    <s v=""/>
    <n v="6"/>
    <s v="malamshintoengb1wpolos"/>
    <s v="malamshintoengb1wpolos115400"/>
    <s v="malamshintoengb1wpolos5770"/>
    <s v=""/>
    <m/>
    <n v="2040"/>
    <s v=""/>
    <s v="180 PCS"/>
    <s v="malamshintoengb1wpolos180pcsuntana"/>
    <n v="2040"/>
    <x v="105"/>
    <m/>
  </r>
  <r>
    <s v=""/>
    <s v=""/>
    <m/>
    <n v="34"/>
    <m/>
    <m/>
    <m/>
    <m/>
    <m/>
    <m/>
    <m/>
    <s v="MALAM SHINTOENG JUMBO POLOS"/>
    <m/>
    <n v="20"/>
    <s v="PCS"/>
    <n v="10990"/>
    <m/>
    <m/>
    <m/>
    <m/>
    <m/>
    <m/>
    <m/>
    <n v="219800"/>
    <n v="0"/>
    <n v="0"/>
    <n v="0"/>
    <n v="0"/>
    <n v="219800"/>
    <m/>
    <n v="0"/>
    <n v="1093200"/>
    <n v="219800"/>
    <n v="219800"/>
    <x v="12"/>
    <d v="2024-06-11T00:00:00"/>
    <s v="HN062024104"/>
    <s v="HANSA"/>
    <x v="1"/>
    <s v=""/>
    <n v="6"/>
    <s v="malamshintoengjumbopolos"/>
    <s v="malamshintoengjumbopolos219800"/>
    <s v="malamshintoengjumbopolos10990"/>
    <s v=""/>
    <m/>
    <n v="2042"/>
    <s v=""/>
    <s v="20 PCS"/>
    <s v="malamshintoengjumbopolos20pcsuntana"/>
    <n v="2042"/>
    <x v="106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5"/>
    <s v="YUS_1406_027-3"/>
    <m/>
    <n v="35"/>
    <d v="2024-06-14T00:00:00"/>
    <s v="YUSHINCA"/>
    <s v="UNTANA"/>
    <s v="24/YS/VI/027"/>
    <m/>
    <d v="2024-06-11T00:00:00"/>
    <m/>
    <s v="ZIPPER BAG FANCY RB-127 DL RESLETING KAIN"/>
    <n v="2"/>
    <n v="214"/>
    <s v="LSN"/>
    <n v="72000"/>
    <m/>
    <s v="30 LSN"/>
    <n v="0.2"/>
    <m/>
    <m/>
    <m/>
    <s v="1 C = 120LSN + 1C 92LSN"/>
    <n v="15408000"/>
    <n v="3081600"/>
    <n v="0"/>
    <n v="0"/>
    <n v="3081600"/>
    <n v="12326400"/>
    <m/>
    <s v=""/>
    <s v=""/>
    <n v="7704000"/>
    <n v="15408000"/>
    <x v="13"/>
    <d v="2024-06-11T00:00:00"/>
    <s v="24/YS/VI/027"/>
    <s v="YUSHINCA"/>
    <x v="1"/>
    <n v="3"/>
    <n v="6"/>
    <s v="zipperbagfancyrb127dlresletingkain"/>
    <s v="zipperbagfancyrb127dlresletingkain77040000,2"/>
    <s v="zipperbagfancyrb127dlresletingkain77040000,2"/>
    <s v="YUSHINCAUNTANA24/YS/VI/02745454zipperbagfancyrb127dlresletingkain"/>
    <m/>
    <n v="3424"/>
    <b v="1"/>
    <s v="30 LSN"/>
    <s v="zipperbagfancyrb127dlresletingkain30lsnuntana"/>
    <e v="#N/A"/>
    <x v="107"/>
    <m/>
  </r>
  <r>
    <s v=""/>
    <s v=""/>
    <m/>
    <n v="35"/>
    <m/>
    <m/>
    <m/>
    <m/>
    <m/>
    <m/>
    <m/>
    <s v="ZIPPER BAG FANCY RB-129 A4 RESLETING KAIN"/>
    <m/>
    <n v="97"/>
    <s v="LSN"/>
    <n v="117000"/>
    <m/>
    <s v="30 LSN"/>
    <n v="0.2"/>
    <m/>
    <m/>
    <m/>
    <s v="1C = 97 LSN"/>
    <n v="11349000"/>
    <n v="2269800"/>
    <n v="0"/>
    <n v="0"/>
    <n v="2269800"/>
    <n v="9079200"/>
    <m/>
    <s v=""/>
    <s v=""/>
    <n v="11349000"/>
    <n v="11349000"/>
    <x v="13"/>
    <d v="2024-06-11T00:00:00"/>
    <s v="24/YS/VI/027"/>
    <s v="YUSHINCA"/>
    <x v="1"/>
    <s v=""/>
    <n v="6"/>
    <s v="zipperbagfancyrb129a4resletingkain"/>
    <s v="zipperbagfancyrb129a4resletingkain113490000,2"/>
    <s v="zipperbagfancyrb129a4resletingkain1170000,2"/>
    <s v=""/>
    <m/>
    <n v="3425"/>
    <b v="1"/>
    <s v="30 LSN"/>
    <s v="zipperbagfancyrb129a4resletingkain30lsnuntana"/>
    <e v="#N/A"/>
    <x v="108"/>
    <m/>
  </r>
  <r>
    <s v=""/>
    <s v=""/>
    <m/>
    <n v="35"/>
    <m/>
    <m/>
    <m/>
    <m/>
    <m/>
    <m/>
    <m/>
    <s v="ZIPPER BAG FANCY RB-130 B4 RESLETING KAIN"/>
    <n v="1"/>
    <n v="52"/>
    <s v="LSN"/>
    <n v="132000"/>
    <m/>
    <s v="30 LSN"/>
    <n v="0.2"/>
    <m/>
    <m/>
    <m/>
    <m/>
    <n v="6864000"/>
    <n v="1372800"/>
    <n v="0"/>
    <n v="0"/>
    <n v="1372800"/>
    <n v="5491200"/>
    <m/>
    <n v="6724200"/>
    <n v="26896800"/>
    <n v="6864000"/>
    <n v="6864000"/>
    <x v="13"/>
    <d v="2024-06-11T00:00:00"/>
    <s v="24/YS/VI/027"/>
    <s v="YUSHINCA"/>
    <x v="1"/>
    <s v=""/>
    <n v="6"/>
    <s v="zipperbagfancyrb130b4resletingkain"/>
    <s v="zipperbagfancyrb130b4resletingkain68640000,2"/>
    <s v="zipperbagfancyrb130b4resletingkain68640000,2"/>
    <s v=""/>
    <m/>
    <n v="3426"/>
    <b v="1"/>
    <s v="30 LSN"/>
    <s v="zipperbagfancyrb130b4resletingkain30lsnuntana"/>
    <e v="#N/A"/>
    <x v="109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6"/>
    <s v="ETJ_1406_324-12"/>
    <m/>
    <n v="36"/>
    <d v="2024-06-14T00:00:00"/>
    <s v="ETJ"/>
    <s v="UNTANA"/>
    <s v="I13.24"/>
    <m/>
    <d v="2024-06-14T00:00:00"/>
    <m/>
    <s v="ENTER 30CM 675"/>
    <n v="10"/>
    <n v="2000"/>
    <s v="LSN"/>
    <n v="8750"/>
    <m/>
    <m/>
    <m/>
    <m/>
    <m/>
    <m/>
    <m/>
    <n v="17500000"/>
    <n v="0"/>
    <n v="0"/>
    <n v="0"/>
    <n v="0"/>
    <n v="17500000"/>
    <m/>
    <s v=""/>
    <s v=""/>
    <n v="1750000"/>
    <n v="17500000"/>
    <x v="13"/>
    <d v="2024-06-14T00:00:00"/>
    <s v="I13.24"/>
    <s v="ETJ"/>
    <x v="1"/>
    <n v="12"/>
    <n v="6"/>
    <s v="enter30cm675"/>
    <s v="enter30cm6751750000"/>
    <s v="enter30cm6751750000"/>
    <s v="ETJUNTANAI13.2445457enter30cm675"/>
    <m/>
    <n v="932"/>
    <s v=""/>
    <s v="200 LSN"/>
    <s v="enter30cm675200lsnuntana"/>
    <n v="932"/>
    <x v="110"/>
    <m/>
  </r>
  <r>
    <s v=""/>
    <s v=""/>
    <m/>
    <n v="36"/>
    <m/>
    <m/>
    <m/>
    <m/>
    <m/>
    <m/>
    <m/>
    <s v="ENTER BUSUR NO 4 TBL"/>
    <n v="2"/>
    <n v="960"/>
    <s v="LSN"/>
    <n v="8000"/>
    <m/>
    <m/>
    <m/>
    <m/>
    <m/>
    <m/>
    <m/>
    <n v="7680000"/>
    <n v="0"/>
    <n v="0"/>
    <n v="0"/>
    <n v="0"/>
    <n v="7680000"/>
    <m/>
    <s v=""/>
    <s v=""/>
    <n v="3840000"/>
    <n v="7680000"/>
    <x v="13"/>
    <d v="2024-06-14T00:00:00"/>
    <s v="I13.24"/>
    <s v="ETJ"/>
    <x v="1"/>
    <s v=""/>
    <n v="6"/>
    <s v="enterbusurno4tbl"/>
    <s v="enterbusurno4tbl3840000"/>
    <s v="enterbusurno4tbl3840000"/>
    <s v=""/>
    <m/>
    <n v="945"/>
    <s v=""/>
    <s v="480 LSN"/>
    <s v="enterbusurno4tbl480lsnuntana"/>
    <n v="945"/>
    <x v="111"/>
    <m/>
  </r>
  <r>
    <s v=""/>
    <s v=""/>
    <m/>
    <n v="36"/>
    <m/>
    <m/>
    <m/>
    <m/>
    <m/>
    <m/>
    <m/>
    <s v="ENTER BUSUR NO 120"/>
    <n v="1"/>
    <n v="160"/>
    <s v="LSN"/>
    <n v="14500"/>
    <m/>
    <m/>
    <m/>
    <m/>
    <m/>
    <m/>
    <m/>
    <n v="2320000"/>
    <n v="0"/>
    <n v="0"/>
    <n v="0"/>
    <n v="0"/>
    <n v="2320000"/>
    <m/>
    <s v=""/>
    <s v=""/>
    <n v="2320000"/>
    <n v="2320000"/>
    <x v="13"/>
    <d v="2024-06-14T00:00:00"/>
    <s v="I13.24"/>
    <s v="ETJ"/>
    <x v="1"/>
    <s v=""/>
    <n v="6"/>
    <s v="enterbusurno120"/>
    <s v="enterbusurno1202320000"/>
    <s v="enterbusurno1202320000"/>
    <s v=""/>
    <m/>
    <n v="3427"/>
    <s v=""/>
    <s v="160 LSN"/>
    <s v="enterbusurno120160lsnuntana"/>
    <n v="3427"/>
    <x v="112"/>
    <m/>
  </r>
  <r>
    <s v=""/>
    <s v=""/>
    <m/>
    <n v="36"/>
    <m/>
    <m/>
    <m/>
    <m/>
    <m/>
    <m/>
    <m/>
    <s v="KOJIKO LABEL 99"/>
    <n v="5"/>
    <n v="4000"/>
    <s v="PAK"/>
    <n v="2100"/>
    <m/>
    <m/>
    <m/>
    <m/>
    <m/>
    <m/>
    <m/>
    <n v="8400000"/>
    <n v="0"/>
    <n v="0"/>
    <n v="0"/>
    <n v="0"/>
    <n v="8400000"/>
    <m/>
    <s v=""/>
    <s v=""/>
    <n v="1680000"/>
    <n v="8400000"/>
    <x v="13"/>
    <d v="2024-06-14T00:00:00"/>
    <s v="I13.24"/>
    <s v="ETJ"/>
    <x v="1"/>
    <s v=""/>
    <n v="6"/>
    <s v="kojikolabel99"/>
    <s v="kojikolabel991680000"/>
    <s v="kojikolabel991680000"/>
    <s v=""/>
    <m/>
    <n v="1895"/>
    <s v=""/>
    <s v="800 PAK"/>
    <s v="kojikolabel99800pakuntana"/>
    <n v="1895"/>
    <x v="113"/>
    <m/>
  </r>
  <r>
    <s v=""/>
    <s v=""/>
    <m/>
    <n v="36"/>
    <m/>
    <m/>
    <m/>
    <m/>
    <m/>
    <m/>
    <m/>
    <s v="KOJIKO 112 LABEL"/>
    <n v="2"/>
    <n v="1600"/>
    <s v="PAK"/>
    <n v="2100"/>
    <m/>
    <m/>
    <m/>
    <m/>
    <m/>
    <m/>
    <m/>
    <n v="3360000"/>
    <n v="0"/>
    <n v="0"/>
    <n v="0"/>
    <n v="0"/>
    <n v="3360000"/>
    <m/>
    <s v=""/>
    <s v=""/>
    <n v="1680000"/>
    <n v="3360000"/>
    <x v="13"/>
    <d v="2024-06-14T00:00:00"/>
    <s v="I13.24"/>
    <s v="ETJ"/>
    <x v="1"/>
    <s v=""/>
    <n v="6"/>
    <s v="kojiko112label"/>
    <s v="kojiko112label1680000"/>
    <s v="kojiko112label1680000"/>
    <s v=""/>
    <m/>
    <n v="1891"/>
    <s v=""/>
    <s v="800 PAK"/>
    <s v="kojiko112label800pakuntana"/>
    <n v="1891"/>
    <x v="114"/>
    <m/>
  </r>
  <r>
    <s v=""/>
    <s v=""/>
    <m/>
    <n v="36"/>
    <m/>
    <m/>
    <m/>
    <m/>
    <m/>
    <m/>
    <m/>
    <s v="KOJIKO 103P LABEL"/>
    <n v="2"/>
    <n v="1600"/>
    <s v="PAK"/>
    <n v="2100"/>
    <m/>
    <m/>
    <m/>
    <m/>
    <m/>
    <m/>
    <m/>
    <n v="3360000"/>
    <n v="0"/>
    <n v="0"/>
    <n v="0"/>
    <n v="0"/>
    <n v="3360000"/>
    <m/>
    <s v=""/>
    <s v=""/>
    <n v="1680000"/>
    <n v="3360000"/>
    <x v="13"/>
    <d v="2024-06-14T00:00:00"/>
    <s v="I13.24"/>
    <s v="ETJ"/>
    <x v="1"/>
    <s v=""/>
    <n v="6"/>
    <s v="kojiko103plabel"/>
    <s v="kojiko103plabel1680000"/>
    <s v="kojiko103plabel1680000"/>
    <s v=""/>
    <m/>
    <n v="1890"/>
    <s v=""/>
    <s v="800 PAK"/>
    <s v="kojiko103plabel800pakuntana"/>
    <n v="1890"/>
    <x v="115"/>
    <m/>
  </r>
  <r>
    <s v=""/>
    <s v=""/>
    <m/>
    <n v="36"/>
    <m/>
    <m/>
    <m/>
    <m/>
    <m/>
    <m/>
    <m/>
    <s v="ENTER GB 30 CM TBL"/>
    <n v="5"/>
    <n v="250"/>
    <s v="LSN"/>
    <n v="35000"/>
    <m/>
    <m/>
    <m/>
    <m/>
    <m/>
    <m/>
    <m/>
    <n v="8750000"/>
    <n v="0"/>
    <n v="0"/>
    <n v="0"/>
    <n v="0"/>
    <n v="8750000"/>
    <m/>
    <s v=""/>
    <s v=""/>
    <n v="1750000"/>
    <n v="8750000"/>
    <x v="13"/>
    <d v="2024-06-14T00:00:00"/>
    <s v="I13.24"/>
    <s v="ETJ"/>
    <x v="1"/>
    <s v=""/>
    <n v="6"/>
    <s v="entergb30cmtbl"/>
    <s v="entergb30cmtbl1750000"/>
    <s v="entergb30cmtbl1750000"/>
    <s v=""/>
    <m/>
    <n v="3428"/>
    <s v=""/>
    <s v="50 LSN"/>
    <s v="entergb30cmtbl50lsnuntana"/>
    <n v="3428"/>
    <x v="116"/>
    <m/>
  </r>
  <r>
    <s v=""/>
    <s v=""/>
    <m/>
    <n v="36"/>
    <m/>
    <m/>
    <m/>
    <m/>
    <m/>
    <m/>
    <m/>
    <s v="ENTER GB 40 CM TBL"/>
    <n v="2"/>
    <n v="50"/>
    <s v="LSN"/>
    <n v="55000"/>
    <m/>
    <m/>
    <m/>
    <m/>
    <m/>
    <m/>
    <m/>
    <n v="2750000"/>
    <n v="0"/>
    <n v="0"/>
    <n v="0"/>
    <n v="0"/>
    <n v="2750000"/>
    <m/>
    <s v=""/>
    <s v=""/>
    <n v="1375000"/>
    <n v="2750000"/>
    <x v="13"/>
    <d v="2024-06-14T00:00:00"/>
    <s v="I13.24"/>
    <s v="ETJ"/>
    <x v="1"/>
    <s v=""/>
    <n v="6"/>
    <s v="entergb40cmtbl"/>
    <s v="entergb40cmtbl1375000"/>
    <s v="entergb40cmtbl1375000"/>
    <s v=""/>
    <m/>
    <n v="3429"/>
    <s v=""/>
    <s v="25 LSN"/>
    <s v="entergb40cmtbl25lsnuntana"/>
    <n v="3429"/>
    <x v="117"/>
    <m/>
  </r>
  <r>
    <s v=""/>
    <s v=""/>
    <m/>
    <n v="36"/>
    <m/>
    <m/>
    <m/>
    <m/>
    <m/>
    <m/>
    <m/>
    <s v="ENTER GB 50 CM TBL"/>
    <n v="2"/>
    <n v="50"/>
    <s v="LSN"/>
    <n v="65000"/>
    <m/>
    <m/>
    <m/>
    <m/>
    <m/>
    <m/>
    <m/>
    <n v="3250000"/>
    <n v="0"/>
    <n v="0"/>
    <n v="0"/>
    <n v="0"/>
    <n v="3250000"/>
    <m/>
    <s v=""/>
    <s v=""/>
    <n v="1625000"/>
    <n v="3250000"/>
    <x v="13"/>
    <d v="2024-06-14T00:00:00"/>
    <s v="I13.24"/>
    <s v="ETJ"/>
    <x v="1"/>
    <s v=""/>
    <n v="6"/>
    <s v="entergb50cmtbl"/>
    <s v="entergb50cmtbl1625000"/>
    <s v="entergb50cmtbl1625000"/>
    <s v=""/>
    <m/>
    <n v="3430"/>
    <s v=""/>
    <s v="25 LSN"/>
    <s v="entergb50cmtbl25lsnuntana"/>
    <n v="3430"/>
    <x v="118"/>
    <m/>
  </r>
  <r>
    <s v=""/>
    <s v=""/>
    <m/>
    <n v="36"/>
    <m/>
    <m/>
    <m/>
    <m/>
    <m/>
    <m/>
    <m/>
    <s v="ENTER GB 60 CM TBL"/>
    <n v="1"/>
    <n v="25"/>
    <s v="LSN"/>
    <n v="75000"/>
    <m/>
    <m/>
    <m/>
    <m/>
    <m/>
    <m/>
    <m/>
    <n v="1875000"/>
    <n v="0"/>
    <n v="0"/>
    <n v="0"/>
    <n v="0"/>
    <n v="1875000"/>
    <m/>
    <s v=""/>
    <s v=""/>
    <n v="1875000"/>
    <n v="1875000"/>
    <x v="13"/>
    <d v="2024-06-14T00:00:00"/>
    <s v="I13.24"/>
    <s v="ETJ"/>
    <x v="1"/>
    <s v=""/>
    <n v="6"/>
    <s v="entergb60cmtbl"/>
    <s v="entergb60cmtbl1875000"/>
    <s v="entergb60cmtbl1875000"/>
    <s v=""/>
    <m/>
    <n v="3431"/>
    <s v=""/>
    <s v="25 LSN"/>
    <s v="entergb60cmtbl25lsnuntana"/>
    <n v="3431"/>
    <x v="119"/>
    <m/>
  </r>
  <r>
    <s v=""/>
    <s v=""/>
    <m/>
    <n v="36"/>
    <m/>
    <m/>
    <m/>
    <m/>
    <m/>
    <m/>
    <m/>
    <s v="ENTER DISP BESI 505"/>
    <n v="1"/>
    <n v="100"/>
    <s v="PCS"/>
    <n v="11500"/>
    <m/>
    <m/>
    <m/>
    <m/>
    <m/>
    <m/>
    <m/>
    <n v="1150000"/>
    <n v="0"/>
    <n v="0"/>
    <n v="0"/>
    <n v="0"/>
    <n v="1150000"/>
    <m/>
    <s v=""/>
    <s v=""/>
    <n v="1150000"/>
    <n v="1150000"/>
    <x v="13"/>
    <d v="2024-06-14T00:00:00"/>
    <s v="I13.24"/>
    <s v="ETJ"/>
    <x v="1"/>
    <s v=""/>
    <n v="6"/>
    <s v="enterdispbesi505"/>
    <s v="enterdispbesi5051150000"/>
    <s v="enterdispbesi5051150000"/>
    <s v=""/>
    <m/>
    <n v="3432"/>
    <s v=""/>
    <s v="100 PCS"/>
    <s v="enterdispbesi505100pcsuntana"/>
    <n v="3432"/>
    <x v="120"/>
    <m/>
  </r>
  <r>
    <s v=""/>
    <s v=""/>
    <m/>
    <n v="36"/>
    <m/>
    <m/>
    <m/>
    <m/>
    <m/>
    <m/>
    <m/>
    <s v="ENTER BK TABUNGAN"/>
    <n v="2"/>
    <n v="12000"/>
    <s v="PCS"/>
    <n v="325"/>
    <m/>
    <m/>
    <m/>
    <m/>
    <m/>
    <m/>
    <m/>
    <n v="3900000"/>
    <n v="0"/>
    <n v="0"/>
    <n v="0"/>
    <n v="0"/>
    <n v="3900000"/>
    <m/>
    <n v="0"/>
    <n v="64295000"/>
    <n v="1950000"/>
    <n v="3900000"/>
    <x v="13"/>
    <d v="2024-06-14T00:00:00"/>
    <s v="I13.24"/>
    <s v="ETJ"/>
    <x v="1"/>
    <s v=""/>
    <n v="6"/>
    <s v="enterbktabungan"/>
    <s v="enterbktabungan1950000"/>
    <s v="enterbktabungan1950000"/>
    <s v=""/>
    <m/>
    <n v="938"/>
    <s v=""/>
    <s v="3600 PCS"/>
    <s v="enterbktabungan3600pcsuntana"/>
    <n v="938"/>
    <x v="121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7"/>
    <s v="DBS_1806_024-15"/>
    <m/>
    <n v="37"/>
    <d v="2024-06-18T00:00:00"/>
    <s v="DB STATIONERY"/>
    <s v="UNTANA"/>
    <s v="JUF310/24"/>
    <m/>
    <d v="2024-06-13T00:00:00"/>
    <m/>
    <s v="P WARNA KAYAGI 24W KY-CP0724"/>
    <n v="1"/>
    <n v="144"/>
    <s v="SET"/>
    <n v="18500"/>
    <m/>
    <m/>
    <m/>
    <m/>
    <m/>
    <m/>
    <m/>
    <n v="2664000"/>
    <n v="0"/>
    <n v="0"/>
    <n v="0"/>
    <n v="0"/>
    <n v="2664000"/>
    <m/>
    <s v=""/>
    <s v=""/>
    <n v="2664000"/>
    <n v="2664000"/>
    <x v="14"/>
    <d v="2024-06-13T00:00:00"/>
    <s v="JUF310/24"/>
    <s v="DB STATIONERY"/>
    <x v="1"/>
    <n v="15"/>
    <n v="6"/>
    <s v="pwarnakayagi24wkycp0724"/>
    <s v="pwarnakayagi24wkycp07242664000"/>
    <s v="pwarnakayagi24wkycp07242664000"/>
    <s v="DB STATIONERYUNTANAJUF310/2445456pwarnakayagi24wkycp0724"/>
    <m/>
    <n v="2305"/>
    <s v=""/>
    <s v="144 SET"/>
    <s v="pwarnakayagi24wkycp0724144setuntana"/>
    <n v="2306"/>
    <x v="122"/>
    <m/>
  </r>
  <r>
    <s v=""/>
    <s v=""/>
    <m/>
    <n v="37"/>
    <m/>
    <m/>
    <m/>
    <m/>
    <m/>
    <m/>
    <m/>
    <s v="ISI PENSIL 2B 2.0 DB-IMP062"/>
    <n v="1"/>
    <n v="120"/>
    <s v="LSN"/>
    <n v="12500"/>
    <m/>
    <m/>
    <m/>
    <m/>
    <m/>
    <m/>
    <m/>
    <n v="1500000"/>
    <n v="0"/>
    <n v="0"/>
    <n v="0"/>
    <n v="0"/>
    <n v="1500000"/>
    <m/>
    <s v=""/>
    <s v=""/>
    <n v="1500000"/>
    <n v="1500000"/>
    <x v="14"/>
    <d v="2024-06-13T00:00:00"/>
    <s v="JUF310/24"/>
    <s v="DB STATIONERY"/>
    <x v="1"/>
    <s v=""/>
    <n v="6"/>
    <s v="isipensil2b20dbimp062"/>
    <s v="isipensil2b20dbimp0621500000"/>
    <s v="isipensil2b20dbimp0621500000"/>
    <s v=""/>
    <m/>
    <n v="1490"/>
    <s v=""/>
    <s v="120 LSN"/>
    <s v="isipensil2b20dbimp062120lsnuntana"/>
    <n v="1490"/>
    <x v="123"/>
    <m/>
  </r>
  <r>
    <s v=""/>
    <s v=""/>
    <m/>
    <n v="37"/>
    <m/>
    <m/>
    <m/>
    <m/>
    <m/>
    <m/>
    <m/>
    <s v="R BOTOL SUSU 20PCS R-5833"/>
    <n v="1"/>
    <n v="24"/>
    <s v="TOP"/>
    <n v="46700"/>
    <m/>
    <m/>
    <m/>
    <m/>
    <m/>
    <m/>
    <m/>
    <n v="1120800"/>
    <n v="0"/>
    <n v="0"/>
    <n v="0"/>
    <n v="0"/>
    <n v="1120800"/>
    <m/>
    <s v=""/>
    <s v=""/>
    <n v="1120800"/>
    <n v="1120800"/>
    <x v="14"/>
    <d v="2024-06-13T00:00:00"/>
    <s v="JUF310/24"/>
    <s v="DB STATIONERY"/>
    <x v="1"/>
    <s v=""/>
    <n v="6"/>
    <s v="rbotolsusu20pcsr5833"/>
    <s v="rbotolsusu20pcsr58331120800"/>
    <s v="rbotolsusu20pcsr58331120800"/>
    <s v=""/>
    <m/>
    <n v="3433"/>
    <s v=""/>
    <s v="24 TOP"/>
    <s v="rbotolsusu20pcsr583324topuntana"/>
    <n v="3433"/>
    <x v="124"/>
    <m/>
  </r>
  <r>
    <s v=""/>
    <s v=""/>
    <m/>
    <n v="37"/>
    <m/>
    <m/>
    <m/>
    <m/>
    <m/>
    <m/>
    <m/>
    <s v="R TOPLES XLG 17PCS R-5857"/>
    <n v="1"/>
    <n v="24"/>
    <s v="TOP"/>
    <n v="63800"/>
    <m/>
    <m/>
    <m/>
    <m/>
    <m/>
    <m/>
    <m/>
    <n v="1531200"/>
    <n v="0"/>
    <n v="0"/>
    <n v="0"/>
    <n v="0"/>
    <n v="1531200"/>
    <m/>
    <s v=""/>
    <s v=""/>
    <n v="1531200"/>
    <n v="1531200"/>
    <x v="14"/>
    <d v="2024-06-13T00:00:00"/>
    <s v="JUF310/24"/>
    <s v="DB STATIONERY"/>
    <x v="1"/>
    <s v=""/>
    <n v="6"/>
    <s v="rtoplesxlg17pcsr5857"/>
    <s v="rtoplesxlg17pcsr58571531200"/>
    <s v="rtoplesxlg17pcsr58571531200"/>
    <s v=""/>
    <m/>
    <n v="3434"/>
    <s v=""/>
    <s v="24 TOP"/>
    <s v="rtoplesxlg17pcsr585724topuntana"/>
    <n v="3434"/>
    <x v="125"/>
    <m/>
  </r>
  <r>
    <s v=""/>
    <s v=""/>
    <m/>
    <n v="37"/>
    <m/>
    <m/>
    <m/>
    <m/>
    <m/>
    <m/>
    <m/>
    <s v="RAUTAN KITTY  TOPLES R-5842"/>
    <n v="2"/>
    <n v="48"/>
    <s v="TOP"/>
    <n v="60000"/>
    <m/>
    <m/>
    <m/>
    <m/>
    <m/>
    <m/>
    <m/>
    <n v="2880000"/>
    <n v="0"/>
    <n v="0"/>
    <n v="0"/>
    <n v="0"/>
    <n v="2880000"/>
    <m/>
    <s v=""/>
    <s v=""/>
    <n v="1440000"/>
    <n v="2880000"/>
    <x v="14"/>
    <d v="2024-06-13T00:00:00"/>
    <s v="JUF310/24"/>
    <s v="DB STATIONERY"/>
    <x v="1"/>
    <s v=""/>
    <n v="6"/>
    <s v="rautankittytoplesr5842"/>
    <s v="rautankittytoplesr58421440000"/>
    <s v="rautankittytoplesr58421440000"/>
    <s v=""/>
    <m/>
    <n v="2783"/>
    <s v=""/>
    <s v="24 TOP "/>
    <s v="rautankittytoplesr584224topuntana"/>
    <n v="2783"/>
    <x v="126"/>
    <m/>
  </r>
  <r>
    <s v=""/>
    <s v=""/>
    <m/>
    <n v="37"/>
    <m/>
    <m/>
    <m/>
    <m/>
    <m/>
    <m/>
    <m/>
    <s v="RAUTAN MEJA BONEKA SX-0065 L"/>
    <n v="1"/>
    <n v="15"/>
    <s v="PCS"/>
    <m/>
    <m/>
    <m/>
    <m/>
    <m/>
    <m/>
    <m/>
    <s v="BONUS"/>
    <s v=""/>
    <s v=""/>
    <s v=""/>
    <s v=""/>
    <s v=""/>
    <s v=""/>
    <m/>
    <s v=""/>
    <s v=""/>
    <n v="0"/>
    <s v=""/>
    <x v="14"/>
    <d v="2024-06-13T00:00:00"/>
    <s v="JUF310/24"/>
    <s v="DB STATIONERY"/>
    <x v="1"/>
    <s v=""/>
    <n v="6"/>
    <s v="rautanmejabonekasx0065l"/>
    <s v="rautanmejabonekasx0065l0"/>
    <s v="rautanmejabonekasx0065l0"/>
    <s v=""/>
    <m/>
    <n v="3435"/>
    <s v=""/>
    <s v="15 PCS"/>
    <s v="rautanmejabonekasx0065l15pcsuntana"/>
    <n v="3435"/>
    <x v="127"/>
    <m/>
  </r>
  <r>
    <s v=""/>
    <s v=""/>
    <m/>
    <n v="37"/>
    <m/>
    <m/>
    <m/>
    <m/>
    <m/>
    <m/>
    <m/>
    <s v="GEL TIZO FANCY S-3 TG30801-F"/>
    <n v="2"/>
    <n v="288"/>
    <s v="LSN"/>
    <n v="18250"/>
    <m/>
    <m/>
    <m/>
    <m/>
    <m/>
    <m/>
    <m/>
    <n v="5256000"/>
    <n v="0"/>
    <n v="0"/>
    <n v="0"/>
    <n v="0"/>
    <n v="5256000"/>
    <m/>
    <s v=""/>
    <s v=""/>
    <n v="2628000"/>
    <n v="5256000"/>
    <x v="14"/>
    <d v="2024-06-13T00:00:00"/>
    <s v="JUF310/24"/>
    <s v="DB STATIONERY"/>
    <x v="1"/>
    <s v=""/>
    <n v="6"/>
    <s v="geltizofancys3tg30801f"/>
    <s v="geltizofancys3tg30801f2628000"/>
    <s v="geltizofancys3tg30801f2628000"/>
    <s v=""/>
    <m/>
    <n v="1149"/>
    <s v=""/>
    <s v="144 LSN"/>
    <s v="geltizofancys3tg30801f144lsnuntana"/>
    <n v="1149"/>
    <x v="128"/>
    <m/>
  </r>
  <r>
    <s v=""/>
    <s v=""/>
    <m/>
    <n v="37"/>
    <m/>
    <m/>
    <m/>
    <m/>
    <m/>
    <m/>
    <m/>
    <s v="GEL TIZO FANCY S-3 TG30802-F"/>
    <n v="2"/>
    <n v="288"/>
    <s v="LSN"/>
    <n v="18250"/>
    <m/>
    <m/>
    <m/>
    <m/>
    <m/>
    <m/>
    <m/>
    <n v="5256000"/>
    <n v="0"/>
    <n v="0"/>
    <n v="0"/>
    <n v="0"/>
    <n v="5256000"/>
    <m/>
    <s v=""/>
    <s v=""/>
    <n v="2628000"/>
    <n v="5256000"/>
    <x v="14"/>
    <d v="2024-06-13T00:00:00"/>
    <s v="JUF310/24"/>
    <s v="DB STATIONERY"/>
    <x v="1"/>
    <s v=""/>
    <n v="6"/>
    <s v="geltizofancys3tg30802f"/>
    <s v="geltizofancys3tg30802f2628000"/>
    <s v="geltizofancys3tg30802f2628000"/>
    <s v=""/>
    <m/>
    <n v="1168"/>
    <s v=""/>
    <s v="144 LSN"/>
    <s v="geltizofancys3tg30802f144lsnuntana"/>
    <n v="1168"/>
    <x v="129"/>
    <m/>
  </r>
  <r>
    <s v=""/>
    <s v=""/>
    <m/>
    <n v="37"/>
    <m/>
    <m/>
    <m/>
    <m/>
    <m/>
    <m/>
    <m/>
    <s v="GEL TIZO FANCY TG31475-F"/>
    <n v="2"/>
    <n v="288"/>
    <s v="LSN"/>
    <n v="18250"/>
    <m/>
    <m/>
    <m/>
    <m/>
    <m/>
    <m/>
    <m/>
    <n v="5256000"/>
    <n v="0"/>
    <n v="0"/>
    <n v="0"/>
    <n v="0"/>
    <n v="5256000"/>
    <m/>
    <s v=""/>
    <s v=""/>
    <n v="2628000"/>
    <n v="5256000"/>
    <x v="14"/>
    <d v="2024-06-13T00:00:00"/>
    <s v="JUF310/24"/>
    <s v="DB STATIONERY"/>
    <x v="1"/>
    <s v=""/>
    <n v="6"/>
    <s v="geltizofancytg31475f"/>
    <s v="geltizofancytg31475f2628000"/>
    <s v="geltizofancytg31475f2628000"/>
    <s v=""/>
    <m/>
    <n v="1178"/>
    <s v=""/>
    <s v="144 LSN"/>
    <s v="geltizofancytg31475f144lsnuntana"/>
    <n v="1178"/>
    <x v="130"/>
    <m/>
  </r>
  <r>
    <s v=""/>
    <s v=""/>
    <m/>
    <n v="37"/>
    <m/>
    <m/>
    <m/>
    <m/>
    <m/>
    <m/>
    <m/>
    <s v="GEL TIZO FANCY TG30541-F"/>
    <n v="2"/>
    <n v="288"/>
    <s v="LSN"/>
    <n v="18250"/>
    <m/>
    <m/>
    <m/>
    <m/>
    <m/>
    <m/>
    <m/>
    <n v="5256000"/>
    <n v="0"/>
    <n v="0"/>
    <n v="0"/>
    <n v="0"/>
    <n v="5256000"/>
    <m/>
    <s v=""/>
    <s v=""/>
    <n v="2628000"/>
    <n v="5256000"/>
    <x v="14"/>
    <d v="2024-06-13T00:00:00"/>
    <s v="JUF310/24"/>
    <s v="DB STATIONERY"/>
    <x v="1"/>
    <s v=""/>
    <n v="6"/>
    <s v="geltizofancytg30541f"/>
    <s v="geltizofancytg30541f2628000"/>
    <s v="geltizofancytg30541f2628000"/>
    <s v=""/>
    <m/>
    <n v="1155"/>
    <s v=""/>
    <s v="144 LSN"/>
    <s v="geltizofancytg30541f144lsnuntana"/>
    <n v="1155"/>
    <x v="131"/>
    <m/>
  </r>
  <r>
    <s v=""/>
    <s v=""/>
    <m/>
    <n v="37"/>
    <m/>
    <m/>
    <m/>
    <m/>
    <m/>
    <m/>
    <m/>
    <s v="GEL TIZO FANCY TG31035-F"/>
    <n v="2"/>
    <n v="288"/>
    <s v="LSN"/>
    <n v="18250"/>
    <m/>
    <m/>
    <m/>
    <m/>
    <m/>
    <m/>
    <m/>
    <n v="5256000"/>
    <n v="0"/>
    <n v="0"/>
    <n v="0"/>
    <n v="0"/>
    <n v="5256000"/>
    <m/>
    <s v=""/>
    <s v=""/>
    <n v="2628000"/>
    <n v="5256000"/>
    <x v="14"/>
    <d v="2024-06-13T00:00:00"/>
    <s v="JUF310/24"/>
    <s v="DB STATIONERY"/>
    <x v="1"/>
    <s v=""/>
    <n v="6"/>
    <s v="geltizofancytg31035f"/>
    <s v="geltizofancytg31035f2628000"/>
    <s v="geltizofancytg31035f2628000"/>
    <s v=""/>
    <m/>
    <n v="1173"/>
    <s v=""/>
    <s v="144 LSN"/>
    <s v="geltizofancytg31035f144lsnuntana"/>
    <n v="1173"/>
    <x v="132"/>
    <m/>
  </r>
  <r>
    <s v=""/>
    <s v=""/>
    <m/>
    <n v="37"/>
    <m/>
    <m/>
    <m/>
    <m/>
    <m/>
    <m/>
    <m/>
    <s v="GEL TIZO FANCY TG348-F"/>
    <n v="2"/>
    <n v="288"/>
    <s v="LSN"/>
    <n v="18250"/>
    <m/>
    <m/>
    <m/>
    <m/>
    <m/>
    <m/>
    <m/>
    <n v="5256000"/>
    <n v="0"/>
    <n v="0"/>
    <n v="0"/>
    <n v="0"/>
    <n v="5256000"/>
    <m/>
    <s v=""/>
    <s v=""/>
    <n v="2628000"/>
    <n v="5256000"/>
    <x v="14"/>
    <d v="2024-06-13T00:00:00"/>
    <s v="JUF310/24"/>
    <s v="DB STATIONERY"/>
    <x v="1"/>
    <s v=""/>
    <n v="6"/>
    <s v="geltizofancytg348f"/>
    <s v="geltizofancytg348f2628000"/>
    <s v="geltizofancytg348f2628000"/>
    <s v=""/>
    <m/>
    <n v="1200"/>
    <s v=""/>
    <s v="144 LSN"/>
    <s v="geltizofancytg348f144lsnuntana"/>
    <n v="1200"/>
    <x v="133"/>
    <m/>
  </r>
  <r>
    <s v=""/>
    <s v=""/>
    <m/>
    <n v="37"/>
    <m/>
    <m/>
    <m/>
    <m/>
    <m/>
    <m/>
    <m/>
    <s v="GEL TIZO FANCY TG31590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4"/>
    <d v="2024-06-13T00:00:00"/>
    <s v="JUF310/24"/>
    <s v="DB STATIONERY"/>
    <x v="1"/>
    <s v=""/>
    <n v="6"/>
    <s v="geltizofancytg31590f"/>
    <s v="geltizofancytg31590f2628000"/>
    <s v="geltizofancytg31590f2628000"/>
    <s v=""/>
    <m/>
    <n v="1181"/>
    <s v=""/>
    <s v="144 LSN"/>
    <s v="geltizofancytg31590f144lsnuntana"/>
    <n v="1181"/>
    <x v="134"/>
    <m/>
  </r>
  <r>
    <s v=""/>
    <s v=""/>
    <m/>
    <n v="37"/>
    <m/>
    <m/>
    <m/>
    <m/>
    <m/>
    <m/>
    <m/>
    <s v="GEL TIZO FANCY TG31763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4"/>
    <d v="2024-06-13T00:00:00"/>
    <s v="JUF310/24"/>
    <s v="DB STATIONERY"/>
    <x v="1"/>
    <s v=""/>
    <n v="6"/>
    <s v="geltizofancytg31763f"/>
    <s v="geltizofancytg31763f2628000"/>
    <s v="geltizofancytg31763f2628000"/>
    <s v=""/>
    <m/>
    <n v="1231"/>
    <s v=""/>
    <s v="144 LSN"/>
    <s v="geltizofancytg31763f144lsnuntana"/>
    <n v="1231"/>
    <x v="135"/>
    <m/>
  </r>
  <r>
    <s v=""/>
    <s v=""/>
    <m/>
    <n v="37"/>
    <m/>
    <m/>
    <m/>
    <m/>
    <m/>
    <m/>
    <m/>
    <s v="GEL TIZO FANCY TG31975-F"/>
    <n v="1"/>
    <n v="144"/>
    <s v="LSN"/>
    <n v="18250"/>
    <m/>
    <m/>
    <m/>
    <m/>
    <m/>
    <m/>
    <m/>
    <n v="2628000"/>
    <n v="0"/>
    <n v="0"/>
    <n v="0"/>
    <n v="0"/>
    <n v="2628000"/>
    <m/>
    <n v="0"/>
    <n v="49116000"/>
    <n v="2628000"/>
    <n v="2628000"/>
    <x v="14"/>
    <d v="2024-06-13T00:00:00"/>
    <s v="JUF310/24"/>
    <s v="DB STATIONERY"/>
    <x v="1"/>
    <s v=""/>
    <n v="6"/>
    <s v="geltizofancytg31975f"/>
    <s v="geltizofancytg31975f2628000"/>
    <s v="geltizofancytg31975f2628000"/>
    <s v=""/>
    <m/>
    <n v="1196"/>
    <s v=""/>
    <s v="144 LSN"/>
    <s v="geltizofancytg31975f144lsnuntana"/>
    <n v="1196"/>
    <x v="136"/>
    <m/>
  </r>
  <r>
    <s v=""/>
    <m/>
    <m/>
    <m/>
    <m/>
    <m/>
    <m/>
    <m/>
    <m/>
    <m/>
    <m/>
    <m/>
    <m/>
    <m/>
    <m/>
    <m/>
    <m/>
    <m/>
    <m/>
    <m/>
    <m/>
    <m/>
    <s v="BONUS"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8"/>
    <s v="DBS_1806_924-15"/>
    <m/>
    <n v="38"/>
    <m/>
    <s v="DB STATIONERY"/>
    <s v="UNTANA"/>
    <s v="JUF309/24"/>
    <m/>
    <d v="2024-06-13T00:00:00"/>
    <m/>
    <s v="MEK PENSIL TIZO G-9001A"/>
    <n v="2"/>
    <n v="288"/>
    <s v="LSN"/>
    <n v="13250"/>
    <m/>
    <m/>
    <m/>
    <m/>
    <m/>
    <m/>
    <m/>
    <n v="3816000"/>
    <n v="0"/>
    <n v="0"/>
    <n v="0"/>
    <n v="0"/>
    <n v="3816000"/>
    <m/>
    <s v=""/>
    <s v=""/>
    <n v="1908000"/>
    <n v="3816000"/>
    <x v="14"/>
    <d v="2024-06-13T00:00:00"/>
    <s v="JUF309/24"/>
    <s v="DB STATIONERY"/>
    <x v="1"/>
    <n v="15"/>
    <n v="6"/>
    <s v="mekpensiltizog9001a"/>
    <s v="mekpensiltizog9001a1908000"/>
    <s v="mekpensiltizog9001a1908000"/>
    <s v="DB STATIONERYUNTANAJUF309/2445456mekpensiltizog9001a"/>
    <m/>
    <n v="2160"/>
    <s v=""/>
    <s v="144 LSN"/>
    <s v="mekpensiltizog9001a144lsnuntana"/>
    <n v="2160"/>
    <x v="137"/>
    <m/>
  </r>
  <r>
    <s v=""/>
    <s v=""/>
    <m/>
    <n v="38"/>
    <m/>
    <m/>
    <m/>
    <m/>
    <m/>
    <m/>
    <m/>
    <s v="MEK TIZO G9005A"/>
    <n v="2"/>
    <n v="288"/>
    <s v="LSN"/>
    <n v="13250"/>
    <m/>
    <m/>
    <m/>
    <m/>
    <m/>
    <m/>
    <m/>
    <n v="3816000"/>
    <n v="0"/>
    <n v="0"/>
    <n v="0"/>
    <n v="0"/>
    <n v="3816000"/>
    <m/>
    <s v=""/>
    <s v=""/>
    <n v="1908000"/>
    <n v="3816000"/>
    <x v="14"/>
    <d v="2024-06-13T00:00:00"/>
    <s v="JUF309/24"/>
    <s v="DB STATIONERY"/>
    <x v="1"/>
    <s v=""/>
    <n v="6"/>
    <s v="mektizog9005a"/>
    <s v="mektizog9005a1908000"/>
    <s v="mektizog9005a1908000"/>
    <s v=""/>
    <m/>
    <n v="3368"/>
    <s v=""/>
    <s v="144 LSN"/>
    <s v="mektizog9005a144lsnuntana"/>
    <n v="3368"/>
    <x v="138"/>
    <m/>
  </r>
  <r>
    <s v=""/>
    <s v=""/>
    <m/>
    <n v="38"/>
    <m/>
    <m/>
    <m/>
    <m/>
    <m/>
    <m/>
    <m/>
    <s v="MEK PENSIL TIZO G9006A"/>
    <n v="2"/>
    <n v="288"/>
    <s v="LSN"/>
    <n v="13250"/>
    <m/>
    <m/>
    <m/>
    <m/>
    <m/>
    <m/>
    <m/>
    <n v="3816000"/>
    <n v="0"/>
    <n v="0"/>
    <n v="0"/>
    <n v="0"/>
    <n v="3816000"/>
    <m/>
    <s v=""/>
    <s v=""/>
    <n v="1908000"/>
    <n v="3816000"/>
    <x v="14"/>
    <d v="2024-06-13T00:00:00"/>
    <s v="JUF309/24"/>
    <s v="DB STATIONERY"/>
    <x v="1"/>
    <s v=""/>
    <n v="6"/>
    <s v="mekpensiltizog9006a"/>
    <s v="mekpensiltizog9006a1908000"/>
    <s v="mekpensiltizog9006a1908000"/>
    <s v=""/>
    <m/>
    <n v="3369"/>
    <s v=""/>
    <s v="144 LSN"/>
    <s v="mekpensiltizog9006a144lsnuntana"/>
    <n v="3369"/>
    <x v="139"/>
    <m/>
  </r>
  <r>
    <s v=""/>
    <s v=""/>
    <m/>
    <n v="38"/>
    <m/>
    <m/>
    <m/>
    <m/>
    <m/>
    <m/>
    <m/>
    <s v="MEK PENSIL TIZO G9007A"/>
    <n v="2"/>
    <n v="288"/>
    <s v="LSN"/>
    <n v="13250"/>
    <m/>
    <m/>
    <m/>
    <m/>
    <m/>
    <m/>
    <m/>
    <n v="3816000"/>
    <n v="0"/>
    <n v="0"/>
    <n v="0"/>
    <n v="0"/>
    <n v="3816000"/>
    <m/>
    <s v=""/>
    <s v=""/>
    <n v="1908000"/>
    <n v="3816000"/>
    <x v="14"/>
    <d v="2024-06-13T00:00:00"/>
    <s v="JUF309/24"/>
    <s v="DB STATIONERY"/>
    <x v="1"/>
    <s v=""/>
    <n v="6"/>
    <s v="mekpensiltizog9007a"/>
    <s v="mekpensiltizog9007a1908000"/>
    <s v="mekpensiltizog9007a1908000"/>
    <s v=""/>
    <m/>
    <n v="3370"/>
    <s v=""/>
    <s v="144 LSN"/>
    <s v="mekpensiltizog9007a144lsnuntana"/>
    <n v="3370"/>
    <x v="140"/>
    <m/>
  </r>
  <r>
    <s v=""/>
    <s v=""/>
    <m/>
    <n v="38"/>
    <m/>
    <m/>
    <m/>
    <m/>
    <m/>
    <m/>
    <m/>
    <s v="MEK PENSIL TIZO G9008A"/>
    <n v="2"/>
    <n v="288"/>
    <s v="LSN"/>
    <n v="13250"/>
    <m/>
    <m/>
    <m/>
    <m/>
    <m/>
    <m/>
    <m/>
    <n v="3816000"/>
    <n v="0"/>
    <n v="0"/>
    <n v="0"/>
    <n v="0"/>
    <n v="3816000"/>
    <m/>
    <s v=""/>
    <s v=""/>
    <n v="1908000"/>
    <n v="3816000"/>
    <x v="14"/>
    <d v="2024-06-13T00:00:00"/>
    <s v="JUF309/24"/>
    <s v="DB STATIONERY"/>
    <x v="1"/>
    <s v=""/>
    <n v="6"/>
    <s v="mekpensiltizog9008a"/>
    <s v="mekpensiltizog9008a1908000"/>
    <s v="mekpensiltizog9008a1908000"/>
    <s v=""/>
    <m/>
    <n v="3371"/>
    <s v=""/>
    <s v="144 LSN"/>
    <s v="mekpensiltizog9008a144lsnuntana"/>
    <n v="3371"/>
    <x v="141"/>
    <m/>
  </r>
  <r>
    <s v=""/>
    <s v=""/>
    <m/>
    <n v="38"/>
    <m/>
    <m/>
    <m/>
    <m/>
    <m/>
    <m/>
    <m/>
    <s v="MEK PENSIL TIZO G9009A"/>
    <n v="2"/>
    <n v="288"/>
    <s v="LSN"/>
    <n v="13250"/>
    <m/>
    <m/>
    <m/>
    <m/>
    <m/>
    <m/>
    <m/>
    <n v="3816000"/>
    <n v="0"/>
    <n v="0"/>
    <n v="0"/>
    <n v="0"/>
    <n v="3816000"/>
    <m/>
    <s v=""/>
    <s v=""/>
    <n v="1908000"/>
    <n v="3816000"/>
    <x v="14"/>
    <d v="2024-06-13T00:00:00"/>
    <s v="JUF309/24"/>
    <s v="DB STATIONERY"/>
    <x v="1"/>
    <s v=""/>
    <n v="6"/>
    <s v="mekpensiltizog9009a"/>
    <s v="mekpensiltizog9009a1908000"/>
    <s v="mekpensiltizog9009a1908000"/>
    <s v=""/>
    <m/>
    <n v="3372"/>
    <s v=""/>
    <s v="144 LSN"/>
    <s v="mekpensiltizog9009a144lsnuntana"/>
    <n v="3372"/>
    <x v="142"/>
    <m/>
  </r>
  <r>
    <s v=""/>
    <s v=""/>
    <m/>
    <n v="38"/>
    <m/>
    <m/>
    <m/>
    <m/>
    <m/>
    <m/>
    <m/>
    <s v="MEKANIK TIZI 24PCS G09261"/>
    <n v="1"/>
    <n v="72"/>
    <s v="PAK"/>
    <n v="26500"/>
    <m/>
    <m/>
    <m/>
    <m/>
    <m/>
    <m/>
    <m/>
    <n v="1908000"/>
    <n v="0"/>
    <n v="0"/>
    <n v="0"/>
    <n v="0"/>
    <n v="1908000"/>
    <m/>
    <s v=""/>
    <s v=""/>
    <n v="1908000"/>
    <n v="1908000"/>
    <x v="14"/>
    <d v="2024-06-13T00:00:00"/>
    <s v="JUF309/24"/>
    <s v="DB STATIONERY"/>
    <x v="1"/>
    <s v=""/>
    <n v="6"/>
    <s v="mekaniktizi24pcsg09261"/>
    <s v="mekaniktizi24pcsg092611908000"/>
    <s v="mekaniktizi24pcsg092611908000"/>
    <s v=""/>
    <m/>
    <e v="#N/A"/>
    <s v=""/>
    <e v="#N/A"/>
    <e v="#N/A"/>
    <e v="#N/A"/>
    <x v="143"/>
    <m/>
  </r>
  <r>
    <s v=""/>
    <s v=""/>
    <m/>
    <n v="38"/>
    <m/>
    <m/>
    <m/>
    <m/>
    <m/>
    <m/>
    <m/>
    <s v="P MEK TIZI 24 PCS  G09302"/>
    <n v="1"/>
    <n v="72"/>
    <s v="PAK"/>
    <n v="26500"/>
    <m/>
    <m/>
    <m/>
    <m/>
    <m/>
    <m/>
    <m/>
    <n v="1908000"/>
    <n v="0"/>
    <n v="0"/>
    <n v="0"/>
    <n v="0"/>
    <n v="1908000"/>
    <m/>
    <s v=""/>
    <s v=""/>
    <n v="1908000"/>
    <n v="1908000"/>
    <x v="14"/>
    <d v="2024-06-13T00:00:00"/>
    <s v="JUF309/24"/>
    <s v="DB STATIONERY"/>
    <x v="1"/>
    <s v=""/>
    <n v="6"/>
    <s v="pmektizi24pcsg09302"/>
    <s v="pmektizi24pcsg093021908000"/>
    <s v="pmektizi24pcsg093021908000"/>
    <s v=""/>
    <m/>
    <n v="2175"/>
    <s v=""/>
    <s v="72 PAK"/>
    <s v="pmektizi24pcsg0930272pakuntana"/>
    <n v="2175"/>
    <x v="144"/>
    <m/>
  </r>
  <r>
    <s v=""/>
    <s v=""/>
    <m/>
    <n v="38"/>
    <m/>
    <m/>
    <m/>
    <m/>
    <m/>
    <m/>
    <m/>
    <s v="MEK PENSIL TIZI 24PCS G09305"/>
    <n v="1"/>
    <n v="72"/>
    <s v="PAK"/>
    <n v="26500"/>
    <m/>
    <m/>
    <m/>
    <m/>
    <m/>
    <m/>
    <m/>
    <n v="1908000"/>
    <n v="0"/>
    <n v="0"/>
    <n v="0"/>
    <n v="0"/>
    <n v="1908000"/>
    <m/>
    <s v=""/>
    <s v=""/>
    <n v="1908000"/>
    <n v="1908000"/>
    <x v="14"/>
    <d v="2024-06-13T00:00:00"/>
    <s v="JUF309/24"/>
    <s v="DB STATIONERY"/>
    <x v="1"/>
    <s v=""/>
    <n v="6"/>
    <s v="mekpensiltizi24pcsg09305"/>
    <s v="mekpensiltizi24pcsg093051908000"/>
    <s v="mekpensiltizi24pcsg093051908000"/>
    <s v=""/>
    <m/>
    <n v="3376"/>
    <s v=""/>
    <s v="72 PCS"/>
    <s v="mekpensiltizi24pcsg0930572pcsuntana"/>
    <n v="3376"/>
    <x v="145"/>
    <m/>
  </r>
  <r>
    <s v=""/>
    <s v=""/>
    <m/>
    <n v="38"/>
    <m/>
    <m/>
    <m/>
    <m/>
    <m/>
    <m/>
    <m/>
    <s v="MEK PENSIL 24PCS G09308"/>
    <n v="1"/>
    <n v="72"/>
    <s v="PAK"/>
    <n v="26500"/>
    <m/>
    <m/>
    <m/>
    <m/>
    <m/>
    <m/>
    <m/>
    <n v="1908000"/>
    <n v="0"/>
    <n v="0"/>
    <n v="0"/>
    <n v="0"/>
    <n v="1908000"/>
    <m/>
    <s v=""/>
    <s v=""/>
    <n v="1908000"/>
    <n v="1908000"/>
    <x v="14"/>
    <d v="2024-06-13T00:00:00"/>
    <s v="JUF309/24"/>
    <s v="DB STATIONERY"/>
    <x v="1"/>
    <s v=""/>
    <n v="6"/>
    <s v="mekpensil24pcsg09308"/>
    <s v="mekpensil24pcsg093081908000"/>
    <s v="mekpensil24pcsg093081908000"/>
    <s v=""/>
    <m/>
    <n v="2152"/>
    <s v=""/>
    <s v="72 PCS"/>
    <s v="mekpensil24pcsg0930872pcsuntana"/>
    <n v="2152"/>
    <x v="146"/>
    <m/>
  </r>
  <r>
    <s v=""/>
    <s v=""/>
    <m/>
    <n v="38"/>
    <m/>
    <m/>
    <m/>
    <m/>
    <m/>
    <m/>
    <m/>
    <s v="MEK PENSIL TIZI 24PCS G09310"/>
    <n v="1"/>
    <n v="72"/>
    <s v="PAK"/>
    <n v="26500"/>
    <m/>
    <m/>
    <m/>
    <m/>
    <m/>
    <m/>
    <m/>
    <n v="1908000"/>
    <n v="0"/>
    <n v="0"/>
    <n v="0"/>
    <n v="0"/>
    <n v="1908000"/>
    <m/>
    <s v=""/>
    <s v=""/>
    <n v="1908000"/>
    <n v="1908000"/>
    <x v="14"/>
    <d v="2024-06-13T00:00:00"/>
    <s v="JUF309/24"/>
    <s v="DB STATIONERY"/>
    <x v="1"/>
    <s v=""/>
    <n v="6"/>
    <s v="mekpensiltizi24pcsg09310"/>
    <s v="mekpensiltizi24pcsg093101908000"/>
    <s v="mekpensiltizi24pcsg093101908000"/>
    <s v=""/>
    <m/>
    <n v="3377"/>
    <s v=""/>
    <s v="72 PCS"/>
    <s v="mekpensiltizi24pcsg0931072pcsuntana"/>
    <n v="3377"/>
    <x v="147"/>
    <m/>
  </r>
  <r>
    <s v=""/>
    <s v=""/>
    <m/>
    <n v="38"/>
    <m/>
    <m/>
    <m/>
    <m/>
    <m/>
    <m/>
    <m/>
    <s v="MEP PENSIL TIZI 24PCS G09312"/>
    <n v="1"/>
    <n v="72"/>
    <s v="PAK"/>
    <n v="26500"/>
    <m/>
    <m/>
    <m/>
    <m/>
    <m/>
    <m/>
    <m/>
    <n v="1908000"/>
    <n v="0"/>
    <n v="0"/>
    <n v="0"/>
    <n v="0"/>
    <n v="1908000"/>
    <m/>
    <s v=""/>
    <s v=""/>
    <n v="1908000"/>
    <n v="1908000"/>
    <x v="14"/>
    <d v="2024-06-13T00:00:00"/>
    <s v="JUF309/24"/>
    <s v="DB STATIONERY"/>
    <x v="1"/>
    <s v=""/>
    <n v="6"/>
    <s v="meppensiltizi24pcsg09312"/>
    <s v="meppensiltizi24pcsg093121908000"/>
    <s v="meppensiltizi24pcsg093121908000"/>
    <s v=""/>
    <m/>
    <n v="2176"/>
    <s v=""/>
    <s v="72 PAK"/>
    <s v="meppensiltizi24pcsg0931272pakuntana"/>
    <n v="2176"/>
    <x v="148"/>
    <m/>
  </r>
  <r>
    <s v=""/>
    <s v=""/>
    <m/>
    <n v="38"/>
    <m/>
    <m/>
    <m/>
    <m/>
    <m/>
    <m/>
    <m/>
    <s v="MEK PENSIL 24PCS G09301"/>
    <n v="1"/>
    <n v="72"/>
    <s v="PAK"/>
    <n v="26500"/>
    <m/>
    <m/>
    <m/>
    <m/>
    <m/>
    <m/>
    <m/>
    <n v="1908000"/>
    <n v="0"/>
    <n v="0"/>
    <n v="0"/>
    <n v="0"/>
    <n v="1908000"/>
    <m/>
    <s v=""/>
    <s v=""/>
    <n v="1908000"/>
    <n v="1908000"/>
    <x v="14"/>
    <d v="2024-06-13T00:00:00"/>
    <s v="JUF309/24"/>
    <s v="DB STATIONERY"/>
    <x v="1"/>
    <s v=""/>
    <n v="6"/>
    <s v="mekpensil24pcsg09301"/>
    <s v="mekpensil24pcsg093011908000"/>
    <s v="mekpensil24pcsg093011908000"/>
    <s v=""/>
    <m/>
    <n v="2177"/>
    <s v=""/>
    <s v="72 PAK"/>
    <s v="mekpensil24pcsg0930172pakuntana"/>
    <n v="2177"/>
    <x v="149"/>
    <m/>
  </r>
  <r>
    <s v=""/>
    <s v=""/>
    <m/>
    <n v="38"/>
    <m/>
    <m/>
    <m/>
    <m/>
    <m/>
    <m/>
    <m/>
    <s v="MEK PRNSIL 24PCS G09309"/>
    <n v="1"/>
    <n v="72"/>
    <s v="PAK"/>
    <n v="26500"/>
    <m/>
    <m/>
    <m/>
    <m/>
    <m/>
    <m/>
    <m/>
    <n v="1908000"/>
    <n v="0"/>
    <n v="0"/>
    <n v="0"/>
    <n v="0"/>
    <n v="1908000"/>
    <m/>
    <s v=""/>
    <s v=""/>
    <n v="1908000"/>
    <n v="1908000"/>
    <x v="14"/>
    <d v="2024-06-13T00:00:00"/>
    <s v="JUF309/24"/>
    <s v="DB STATIONERY"/>
    <x v="1"/>
    <s v=""/>
    <n v="6"/>
    <s v="mekprnsil24pcsg09309"/>
    <s v="mekprnsil24pcsg093091908000"/>
    <s v="mekprnsil24pcsg093091908000"/>
    <s v=""/>
    <m/>
    <n v="2178"/>
    <s v=""/>
    <s v="72 PAK"/>
    <s v="mekprnsil24pcsg0930972pakuntana"/>
    <n v="2178"/>
    <x v="150"/>
    <m/>
  </r>
  <r>
    <s v=""/>
    <s v=""/>
    <m/>
    <n v="38"/>
    <m/>
    <m/>
    <m/>
    <m/>
    <m/>
    <m/>
    <m/>
    <s v="MEK PENSIL TIZO G9000A"/>
    <n v="2"/>
    <n v="288"/>
    <s v="LSN"/>
    <n v="13250"/>
    <m/>
    <m/>
    <m/>
    <m/>
    <m/>
    <m/>
    <m/>
    <n v="3816000"/>
    <n v="0"/>
    <n v="0"/>
    <n v="0"/>
    <n v="0"/>
    <n v="3816000"/>
    <m/>
    <n v="0"/>
    <n v="41976000"/>
    <n v="1908000"/>
    <n v="3816000"/>
    <x v="14"/>
    <d v="2024-06-13T00:00:00"/>
    <s v="JUF309/24"/>
    <s v="DB STATIONERY"/>
    <x v="1"/>
    <s v=""/>
    <n v="6"/>
    <s v="mekpensiltizog9000a"/>
    <s v="mekpensiltizog9000a1908000"/>
    <s v="mekpensiltizog9000a1908000"/>
    <s v=""/>
    <m/>
    <n v="2159"/>
    <s v=""/>
    <s v="144 LSN"/>
    <s v="mekpensiltizog9000a144lsnuntana"/>
    <n v="2159"/>
    <x v="151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9"/>
    <s v="DBS_1806_824-16"/>
    <m/>
    <n v="39"/>
    <m/>
    <s v="DB STATIONERY"/>
    <s v="UNTANA"/>
    <s v="JUF308/24"/>
    <m/>
    <d v="2024-06-13T00:00:00"/>
    <m/>
    <s v="GEL INK TIANJIAO BIRU TZ-501B"/>
    <n v="5"/>
    <n v="720"/>
    <s v="LSN"/>
    <n v="22500"/>
    <m/>
    <m/>
    <m/>
    <m/>
    <m/>
    <m/>
    <m/>
    <n v="16200000"/>
    <n v="0"/>
    <n v="0"/>
    <n v="0"/>
    <n v="0"/>
    <n v="16200000"/>
    <m/>
    <s v=""/>
    <s v=""/>
    <n v="3240000"/>
    <n v="16200000"/>
    <x v="14"/>
    <d v="2024-06-13T00:00:00"/>
    <s v="JUF308/24"/>
    <s v="DB STATIONERY"/>
    <x v="1"/>
    <n v="16"/>
    <n v="6"/>
    <s v="gelinktianjiaobirutz501b"/>
    <s v="gelinktianjiaobirutz501b3240000"/>
    <s v="gelinktianjiaobirutz501b3240000"/>
    <s v="DB STATIONERYUNTANAJUF308/2445456gelinktianjiaobirutz501b"/>
    <m/>
    <n v="1053"/>
    <s v=""/>
    <s v="144 LSN"/>
    <s v="gelinktianjiaobirutz501b144lsnuntana"/>
    <n v="1053"/>
    <x v="152"/>
    <m/>
  </r>
  <r>
    <s v=""/>
    <s v=""/>
    <m/>
    <n v="39"/>
    <m/>
    <m/>
    <m/>
    <m/>
    <m/>
    <m/>
    <m/>
    <s v="GEL TIZO RETRC 0.5 TG690"/>
    <n v="1"/>
    <n v="72"/>
    <s v="LSN"/>
    <n v="41000"/>
    <m/>
    <m/>
    <m/>
    <m/>
    <m/>
    <m/>
    <m/>
    <n v="2952000"/>
    <n v="0"/>
    <n v="0"/>
    <n v="0"/>
    <n v="0"/>
    <n v="2952000"/>
    <m/>
    <s v=""/>
    <s v=""/>
    <n v="2952000"/>
    <n v="2952000"/>
    <x v="14"/>
    <d v="2024-06-13T00:00:00"/>
    <s v="JUF308/24"/>
    <s v="DB STATIONERY"/>
    <x v="1"/>
    <s v=""/>
    <n v="6"/>
    <s v="geltizoretrc05tg690"/>
    <s v="geltizoretrc05tg6902952000"/>
    <s v="geltizoretrc05tg6902952000"/>
    <s v=""/>
    <m/>
    <n v="1245"/>
    <s v=""/>
    <s v="72 LSN"/>
    <s v="geltizoretrc05tg69072lsnuntana"/>
    <n v="1245"/>
    <x v="153"/>
    <m/>
  </r>
  <r>
    <s v=""/>
    <s v=""/>
    <m/>
    <n v="39"/>
    <m/>
    <m/>
    <m/>
    <m/>
    <m/>
    <m/>
    <m/>
    <s v="GEL TIZO 1.0 TG630-A"/>
    <n v="1"/>
    <n v="72"/>
    <s v="LSN"/>
    <n v="43500"/>
    <m/>
    <m/>
    <m/>
    <m/>
    <m/>
    <m/>
    <m/>
    <n v="3132000"/>
    <n v="0"/>
    <n v="0"/>
    <n v="0"/>
    <n v="0"/>
    <n v="3132000"/>
    <m/>
    <s v=""/>
    <s v=""/>
    <n v="3132000"/>
    <n v="3132000"/>
    <x v="14"/>
    <d v="2024-06-13T00:00:00"/>
    <s v="JUF308/24"/>
    <s v="DB STATIONERY"/>
    <x v="1"/>
    <s v=""/>
    <n v="6"/>
    <s v="geltizo10tg630a"/>
    <s v="geltizo10tg630a3132000"/>
    <s v="geltizo10tg630a3132000"/>
    <s v=""/>
    <m/>
    <n v="1247"/>
    <s v=""/>
    <s v="72 LSN"/>
    <s v="geltizo10tg630a72lsnuntana"/>
    <n v="1247"/>
    <x v="154"/>
    <m/>
  </r>
  <r>
    <s v=""/>
    <s v=""/>
    <m/>
    <n v="39"/>
    <m/>
    <m/>
    <m/>
    <m/>
    <m/>
    <m/>
    <m/>
    <s v="GEL TIZO TG31060"/>
    <n v="2"/>
    <n v="288"/>
    <s v="LSN"/>
    <n v="29500"/>
    <m/>
    <m/>
    <m/>
    <m/>
    <m/>
    <m/>
    <m/>
    <n v="8496000"/>
    <n v="0"/>
    <n v="0"/>
    <n v="0"/>
    <n v="0"/>
    <n v="8496000"/>
    <m/>
    <s v=""/>
    <s v=""/>
    <n v="4248000"/>
    <n v="8496000"/>
    <x v="14"/>
    <d v="2024-06-13T00:00:00"/>
    <s v="JUF308/24"/>
    <s v="DB STATIONERY"/>
    <x v="1"/>
    <s v=""/>
    <n v="6"/>
    <s v="geltizotg31060"/>
    <s v="geltizotg310604248000"/>
    <s v="geltizotg310604248000"/>
    <s v=""/>
    <m/>
    <n v="1253"/>
    <s v=""/>
    <s v="144 LSN"/>
    <s v="geltizotg31060144lsnuntana"/>
    <e v="#N/A"/>
    <x v="155"/>
    <m/>
  </r>
  <r>
    <s v=""/>
    <s v=""/>
    <m/>
    <n v="39"/>
    <m/>
    <m/>
    <m/>
    <m/>
    <m/>
    <m/>
    <m/>
    <s v="SEMI GEL TIZO TB-SG09"/>
    <n v="2"/>
    <n v="288"/>
    <s v="LSN"/>
    <n v="10000"/>
    <m/>
    <m/>
    <m/>
    <m/>
    <m/>
    <m/>
    <m/>
    <n v="2880000"/>
    <n v="0"/>
    <n v="0"/>
    <n v="0"/>
    <n v="0"/>
    <n v="2880000"/>
    <m/>
    <s v=""/>
    <s v=""/>
    <n v="1440000"/>
    <n v="2880000"/>
    <x v="14"/>
    <d v="2024-06-13T00:00:00"/>
    <s v="JUF308/24"/>
    <s v="DB STATIONERY"/>
    <x v="1"/>
    <s v=""/>
    <n v="6"/>
    <s v="semigeltizotbsg09"/>
    <s v="semigeltizotbsg091440000"/>
    <s v="semigeltizotbsg091440000"/>
    <s v=""/>
    <m/>
    <n v="2859"/>
    <s v=""/>
    <s v="144 LSN"/>
    <s v="semigeltizotbsg09144lsnuntana"/>
    <n v="2859"/>
    <x v="156"/>
    <m/>
  </r>
  <r>
    <s v=""/>
    <s v=""/>
    <m/>
    <n v="39"/>
    <m/>
    <m/>
    <m/>
    <m/>
    <m/>
    <m/>
    <m/>
    <s v="GEL PEN WEIYADA E681"/>
    <n v="2"/>
    <n v="192"/>
    <s v="LSN"/>
    <n v="37500"/>
    <m/>
    <m/>
    <m/>
    <m/>
    <m/>
    <m/>
    <m/>
    <n v="7200000"/>
    <n v="0"/>
    <n v="0"/>
    <n v="0"/>
    <n v="0"/>
    <n v="7200000"/>
    <m/>
    <s v=""/>
    <s v=""/>
    <n v="3600000"/>
    <n v="7200000"/>
    <x v="14"/>
    <d v="2024-06-13T00:00:00"/>
    <s v="JUF308/24"/>
    <s v="DB STATIONERY"/>
    <x v="1"/>
    <s v=""/>
    <n v="6"/>
    <s v="gelpenweiyadae681"/>
    <s v="gelpenweiyadae6813600000"/>
    <s v="gelpenweiyadae6813600000"/>
    <s v=""/>
    <m/>
    <n v="1128"/>
    <s v=""/>
    <s v="96 LSN"/>
    <s v="gelpenweiyadae68196lsnuntana"/>
    <n v="1128"/>
    <x v="157"/>
    <m/>
  </r>
  <r>
    <s v=""/>
    <s v=""/>
    <m/>
    <n v="39"/>
    <m/>
    <m/>
    <m/>
    <m/>
    <m/>
    <m/>
    <m/>
    <s v="MEKANIK 2.0MM TM030-B"/>
    <n v="5"/>
    <n v="480"/>
    <s v="LSN"/>
    <n v="29000"/>
    <m/>
    <m/>
    <m/>
    <m/>
    <m/>
    <m/>
    <m/>
    <n v="13920000"/>
    <n v="0"/>
    <n v="0"/>
    <n v="0"/>
    <n v="0"/>
    <n v="13920000"/>
    <m/>
    <s v=""/>
    <s v=""/>
    <n v="2784000"/>
    <n v="13920000"/>
    <x v="14"/>
    <d v="2024-06-13T00:00:00"/>
    <s v="JUF308/24"/>
    <s v="DB STATIONERY"/>
    <x v="1"/>
    <s v=""/>
    <n v="6"/>
    <s v="mekanik20mmtm030b"/>
    <s v="mekanik20mmtm030b2784000"/>
    <s v="mekanik20mmtm030b2784000"/>
    <s v=""/>
    <m/>
    <n v="2192"/>
    <s v=""/>
    <s v="96 LSN"/>
    <s v="mekanik20mmtm030b96lsnuntana"/>
    <n v="2192"/>
    <x v="158"/>
    <m/>
  </r>
  <r>
    <s v=""/>
    <s v=""/>
    <m/>
    <n v="39"/>
    <m/>
    <m/>
    <m/>
    <m/>
    <m/>
    <m/>
    <m/>
    <s v="MEK PENSIL 2.0 TIZO TM 030A-2"/>
    <n v="2"/>
    <n v="192"/>
    <s v="LSN"/>
    <n v="29000"/>
    <m/>
    <m/>
    <m/>
    <m/>
    <m/>
    <m/>
    <m/>
    <n v="5568000"/>
    <n v="0"/>
    <n v="0"/>
    <n v="0"/>
    <n v="0"/>
    <n v="5568000"/>
    <m/>
    <s v=""/>
    <s v=""/>
    <n v="2784000"/>
    <n v="5568000"/>
    <x v="14"/>
    <d v="2024-06-13T00:00:00"/>
    <s v="JUF308/24"/>
    <s v="DB STATIONERY"/>
    <x v="1"/>
    <s v=""/>
    <n v="6"/>
    <s v="mekpensil20tizotm030a2"/>
    <s v="mekpensil20tizotm030a22784000"/>
    <s v="mekpensil20tizotm030a22784000"/>
    <s v=""/>
    <m/>
    <n v="2170"/>
    <s v=""/>
    <s v="96 LSN"/>
    <s v="mekpensil20tizotm030a296lsnuntana"/>
    <n v="2170"/>
    <x v="159"/>
    <m/>
  </r>
  <r>
    <s v=""/>
    <s v=""/>
    <m/>
    <n v="39"/>
    <m/>
    <m/>
    <m/>
    <m/>
    <m/>
    <m/>
    <m/>
    <s v="MEK PENSIL 2.0  TM01800"/>
    <n v="2"/>
    <n v="192"/>
    <s v="LSN"/>
    <n v="29000"/>
    <m/>
    <m/>
    <m/>
    <m/>
    <m/>
    <m/>
    <m/>
    <n v="5568000"/>
    <n v="0"/>
    <n v="0"/>
    <n v="0"/>
    <n v="0"/>
    <n v="5568000"/>
    <m/>
    <s v=""/>
    <s v=""/>
    <n v="2784000"/>
    <n v="5568000"/>
    <x v="14"/>
    <d v="2024-06-13T00:00:00"/>
    <s v="JUF308/24"/>
    <s v="DB STATIONERY"/>
    <x v="1"/>
    <s v=""/>
    <n v="6"/>
    <s v="mekpensil20tm01800"/>
    <s v="mekpensil20tm018002784000"/>
    <s v="mekpensil20tm018002784000"/>
    <s v=""/>
    <m/>
    <n v="2151"/>
    <s v=""/>
    <s v="96 LSN"/>
    <s v="mekpensil20tm0180096lsnuntana"/>
    <n v="2151"/>
    <x v="160"/>
    <m/>
  </r>
  <r>
    <s v=""/>
    <s v=""/>
    <m/>
    <n v="39"/>
    <m/>
    <m/>
    <m/>
    <m/>
    <m/>
    <m/>
    <m/>
    <s v="MEK PENSIL 2.0 TIZO TM030A-1"/>
    <n v="1"/>
    <n v="96"/>
    <s v="LSN"/>
    <n v="29000"/>
    <m/>
    <m/>
    <m/>
    <m/>
    <m/>
    <m/>
    <m/>
    <n v="2784000"/>
    <n v="0"/>
    <n v="0"/>
    <n v="0"/>
    <n v="0"/>
    <n v="2784000"/>
    <m/>
    <s v=""/>
    <s v=""/>
    <n v="2784000"/>
    <n v="2784000"/>
    <x v="14"/>
    <d v="2024-06-13T00:00:00"/>
    <s v="JUF308/24"/>
    <s v="DB STATIONERY"/>
    <x v="1"/>
    <s v=""/>
    <n v="6"/>
    <s v="mekpensil20tizotm030a1"/>
    <s v="mekpensil20tizotm030a12784000"/>
    <s v="mekpensil20tizotm030a12784000"/>
    <s v=""/>
    <m/>
    <n v="2169"/>
    <s v=""/>
    <s v="96 LSN"/>
    <s v="mekpensil20tizotm030a196lsnuntana"/>
    <n v="2169"/>
    <x v="161"/>
    <m/>
  </r>
  <r>
    <s v=""/>
    <s v=""/>
    <m/>
    <n v="39"/>
    <m/>
    <m/>
    <m/>
    <m/>
    <m/>
    <m/>
    <m/>
    <s v="MEK PENSIL 2.0 TIZO TM02930"/>
    <n v="1"/>
    <n v="144"/>
    <s v="LSN"/>
    <n v="23000"/>
    <m/>
    <m/>
    <m/>
    <m/>
    <m/>
    <m/>
    <m/>
    <n v="3312000"/>
    <n v="0"/>
    <n v="0"/>
    <n v="0"/>
    <n v="0"/>
    <n v="3312000"/>
    <m/>
    <s v=""/>
    <s v=""/>
    <n v="3312000"/>
    <n v="3312000"/>
    <x v="14"/>
    <d v="2024-06-13T00:00:00"/>
    <s v="JUF308/24"/>
    <s v="DB STATIONERY"/>
    <x v="1"/>
    <s v=""/>
    <n v="6"/>
    <s v="mekpensil20tizotm02930"/>
    <s v="mekpensil20tizotm029303312000"/>
    <s v="mekpensil20tizotm029303312000"/>
    <s v=""/>
    <m/>
    <n v="2148"/>
    <s v=""/>
    <s v="144 LSN"/>
    <s v="mekpensil20tizotm02930144lsnuntana"/>
    <n v="2148"/>
    <x v="162"/>
    <m/>
  </r>
  <r>
    <s v=""/>
    <s v=""/>
    <m/>
    <n v="39"/>
    <m/>
    <m/>
    <m/>
    <m/>
    <m/>
    <m/>
    <m/>
    <s v="MEK PENSIL TIZO TM01600-B"/>
    <n v="2"/>
    <n v="288"/>
    <s v="LSN"/>
    <n v="16000"/>
    <m/>
    <m/>
    <m/>
    <m/>
    <m/>
    <m/>
    <m/>
    <n v="4608000"/>
    <n v="0"/>
    <n v="0"/>
    <n v="0"/>
    <n v="0"/>
    <n v="4608000"/>
    <m/>
    <s v=""/>
    <s v=""/>
    <n v="2304000"/>
    <n v="4608000"/>
    <x v="14"/>
    <d v="2024-06-13T00:00:00"/>
    <s v="JUF308/24"/>
    <s v="DB STATIONERY"/>
    <x v="1"/>
    <s v=""/>
    <n v="6"/>
    <s v="mekpensiltizotm01600b"/>
    <s v="mekpensiltizotm01600b2304000"/>
    <s v="mekpensiltizotm01600b2304000"/>
    <s v=""/>
    <m/>
    <n v="2145"/>
    <s v=""/>
    <s v="144 LSN"/>
    <s v="mekpensiltizotm01600b144lsnuntana"/>
    <n v="2145"/>
    <x v="163"/>
    <m/>
  </r>
  <r>
    <s v=""/>
    <s v=""/>
    <m/>
    <n v="39"/>
    <m/>
    <m/>
    <m/>
    <m/>
    <m/>
    <m/>
    <m/>
    <s v="MEKANIK PENSIL TIZO TM01500"/>
    <n v="2"/>
    <n v="288"/>
    <s v="LSN"/>
    <n v="13500"/>
    <m/>
    <m/>
    <m/>
    <m/>
    <m/>
    <m/>
    <m/>
    <n v="3888000"/>
    <n v="0"/>
    <n v="0"/>
    <n v="0"/>
    <n v="0"/>
    <n v="3888000"/>
    <m/>
    <s v=""/>
    <s v=""/>
    <n v="1944000"/>
    <n v="3888000"/>
    <x v="14"/>
    <d v="2024-06-13T00:00:00"/>
    <s v="JUF308/24"/>
    <s v="DB STATIONERY"/>
    <x v="1"/>
    <s v=""/>
    <n v="6"/>
    <s v="mekanikpensiltizotm01500"/>
    <s v="mekanikpensiltizotm015001944000"/>
    <s v="mekanikpensiltizotm015001944000"/>
    <s v=""/>
    <m/>
    <n v="2193"/>
    <s v=""/>
    <s v="144 LSN"/>
    <s v="mekanikpensiltizotm01500144lsnuntana"/>
    <n v="2193"/>
    <x v="164"/>
    <m/>
  </r>
  <r>
    <s v=""/>
    <s v=""/>
    <m/>
    <n v="39"/>
    <m/>
    <m/>
    <m/>
    <m/>
    <m/>
    <m/>
    <m/>
    <s v="PENSIL WARNA TWIN KY-CP1224"/>
    <n v="1"/>
    <n v="288"/>
    <s v="SET"/>
    <n v="10800"/>
    <m/>
    <m/>
    <m/>
    <m/>
    <m/>
    <m/>
    <m/>
    <n v="3110400"/>
    <n v="0"/>
    <n v="0"/>
    <n v="0"/>
    <n v="0"/>
    <n v="3110400"/>
    <m/>
    <s v=""/>
    <s v=""/>
    <n v="3110400"/>
    <n v="3110400"/>
    <x v="14"/>
    <d v="2024-06-13T00:00:00"/>
    <s v="JUF308/24"/>
    <s v="DB STATIONERY"/>
    <x v="1"/>
    <s v=""/>
    <n v="6"/>
    <s v="pensilwarnatwinkycp1224"/>
    <s v="pensilwarnatwinkycp12243110400"/>
    <s v="pensilwarnatwinkycp12243110400"/>
    <s v=""/>
    <m/>
    <n v="2690"/>
    <s v=""/>
    <s v="288 SET"/>
    <s v="pensilwarnatwinkycp1224288setuntana"/>
    <e v="#N/A"/>
    <x v="165"/>
    <m/>
  </r>
  <r>
    <s v=""/>
    <s v=""/>
    <m/>
    <n v="39"/>
    <m/>
    <m/>
    <m/>
    <m/>
    <m/>
    <m/>
    <m/>
    <s v="PENSIL 12W PANJANG KY CP 1210"/>
    <n v="1"/>
    <n v="240"/>
    <s v="SET"/>
    <n v="8800"/>
    <m/>
    <m/>
    <m/>
    <m/>
    <m/>
    <m/>
    <m/>
    <n v="2112000"/>
    <n v="0"/>
    <n v="0"/>
    <n v="0"/>
    <n v="0"/>
    <n v="2112000"/>
    <m/>
    <s v=""/>
    <s v=""/>
    <n v="2112000"/>
    <n v="2112000"/>
    <x v="14"/>
    <d v="2024-06-13T00:00:00"/>
    <s v="JUF308/24"/>
    <s v="DB STATIONERY"/>
    <x v="1"/>
    <s v=""/>
    <n v="6"/>
    <s v="pensil12wpanjangkycp1210"/>
    <s v="pensil12wpanjangkycp12102112000"/>
    <s v="pensil12wpanjangkycp12102112000"/>
    <s v=""/>
    <m/>
    <n v="2643"/>
    <s v=""/>
    <s v="240 SET"/>
    <s v="pensil12wpanjangkycp1210240setuntana"/>
    <e v="#N/A"/>
    <x v="166"/>
    <m/>
  </r>
  <r>
    <s v=""/>
    <s v=""/>
    <m/>
    <n v="39"/>
    <m/>
    <m/>
    <m/>
    <m/>
    <m/>
    <m/>
    <m/>
    <s v="GEL TIZO TG 31220"/>
    <n v="3"/>
    <n v="432"/>
    <s v="LSN"/>
    <n v="21000"/>
    <m/>
    <m/>
    <m/>
    <m/>
    <m/>
    <m/>
    <m/>
    <n v="9072000"/>
    <n v="0"/>
    <n v="0"/>
    <n v="0"/>
    <n v="0"/>
    <n v="9072000"/>
    <m/>
    <n v="0"/>
    <n v="94802400"/>
    <n v="3024000"/>
    <n v="9072000"/>
    <x v="14"/>
    <d v="2024-06-13T00:00:00"/>
    <s v="JUF308/24"/>
    <s v="DB STATIONERY"/>
    <x v="1"/>
    <s v=""/>
    <n v="6"/>
    <s v="geltizotg31220"/>
    <s v="geltizotg312203024000"/>
    <s v="geltizotg312203024000"/>
    <s v=""/>
    <m/>
    <n v="1254"/>
    <s v=""/>
    <s v="144 LSN"/>
    <s v="geltizotg31220144lsnuntana"/>
    <n v="1254"/>
    <x v="167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0"/>
    <s v="HAN_1806_160-3"/>
    <m/>
    <n v="40"/>
    <m/>
    <s v="HANSA"/>
    <s v="UNTANA"/>
    <s v="HN062024160"/>
    <m/>
    <d v="2024-06-18T00:00:00"/>
    <m/>
    <s v="LILIN SHINTOENG 12 BTG"/>
    <m/>
    <n v="6"/>
    <s v="LSN"/>
    <n v="39000"/>
    <m/>
    <m/>
    <m/>
    <m/>
    <m/>
    <m/>
    <m/>
    <n v="234000"/>
    <n v="0"/>
    <n v="0"/>
    <n v="0"/>
    <n v="0"/>
    <n v="234000"/>
    <m/>
    <s v=""/>
    <s v=""/>
    <n v="234000"/>
    <n v="234000"/>
    <x v="14"/>
    <d v="2024-06-18T00:00:00"/>
    <s v="HN062024160"/>
    <s v="HANSA"/>
    <x v="1"/>
    <n v="3"/>
    <n v="6"/>
    <s v="lilinshintoeng12btg"/>
    <s v="lilinshintoeng12btg234000"/>
    <s v="lilinshintoeng12btg39000"/>
    <s v="HANSAUNTANAHN06202416045461lilinshintoeng12btg"/>
    <m/>
    <n v="1981"/>
    <s v=""/>
    <s v="50 LSN"/>
    <s v="lilinshintoeng12btg50lsnuntana"/>
    <n v="1981"/>
    <x v="168"/>
    <m/>
  </r>
  <r>
    <s v=""/>
    <s v=""/>
    <m/>
    <n v="40"/>
    <m/>
    <m/>
    <m/>
    <m/>
    <m/>
    <m/>
    <m/>
    <s v="MALAM SHINTOENG B 1W POLOS"/>
    <m/>
    <n v="10"/>
    <s v="PCS"/>
    <n v="5770"/>
    <m/>
    <m/>
    <m/>
    <m/>
    <m/>
    <m/>
    <m/>
    <n v="57700"/>
    <n v="0"/>
    <n v="0"/>
    <n v="0"/>
    <n v="0"/>
    <n v="57700"/>
    <m/>
    <s v=""/>
    <s v=""/>
    <n v="57700"/>
    <n v="57700"/>
    <x v="14"/>
    <d v="2024-06-18T00:00:00"/>
    <s v="HN062024160"/>
    <s v="HANSA"/>
    <x v="1"/>
    <s v=""/>
    <n v="6"/>
    <s v="malamshintoengb1wpolos"/>
    <s v="malamshintoengb1wpolos57700"/>
    <s v="malamshintoengb1wpolos5770"/>
    <s v=""/>
    <m/>
    <n v="2040"/>
    <s v=""/>
    <s v="180 PCS"/>
    <s v="malamshintoengb1wpolos180pcsuntana"/>
    <n v="2040"/>
    <x v="169"/>
    <m/>
  </r>
  <r>
    <s v=""/>
    <s v=""/>
    <m/>
    <n v="40"/>
    <m/>
    <m/>
    <m/>
    <m/>
    <m/>
    <m/>
    <m/>
    <s v="MALAM SHINTOENG B 6-12W"/>
    <m/>
    <n v="10"/>
    <s v="PCS"/>
    <n v="6100"/>
    <m/>
    <m/>
    <m/>
    <m/>
    <m/>
    <m/>
    <m/>
    <n v="61000"/>
    <n v="0"/>
    <n v="0"/>
    <n v="0"/>
    <n v="0"/>
    <n v="61000"/>
    <m/>
    <n v="0"/>
    <n v="352700"/>
    <n v="61000"/>
    <n v="61000"/>
    <x v="14"/>
    <d v="2024-06-18T00:00:00"/>
    <s v="HN062024160"/>
    <s v="HANSA"/>
    <x v="1"/>
    <s v=""/>
    <n v="6"/>
    <s v="malamshintoengb612w"/>
    <s v="malamshintoengb612w61000"/>
    <s v="malamshintoengb612w6100"/>
    <s v=""/>
    <m/>
    <n v="2041"/>
    <s v=""/>
    <s v="150 PCS"/>
    <s v="malamshintoengb612w150pcsuntana"/>
    <n v="2041"/>
    <x v="17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1"/>
    <s v="PEL_1806_-2"/>
    <m/>
    <n v="41"/>
    <m/>
    <s v="PELNA"/>
    <s v="UNTANA"/>
    <m/>
    <m/>
    <d v="2024-06-13T00:00:00"/>
    <m/>
    <s v="PELNA LAPTOP TABLE"/>
    <n v="20"/>
    <n v="200"/>
    <s v="PCS"/>
    <n v="60000"/>
    <m/>
    <m/>
    <m/>
    <m/>
    <m/>
    <m/>
    <m/>
    <n v="12000000"/>
    <n v="0"/>
    <n v="0"/>
    <n v="0"/>
    <n v="0"/>
    <n v="12000000"/>
    <m/>
    <s v=""/>
    <s v=""/>
    <n v="600000"/>
    <n v="12000000"/>
    <x v="14"/>
    <d v="2024-06-13T00:00:00"/>
    <d v="1899-12-30T00:00:00"/>
    <s v="PELNA"/>
    <x v="1"/>
    <n v="2"/>
    <n v="6"/>
    <s v="pelnalaptoptable"/>
    <s v="pelnalaptoptable600000"/>
    <s v="pelnalaptoptable600000"/>
    <s v="PELNAUNTANA45456pelnalaptoptable"/>
    <m/>
    <n v="2496"/>
    <s v=""/>
    <s v="10 PCS"/>
    <s v="pelnalaptoptable10pcsuntana"/>
    <n v="2496"/>
    <x v="171"/>
    <m/>
  </r>
  <r>
    <s v=""/>
    <s v=""/>
    <m/>
    <n v="41"/>
    <m/>
    <m/>
    <m/>
    <m/>
    <m/>
    <m/>
    <m/>
    <s v="PELNA LAPTOP TABLE"/>
    <n v="1"/>
    <n v="10"/>
    <s v="PCS"/>
    <m/>
    <m/>
    <m/>
    <m/>
    <m/>
    <m/>
    <m/>
    <s v="BONUS PROMO"/>
    <s v=""/>
    <s v=""/>
    <s v=""/>
    <s v=""/>
    <s v=""/>
    <s v=""/>
    <m/>
    <n v="0"/>
    <n v="12000000"/>
    <n v="0"/>
    <s v=""/>
    <x v="14"/>
    <d v="2024-06-13T00:00:00"/>
    <d v="1899-12-30T00:00:00"/>
    <s v="PELNA"/>
    <x v="1"/>
    <s v=""/>
    <n v="6"/>
    <s v="pelnalaptoptable"/>
    <s v="pelnalaptoptable0"/>
    <s v="pelnalaptoptable0"/>
    <s v=""/>
    <m/>
    <n v="2496"/>
    <s v=""/>
    <s v="10 PCS"/>
    <s v="pelnalaptoptable10pcsuntana"/>
    <n v="2496"/>
    <x v="172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2"/>
    <s v="BIN_1806_054-10"/>
    <m/>
    <n v="42"/>
    <m/>
    <s v="BINTANG SAUDARA"/>
    <s v="UNTANA"/>
    <s v="SO2024060086054"/>
    <m/>
    <d v="2024-06-08T00:00:00"/>
    <m/>
    <s v="GEL PEN KOALA GP-168-A MERAH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n v="10"/>
    <n v="6"/>
    <s v="gelpenkoalagp168amerah"/>
    <s v="gelpenkoalagp168amerah1080000"/>
    <s v="gelpenkoalagp168amerah22500"/>
    <s v="BINTANG SAUDARAUNTANASO202406008605445451gelpenkoalagp168amerah"/>
    <m/>
    <n v="3328"/>
    <s v=""/>
    <s v="144 LSN"/>
    <s v="gelpenkoalagp168amerah144lsnuntana"/>
    <n v="3328"/>
    <x v="173"/>
    <m/>
  </r>
  <r>
    <s v=""/>
    <s v=""/>
    <m/>
    <n v="42"/>
    <m/>
    <m/>
    <m/>
    <m/>
    <m/>
    <m/>
    <m/>
    <s v="GEL PEN KOALA GP-168-B BR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s v=""/>
    <n v="6"/>
    <s v="gelpenkoalagp168bbr"/>
    <s v="gelpenkoalagp168bbr1080000"/>
    <s v="gelpenkoalagp168bbr22500"/>
    <s v=""/>
    <m/>
    <n v="3329"/>
    <s v=""/>
    <s v="144 LSN"/>
    <s v="gelpenkoalagp168bbr144lsnuntana"/>
    <n v="3329"/>
    <x v="174"/>
    <m/>
  </r>
  <r>
    <s v=""/>
    <s v=""/>
    <m/>
    <n v="42"/>
    <m/>
    <m/>
    <m/>
    <m/>
    <m/>
    <m/>
    <m/>
    <s v="GEL PEN KOALA GP-168-C HJ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s v=""/>
    <n v="6"/>
    <s v="gelpenkoalagp168chj"/>
    <s v="gelpenkoalagp168chj1080000"/>
    <s v="gelpenkoalagp168chj22500"/>
    <s v=""/>
    <m/>
    <n v="3330"/>
    <s v=""/>
    <s v="144 LSN"/>
    <s v="gelpenkoalagp168chj144lsnuntana"/>
    <n v="3330"/>
    <x v="175"/>
    <m/>
  </r>
  <r>
    <s v=""/>
    <s v=""/>
    <m/>
    <n v="42"/>
    <m/>
    <m/>
    <m/>
    <m/>
    <m/>
    <m/>
    <m/>
    <s v="GEL PEN KOALA GP-168-D VL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s v=""/>
    <n v="6"/>
    <s v="gelpenkoalagp168dvl"/>
    <s v="gelpenkoalagp168dvl1080000"/>
    <s v="gelpenkoalagp168dvl22500"/>
    <s v=""/>
    <m/>
    <n v="3331"/>
    <s v=""/>
    <s v="144 LSN"/>
    <s v="gelpenkoalagp168dvl144lsnuntana"/>
    <n v="3331"/>
    <x v="176"/>
    <m/>
  </r>
  <r>
    <s v=""/>
    <s v=""/>
    <m/>
    <n v="42"/>
    <m/>
    <m/>
    <m/>
    <m/>
    <m/>
    <m/>
    <m/>
    <s v="GEL PEN KOALA GP-168-E OR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s v=""/>
    <n v="6"/>
    <s v="gelpenkoalagp168eor"/>
    <s v="gelpenkoalagp168eor1080000"/>
    <s v="gelpenkoalagp168eor22500"/>
    <s v=""/>
    <m/>
    <n v="3332"/>
    <s v=""/>
    <s v="144 LSN"/>
    <s v="gelpenkoalagp168eor144lsnuntana"/>
    <n v="3332"/>
    <x v="177"/>
    <m/>
  </r>
  <r>
    <s v=""/>
    <s v=""/>
    <m/>
    <n v="42"/>
    <m/>
    <m/>
    <m/>
    <m/>
    <m/>
    <m/>
    <m/>
    <s v="GEL PEN KOALA GP-168-F BR TUA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s v=""/>
    <n v="6"/>
    <s v="gelpenkoalagp168fbrtua"/>
    <s v="gelpenkoalagp168fbrtua1080000"/>
    <s v="gelpenkoalagp168fbrtua22500"/>
    <s v=""/>
    <m/>
    <n v="3333"/>
    <s v=""/>
    <s v="144 LSN"/>
    <s v="gelpenkoalagp168fbrtua144lsnuntana"/>
    <n v="3333"/>
    <x v="178"/>
    <m/>
  </r>
  <r>
    <s v=""/>
    <s v=""/>
    <m/>
    <n v="42"/>
    <m/>
    <m/>
    <m/>
    <m/>
    <m/>
    <m/>
    <m/>
    <s v="GEL PEN KOALA GP-168-G PK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s v=""/>
    <n v="6"/>
    <s v="gelpenkoalagp168gpk"/>
    <s v="gelpenkoalagp168gpk1080000"/>
    <s v="gelpenkoalagp168gpk22500"/>
    <s v=""/>
    <m/>
    <n v="3334"/>
    <s v=""/>
    <s v="144 LSN"/>
    <s v="gelpenkoalagp168gpk144lsnuntana"/>
    <n v="3334"/>
    <x v="179"/>
    <m/>
  </r>
  <r>
    <s v=""/>
    <s v=""/>
    <m/>
    <n v="42"/>
    <m/>
    <m/>
    <m/>
    <m/>
    <m/>
    <m/>
    <m/>
    <s v="GEL PEN KOALA GP-168-H HJ MUDA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s v=""/>
    <n v="6"/>
    <s v="gelpenkoalagp168hhjmuda"/>
    <s v="gelpenkoalagp168hhjmuda1080000"/>
    <s v="gelpenkoalagp168hhjmuda22500"/>
    <s v=""/>
    <m/>
    <n v="3335"/>
    <s v=""/>
    <s v="144 LSN"/>
    <s v="gelpenkoalagp168hhjmuda144lsnuntana"/>
    <n v="3335"/>
    <x v="180"/>
    <m/>
  </r>
  <r>
    <s v=""/>
    <s v=""/>
    <m/>
    <n v="42"/>
    <m/>
    <m/>
    <m/>
    <m/>
    <m/>
    <m/>
    <m/>
    <s v="GEL PEN KOALA GP-168-I COKLAT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s v=""/>
    <n v="6"/>
    <s v="gelpenkoalagp168icoklat"/>
    <s v="gelpenkoalagp168icoklat1080000"/>
    <s v="gelpenkoalagp168icoklat22500"/>
    <s v=""/>
    <m/>
    <n v="3336"/>
    <s v=""/>
    <s v="144 LSN"/>
    <s v="gelpenkoalagp168icoklat144lsnuntana"/>
    <n v="3336"/>
    <x v="181"/>
    <m/>
  </r>
  <r>
    <s v=""/>
    <s v=""/>
    <m/>
    <n v="42"/>
    <m/>
    <m/>
    <m/>
    <m/>
    <m/>
    <m/>
    <m/>
    <s v="GEL PEN KOALA GP-168-J KNG"/>
    <m/>
    <n v="48"/>
    <s v="LSN"/>
    <n v="22500"/>
    <m/>
    <m/>
    <m/>
    <m/>
    <m/>
    <m/>
    <m/>
    <n v="1080000"/>
    <n v="0"/>
    <n v="0"/>
    <n v="0"/>
    <n v="0"/>
    <n v="1080000"/>
    <m/>
    <n v="0"/>
    <n v="10800000"/>
    <n v="1080000"/>
    <n v="1080000"/>
    <x v="14"/>
    <d v="2024-06-08T00:00:00"/>
    <s v="SO2024060086054"/>
    <s v="BINTANG SAUDARA"/>
    <x v="1"/>
    <s v=""/>
    <n v="6"/>
    <s v="gelpenkoalagp168jkng"/>
    <s v="gelpenkoalagp168jkng1080000"/>
    <s v="gelpenkoalagp168jkng22500"/>
    <s v=""/>
    <m/>
    <n v="3337"/>
    <s v=""/>
    <s v="144 LSN"/>
    <s v="gelpenkoalagp168jkng144lsnuntana"/>
    <n v="3337"/>
    <x v="182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3"/>
    <s v="PMJ_1806_-4"/>
    <m/>
    <n v="43"/>
    <m/>
    <s v="PMJP"/>
    <s v="UNTANA"/>
    <m/>
    <m/>
    <d v="2024-06-13T00:00:00"/>
    <m/>
    <s v="CELENGAN S"/>
    <n v="1"/>
    <n v="16"/>
    <s v="LSN"/>
    <n v="47000"/>
    <m/>
    <m/>
    <m/>
    <m/>
    <m/>
    <m/>
    <m/>
    <n v="752000"/>
    <n v="0"/>
    <n v="0"/>
    <n v="0"/>
    <n v="0"/>
    <n v="752000"/>
    <m/>
    <s v=""/>
    <s v=""/>
    <n v="752000"/>
    <n v="752000"/>
    <x v="14"/>
    <d v="2024-06-13T00:00:00"/>
    <d v="1899-12-30T00:00:00"/>
    <s v="PMJP"/>
    <x v="1"/>
    <n v="4"/>
    <n v="6"/>
    <s v="celengans"/>
    <s v="celengans752000"/>
    <s v="celengans752000"/>
    <s v="PMJPUNTANA45456celengans"/>
    <m/>
    <n v="655"/>
    <s v=""/>
    <s v="16 LSN"/>
    <s v="celengans16lsnuntana"/>
    <n v="655"/>
    <x v="183"/>
    <m/>
  </r>
  <r>
    <s v=""/>
    <s v=""/>
    <m/>
    <n v="43"/>
    <m/>
    <m/>
    <m/>
    <m/>
    <m/>
    <m/>
    <m/>
    <s v="CELENGAN M"/>
    <n v="1"/>
    <n v="16"/>
    <s v="LSN"/>
    <n v="56000"/>
    <m/>
    <m/>
    <m/>
    <m/>
    <m/>
    <m/>
    <m/>
    <n v="896000"/>
    <n v="0"/>
    <n v="0"/>
    <n v="0"/>
    <n v="0"/>
    <n v="896000"/>
    <m/>
    <s v=""/>
    <s v=""/>
    <n v="896000"/>
    <n v="896000"/>
    <x v="14"/>
    <d v="2024-06-13T00:00:00"/>
    <d v="1899-12-30T00:00:00"/>
    <s v="PMJP"/>
    <x v="1"/>
    <s v=""/>
    <n v="6"/>
    <s v="celenganm"/>
    <s v="celenganm896000"/>
    <s v="celenganm896000"/>
    <s v=""/>
    <m/>
    <n v="654"/>
    <s v=""/>
    <s v="10 LSN"/>
    <s v="celenganm10lsnuntana"/>
    <n v="654"/>
    <x v="184"/>
    <m/>
  </r>
  <r>
    <s v=""/>
    <s v=""/>
    <m/>
    <n v="43"/>
    <m/>
    <m/>
    <m/>
    <m/>
    <m/>
    <m/>
    <m/>
    <s v="CELENGAN L"/>
    <n v="1"/>
    <n v="10"/>
    <s v="LSN"/>
    <n v="70000"/>
    <m/>
    <m/>
    <m/>
    <m/>
    <m/>
    <m/>
    <m/>
    <n v="700000"/>
    <n v="0"/>
    <n v="0"/>
    <n v="0"/>
    <n v="0"/>
    <n v="700000"/>
    <m/>
    <s v=""/>
    <s v=""/>
    <n v="700000"/>
    <n v="700000"/>
    <x v="14"/>
    <d v="2024-06-13T00:00:00"/>
    <d v="1899-12-30T00:00:00"/>
    <s v="PMJP"/>
    <x v="1"/>
    <s v=""/>
    <n v="6"/>
    <s v="celenganl"/>
    <s v="celenganl700000"/>
    <s v="celenganl700000"/>
    <s v=""/>
    <m/>
    <n v="653"/>
    <s v=""/>
    <s v="10 LSN"/>
    <s v="celenganl10lsnuntana"/>
    <n v="653"/>
    <x v="185"/>
    <m/>
  </r>
  <r>
    <s v=""/>
    <s v=""/>
    <m/>
    <n v="43"/>
    <m/>
    <m/>
    <m/>
    <m/>
    <m/>
    <m/>
    <m/>
    <s v="CELENGAN XL"/>
    <n v="1"/>
    <n v="6"/>
    <s v="LSN"/>
    <n v="85000"/>
    <m/>
    <m/>
    <m/>
    <m/>
    <m/>
    <m/>
    <m/>
    <n v="510000"/>
    <n v="0"/>
    <n v="0"/>
    <n v="0"/>
    <n v="0"/>
    <n v="510000"/>
    <m/>
    <n v="0"/>
    <n v="2858000"/>
    <n v="510000"/>
    <n v="510000"/>
    <x v="14"/>
    <d v="2024-06-13T00:00:00"/>
    <d v="1899-12-30T00:00:00"/>
    <s v="PMJP"/>
    <x v="1"/>
    <s v=""/>
    <n v="6"/>
    <s v="celenganxl"/>
    <s v="celenganxl510000"/>
    <s v="celenganxl510000"/>
    <s v=""/>
    <m/>
    <n v="656"/>
    <s v=""/>
    <s v="6 LSN"/>
    <s v="celenganxl6lsnuntana"/>
    <n v="656"/>
    <x v="186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4"/>
    <s v="GLO_1806_-1"/>
    <m/>
    <n v="44"/>
    <m/>
    <s v="GLORY"/>
    <s v="UNTANA"/>
    <m/>
    <m/>
    <d v="2024-06-18T00:00:00"/>
    <m/>
    <s v="BK TAMU 15 BATIK"/>
    <m/>
    <n v="7"/>
    <s v="LSN"/>
    <n v="161000"/>
    <m/>
    <m/>
    <m/>
    <m/>
    <m/>
    <m/>
    <s v="DISKON CASH 56.500 (5%)"/>
    <n v="1127000"/>
    <n v="0"/>
    <n v="0"/>
    <n v="0"/>
    <n v="0"/>
    <n v="1127000"/>
    <m/>
    <n v="0"/>
    <n v="1127000"/>
    <n v="1127000"/>
    <n v="1127000"/>
    <x v="14"/>
    <d v="2024-06-18T00:00:00"/>
    <d v="1899-12-30T00:00:00"/>
    <s v="GLORY"/>
    <x v="1"/>
    <n v="1"/>
    <n v="6"/>
    <s v="bktamu15batik"/>
    <s v="bktamu15batik1127000"/>
    <s v="bktamu15batik161000"/>
    <s v="GLORYUNTANA45461bktamu15batik"/>
    <m/>
    <n v="518"/>
    <s v=""/>
    <s v="7 LSN"/>
    <s v="bktamu15batik7lsnuntana"/>
    <n v="518"/>
    <x v="187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5"/>
    <s v="DBS_2206_524-9"/>
    <m/>
    <n v="45"/>
    <d v="2024-06-22T00:00:00"/>
    <s v="DB STATIONERY"/>
    <s v="UNTANA"/>
    <s v="JUF415/24"/>
    <m/>
    <d v="2024-06-19T00:00:00"/>
    <m/>
    <s v="TP BD XLG BD180-28"/>
    <n v="3"/>
    <n v="540"/>
    <s v="PCS"/>
    <n v="11000"/>
    <m/>
    <s v="180 PCS"/>
    <m/>
    <m/>
    <m/>
    <m/>
    <s v="DISKON CASH 1.917.000 (2.5%)"/>
    <n v="5940000"/>
    <n v="0"/>
    <n v="0"/>
    <n v="0"/>
    <n v="0"/>
    <n v="5940000"/>
    <m/>
    <s v=""/>
    <s v=""/>
    <n v="1980000"/>
    <n v="5940000"/>
    <x v="15"/>
    <d v="2024-06-19T00:00:00"/>
    <s v="JUF415/24"/>
    <s v="DB STATIONERY"/>
    <x v="1"/>
    <n v="9"/>
    <n v="6"/>
    <s v="tpbdxlgbd18028"/>
    <s v="tpbdxlgbd180281980000"/>
    <s v="tpbdxlgbd180281980000"/>
    <s v="DB STATIONERYUNTANAJUF415/2445462tpbdxlgbd18028"/>
    <m/>
    <n v="3406"/>
    <b v="1"/>
    <s v="180 PCS"/>
    <s v="tpbdxlgbd18028180pcsuntana"/>
    <n v="3406"/>
    <x v="188"/>
    <m/>
  </r>
  <r>
    <s v=""/>
    <s v=""/>
    <m/>
    <n v="45"/>
    <m/>
    <m/>
    <m/>
    <m/>
    <m/>
    <m/>
    <m/>
    <s v="TP BD XLG BD180-F"/>
    <n v="3"/>
    <n v="540"/>
    <s v="PCS"/>
    <n v="11500"/>
    <m/>
    <s v="180 PCS"/>
    <m/>
    <m/>
    <m/>
    <m/>
    <s v="DISKON CASH 1.917.000 (2.5%)"/>
    <n v="6210000"/>
    <n v="0"/>
    <n v="0"/>
    <n v="0"/>
    <n v="0"/>
    <n v="6210000"/>
    <m/>
    <s v=""/>
    <s v=""/>
    <n v="2070000"/>
    <n v="6210000"/>
    <x v="15"/>
    <d v="2024-06-19T00:00:00"/>
    <s v="JUF415/24"/>
    <s v="DB STATIONERY"/>
    <x v="1"/>
    <s v=""/>
    <n v="6"/>
    <s v="tpbdxlgbd180f"/>
    <s v="tpbdxlgbd180f2070000"/>
    <s v="tpbdxlgbd180f2070000"/>
    <s v=""/>
    <m/>
    <n v="3407"/>
    <b v="1"/>
    <s v="180 PCS"/>
    <s v="tpbdxlgbd180f180pcsuntana"/>
    <n v="3407"/>
    <x v="189"/>
    <m/>
  </r>
  <r>
    <s v=""/>
    <s v=""/>
    <m/>
    <n v="45"/>
    <m/>
    <m/>
    <m/>
    <m/>
    <m/>
    <m/>
    <m/>
    <s v="TP BD XLG BD191-F"/>
    <n v="3"/>
    <n v="540"/>
    <s v="PCS"/>
    <n v="17500"/>
    <m/>
    <s v="180 PCS"/>
    <m/>
    <m/>
    <m/>
    <m/>
    <s v="DISKON CASH 1.917.000 (2.5%)"/>
    <n v="9450000"/>
    <n v="0"/>
    <n v="0"/>
    <n v="0"/>
    <n v="0"/>
    <n v="9450000"/>
    <m/>
    <s v=""/>
    <s v=""/>
    <n v="3150000"/>
    <n v="9450000"/>
    <x v="15"/>
    <d v="2024-06-19T00:00:00"/>
    <s v="JUF415/24"/>
    <s v="DB STATIONERY"/>
    <x v="1"/>
    <s v=""/>
    <n v="6"/>
    <s v="tpbdxlgbd191f"/>
    <s v="tpbdxlgbd191f3150000"/>
    <s v="tpbdxlgbd191f3150000"/>
    <s v=""/>
    <m/>
    <n v="3408"/>
    <b v="1"/>
    <s v="180 PCS"/>
    <s v="tpbdxlgbd191f180pcsuntana"/>
    <n v="3408"/>
    <x v="190"/>
    <m/>
  </r>
  <r>
    <s v=""/>
    <s v=""/>
    <m/>
    <n v="45"/>
    <m/>
    <m/>
    <m/>
    <m/>
    <m/>
    <m/>
    <m/>
    <s v="TP BD XLG BD191-27"/>
    <n v="3"/>
    <n v="540"/>
    <s v="PCS"/>
    <n v="17000"/>
    <m/>
    <s v="180 PCS"/>
    <m/>
    <m/>
    <m/>
    <m/>
    <s v="DISKON CASH 1.917.000 (2.5%)"/>
    <n v="9180000"/>
    <n v="0"/>
    <n v="0"/>
    <n v="0"/>
    <n v="0"/>
    <n v="9180000"/>
    <m/>
    <s v=""/>
    <s v=""/>
    <n v="3060000"/>
    <n v="9180000"/>
    <x v="15"/>
    <d v="2024-06-19T00:00:00"/>
    <s v="JUF415/24"/>
    <s v="DB STATIONERY"/>
    <x v="1"/>
    <s v=""/>
    <n v="6"/>
    <s v="tpbdxlgbd19127"/>
    <s v="tpbdxlgbd191273060000"/>
    <s v="tpbdxlgbd191273060000"/>
    <s v=""/>
    <m/>
    <n v="3409"/>
    <b v="1"/>
    <s v="180 PCS"/>
    <s v="tpbdxlgbd19127180pcsuntana"/>
    <n v="3409"/>
    <x v="191"/>
    <m/>
  </r>
  <r>
    <s v=""/>
    <s v=""/>
    <m/>
    <n v="45"/>
    <m/>
    <m/>
    <m/>
    <m/>
    <m/>
    <m/>
    <m/>
    <s v="TP BD XLG BD193-27"/>
    <n v="3"/>
    <n v="540"/>
    <s v="PCS"/>
    <n v="16000"/>
    <m/>
    <s v="180 PCS"/>
    <m/>
    <m/>
    <m/>
    <m/>
    <s v="DISKON CASH 1.917.000 (2.5%)"/>
    <n v="8640000"/>
    <n v="0"/>
    <n v="0"/>
    <n v="0"/>
    <n v="0"/>
    <n v="8640000"/>
    <m/>
    <s v=""/>
    <s v=""/>
    <n v="2880000"/>
    <n v="8640000"/>
    <x v="15"/>
    <d v="2024-06-19T00:00:00"/>
    <s v="JUF415/24"/>
    <s v="DB STATIONERY"/>
    <x v="1"/>
    <s v=""/>
    <n v="6"/>
    <s v="tpbdxlgbd19327"/>
    <s v="tpbdxlgbd193272880000"/>
    <s v="tpbdxlgbd193272880000"/>
    <s v=""/>
    <m/>
    <n v="3410"/>
    <b v="1"/>
    <s v="180 PCS"/>
    <s v="tpbdxlgbd19327180pcsuntana"/>
    <n v="3410"/>
    <x v="192"/>
    <m/>
  </r>
  <r>
    <s v=""/>
    <s v=""/>
    <m/>
    <n v="45"/>
    <m/>
    <m/>
    <m/>
    <m/>
    <m/>
    <m/>
    <m/>
    <s v="TP BD XLG BD194-26"/>
    <n v="3"/>
    <n v="540"/>
    <s v="PCS"/>
    <n v="16000"/>
    <m/>
    <s v="180 PCS"/>
    <m/>
    <m/>
    <m/>
    <m/>
    <s v="DISKON CASH 1.917.000 (2.5%)"/>
    <n v="8640000"/>
    <n v="0"/>
    <n v="0"/>
    <n v="0"/>
    <n v="0"/>
    <n v="8640000"/>
    <m/>
    <s v=""/>
    <s v=""/>
    <n v="2880000"/>
    <n v="8640000"/>
    <x v="15"/>
    <d v="2024-06-19T00:00:00"/>
    <s v="JUF415/24"/>
    <s v="DB STATIONERY"/>
    <x v="1"/>
    <s v=""/>
    <n v="6"/>
    <s v="tpbdxlgbd19426"/>
    <s v="tpbdxlgbd194262880000"/>
    <s v="tpbdxlgbd194262880000"/>
    <s v=""/>
    <m/>
    <n v="3411"/>
    <b v="1"/>
    <s v="180 PCS"/>
    <s v="tpbdxlgbd19426180pcsuntana"/>
    <n v="3411"/>
    <x v="193"/>
    <m/>
  </r>
  <r>
    <s v=""/>
    <s v=""/>
    <m/>
    <n v="45"/>
    <m/>
    <m/>
    <m/>
    <m/>
    <m/>
    <m/>
    <m/>
    <s v="TP BD XLG BD931-01"/>
    <n v="3"/>
    <n v="540"/>
    <s v="PCS"/>
    <n v="18500"/>
    <m/>
    <s v="180 PCS"/>
    <m/>
    <m/>
    <m/>
    <m/>
    <s v="DISKON CASH 1.917.000 (2.5%)"/>
    <n v="9990000"/>
    <n v="0"/>
    <n v="0"/>
    <n v="0"/>
    <n v="0"/>
    <n v="9990000"/>
    <m/>
    <s v=""/>
    <s v=""/>
    <n v="3330000"/>
    <n v="9990000"/>
    <x v="15"/>
    <d v="2024-06-19T00:00:00"/>
    <s v="JUF415/24"/>
    <s v="DB STATIONERY"/>
    <x v="1"/>
    <s v=""/>
    <n v="6"/>
    <s v="tpbdxlgbd93101"/>
    <s v="tpbdxlgbd931013330000"/>
    <s v="tpbdxlgbd931013330000"/>
    <s v=""/>
    <m/>
    <n v="3412"/>
    <b v="1"/>
    <s v="180 PCS"/>
    <s v="tpbdxlgbd93101180pcsuntana"/>
    <n v="3412"/>
    <x v="194"/>
    <m/>
  </r>
  <r>
    <s v=""/>
    <s v=""/>
    <m/>
    <n v="45"/>
    <m/>
    <m/>
    <m/>
    <m/>
    <m/>
    <m/>
    <m/>
    <s v="TP BD XLG BD932-F"/>
    <n v="3"/>
    <n v="540"/>
    <s v="PCS"/>
    <n v="23500"/>
    <m/>
    <s v="180 PCS"/>
    <m/>
    <m/>
    <m/>
    <m/>
    <s v="DISKON CASH 1.917.000 (2.5%)"/>
    <n v="12690000"/>
    <n v="0"/>
    <n v="0"/>
    <n v="0"/>
    <n v="0"/>
    <n v="12690000"/>
    <m/>
    <s v=""/>
    <s v=""/>
    <n v="4230000"/>
    <n v="12690000"/>
    <x v="15"/>
    <d v="2024-06-19T00:00:00"/>
    <s v="JUF415/24"/>
    <s v="DB STATIONERY"/>
    <x v="1"/>
    <s v=""/>
    <n v="6"/>
    <s v="tpbdxlgbd932f"/>
    <s v="tpbdxlgbd932f4230000"/>
    <s v="tpbdxlgbd932f4230000"/>
    <s v=""/>
    <m/>
    <n v="3413"/>
    <b v="1"/>
    <s v="180 PCS"/>
    <s v="tpbdxlgbd932f180pcsuntana"/>
    <n v="3413"/>
    <x v="195"/>
    <m/>
  </r>
  <r>
    <s v=""/>
    <s v=""/>
    <m/>
    <n v="45"/>
    <m/>
    <m/>
    <m/>
    <m/>
    <m/>
    <m/>
    <m/>
    <s v="TP BD XLG BD331-23"/>
    <n v="3"/>
    <n v="540"/>
    <s v="PCS"/>
    <n v="11000"/>
    <m/>
    <s v="180 PCS"/>
    <m/>
    <m/>
    <m/>
    <n v="1917000"/>
    <s v="DISKON CASH 1.917.000 (2.5%)"/>
    <n v="5940000"/>
    <n v="0"/>
    <n v="0"/>
    <n v="0"/>
    <n v="0"/>
    <n v="5940000"/>
    <m/>
    <n v="1917000"/>
    <n v="74763000"/>
    <n v="1980000"/>
    <n v="5940000"/>
    <x v="15"/>
    <d v="2024-06-19T00:00:00"/>
    <s v="JUF415/24"/>
    <s v="DB STATIONERY"/>
    <x v="1"/>
    <s v=""/>
    <n v="6"/>
    <s v="tpbdxlgbd33123"/>
    <s v="tpbdxlgbd331231980000"/>
    <s v="tpbdxlgbd331231980000"/>
    <s v=""/>
    <m/>
    <n v="3414"/>
    <b v="1"/>
    <s v="180 PCS"/>
    <s v="tpbdxlgbd33123180pcsuntana"/>
    <n v="3414"/>
    <x v="196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6"/>
    <s v="SBS_2206_95B-4"/>
    <m/>
    <n v="46"/>
    <d v="2024-06-22T00:00:00"/>
    <s v="SBS"/>
    <s v="UNTANA"/>
    <s v="WF0295B"/>
    <m/>
    <d v="2024-06-12T00:00:00"/>
    <m/>
    <s v="BINDER NOTE FANCY SLIP A5-1903CT/ VINTAGE"/>
    <n v="1"/>
    <n v="120"/>
    <s v="PCS"/>
    <n v="9500"/>
    <m/>
    <m/>
    <m/>
    <m/>
    <m/>
    <m/>
    <m/>
    <n v="1140000"/>
    <n v="0"/>
    <n v="0"/>
    <n v="0"/>
    <n v="0"/>
    <n v="1140000"/>
    <m/>
    <s v=""/>
    <s v=""/>
    <n v="1140000"/>
    <n v="1140000"/>
    <x v="15"/>
    <d v="2024-06-12T00:00:00"/>
    <s v="WF0295B"/>
    <s v="SBS"/>
    <x v="1"/>
    <n v="4"/>
    <n v="6"/>
    <s v="bindernotefancyslipa51903ctvintage"/>
    <s v="bindernotefancyslipa51903ctvintage1140000"/>
    <s v="bindernotefancyslipa51903ctvintage1140000"/>
    <s v="SBSUNTANAWF0295B45455bindernotefancyslipa51903ctvintage"/>
    <m/>
    <n v="3386"/>
    <s v=""/>
    <s v="120 PCS"/>
    <s v="bindernotefancyslipa51903ctvintage120pcsuntana"/>
    <n v="3386"/>
    <x v="197"/>
    <m/>
  </r>
  <r>
    <s v=""/>
    <s v=""/>
    <m/>
    <n v="46"/>
    <m/>
    <m/>
    <m/>
    <m/>
    <m/>
    <m/>
    <m/>
    <s v="BINDER NOTE FANCY SLIP A5-19030C/ OLD CITY"/>
    <n v="1"/>
    <n v="120"/>
    <s v="PCS"/>
    <n v="9500"/>
    <m/>
    <m/>
    <m/>
    <m/>
    <m/>
    <m/>
    <m/>
    <n v="1140000"/>
    <n v="0"/>
    <n v="0"/>
    <n v="0"/>
    <n v="0"/>
    <n v="1140000"/>
    <m/>
    <s v=""/>
    <s v=""/>
    <n v="1140000"/>
    <n v="1140000"/>
    <x v="15"/>
    <d v="2024-06-12T00:00:00"/>
    <s v="WF0295B"/>
    <s v="SBS"/>
    <x v="1"/>
    <s v=""/>
    <n v="6"/>
    <s v="bindernotefancyslipa519030coldcity"/>
    <s v="bindernotefancyslipa519030coldcity1140000"/>
    <s v="bindernotefancyslipa519030coldcity1140000"/>
    <s v=""/>
    <m/>
    <n v="3387"/>
    <s v=""/>
    <s v="120 PCS"/>
    <s v="bindernotefancyslipa519030coldcity120pcsuntana"/>
    <n v="3387"/>
    <x v="198"/>
    <m/>
  </r>
  <r>
    <s v=""/>
    <s v=""/>
    <m/>
    <n v="46"/>
    <m/>
    <m/>
    <m/>
    <m/>
    <m/>
    <m/>
    <m/>
    <s v="BINDER NOTE FANCY SLIP A5-1903SS/ SKY"/>
    <n v="1"/>
    <n v="120"/>
    <s v="PCS"/>
    <n v="9500"/>
    <m/>
    <m/>
    <m/>
    <m/>
    <m/>
    <m/>
    <m/>
    <n v="1140000"/>
    <n v="0"/>
    <n v="0"/>
    <n v="0"/>
    <n v="0"/>
    <n v="1140000"/>
    <m/>
    <s v=""/>
    <s v=""/>
    <n v="1140000"/>
    <n v="1140000"/>
    <x v="15"/>
    <d v="2024-06-12T00:00:00"/>
    <s v="WF0295B"/>
    <s v="SBS"/>
    <x v="1"/>
    <s v=""/>
    <n v="6"/>
    <s v="bindernotefancyslipa51903sssky"/>
    <s v="bindernotefancyslipa51903sssky1140000"/>
    <s v="bindernotefancyslipa51903sssky1140000"/>
    <s v=""/>
    <m/>
    <n v="3388"/>
    <s v=""/>
    <s v="120 PCS"/>
    <s v="bindernotefancyslipa51903sssky120pcsuntana"/>
    <n v="3388"/>
    <x v="199"/>
    <m/>
  </r>
  <r>
    <s v=""/>
    <s v=""/>
    <m/>
    <n v="46"/>
    <m/>
    <m/>
    <m/>
    <m/>
    <m/>
    <m/>
    <m/>
    <s v="BINDER NOTE FANCY SLIP A5-SF 1925KM/ SR"/>
    <n v="3"/>
    <n v="360"/>
    <s v="PCS"/>
    <n v="9500"/>
    <m/>
    <m/>
    <m/>
    <m/>
    <m/>
    <m/>
    <m/>
    <n v="3420000"/>
    <n v="0"/>
    <n v="0"/>
    <n v="0"/>
    <n v="0"/>
    <n v="3420000"/>
    <m/>
    <n v="0"/>
    <n v="6840000"/>
    <n v="1140000"/>
    <n v="3420000"/>
    <x v="15"/>
    <d v="2024-06-12T00:00:00"/>
    <s v="WF0295B"/>
    <s v="SBS"/>
    <x v="1"/>
    <s v=""/>
    <n v="6"/>
    <s v="bindernotefancyslipa5sf1925kmsr"/>
    <s v="bindernotefancyslipa5sf1925kmsr1140000"/>
    <s v="bindernotefancyslipa5sf1925kmsr1140000"/>
    <s v=""/>
    <m/>
    <n v="3390"/>
    <s v=""/>
    <s v="120 PCS"/>
    <s v="bindernotefancyslipa5sf1925kmsr120pcsuntana"/>
    <n v="3390"/>
    <x v="20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7"/>
    <s v="SBS_2206_0B1-2"/>
    <m/>
    <n v="47"/>
    <m/>
    <s v="SBS"/>
    <s v="UNTANA"/>
    <s v="WF0330B1"/>
    <m/>
    <d v="2024-06-13T00:00:00"/>
    <m/>
    <s v="PC KARTON SF-398/ KODE/ 3SSN/ LAMPU KEDIP"/>
    <n v="8"/>
    <n v="768"/>
    <s v="PCS"/>
    <n v="18950"/>
    <m/>
    <m/>
    <m/>
    <m/>
    <m/>
    <m/>
    <m/>
    <n v="14553600"/>
    <n v="0"/>
    <n v="0"/>
    <n v="0"/>
    <n v="0"/>
    <n v="14553600"/>
    <m/>
    <s v=""/>
    <s v=""/>
    <n v="1819200"/>
    <n v="14553600"/>
    <x v="15"/>
    <d v="2024-06-13T00:00:00"/>
    <s v="WF0330B1"/>
    <s v="SBS"/>
    <x v="1"/>
    <n v="2"/>
    <n v="6"/>
    <s v="pckartonsf398kode3ssnlampukedip"/>
    <s v="pckartonsf398kode3ssnlampukedip1819200"/>
    <s v="pckartonsf398kode3ssnlampukedip1819200"/>
    <s v="SBSUNTANAWF0330B145456pckartonsf398kode3ssnlampukedip"/>
    <m/>
    <n v="3436"/>
    <s v=""/>
    <s v="96 PCS"/>
    <s v="pckartonsf398kode3ssnlampukedip96pcsuntana"/>
    <n v="3436"/>
    <x v="201"/>
    <m/>
  </r>
  <r>
    <s v=""/>
    <s v=""/>
    <m/>
    <n v="47"/>
    <m/>
    <m/>
    <m/>
    <m/>
    <m/>
    <m/>
    <m/>
    <s v="PC KARTON SF-398/ KODE/ 3SSN/ LAMPU KEDIP"/>
    <m/>
    <n v="61"/>
    <s v="PCS"/>
    <n v="18950"/>
    <m/>
    <m/>
    <m/>
    <m/>
    <m/>
    <m/>
    <m/>
    <n v="1155950"/>
    <n v="0"/>
    <n v="0"/>
    <n v="0"/>
    <n v="0"/>
    <n v="1155950"/>
    <m/>
    <n v="0"/>
    <n v="15709550"/>
    <n v="1155950"/>
    <n v="1155950"/>
    <x v="15"/>
    <d v="2024-06-13T00:00:00"/>
    <s v="WF0330B1"/>
    <s v="SBS"/>
    <x v="1"/>
    <s v=""/>
    <n v="6"/>
    <s v="pckartonsf398kode3ssnlampukedip"/>
    <s v="pckartonsf398kode3ssnlampukedip1155950"/>
    <s v="pckartonsf398kode3ssnlampukedip18950"/>
    <s v=""/>
    <m/>
    <n v="3436"/>
    <s v=""/>
    <s v="96 PCS"/>
    <s v="pckartonsf398kode3ssnlampukedip96pcsuntana"/>
    <n v="3436"/>
    <x v="202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8"/>
    <s v="SBS_2206_TTP-4"/>
    <m/>
    <n v="48"/>
    <m/>
    <s v="SBS"/>
    <s v="UNTANA"/>
    <s v="WF0005ATTP"/>
    <m/>
    <d v="2024-06-03T00:00:00"/>
    <m/>
    <s v="PALET GAMBAR BIOLA-ANGGUR WARNA/ WAG-201"/>
    <n v="7"/>
    <n v="420"/>
    <s v="LSN"/>
    <n v="9300"/>
    <m/>
    <m/>
    <m/>
    <m/>
    <m/>
    <m/>
    <s v="BARANG TITIP"/>
    <n v="3906000"/>
    <n v="0"/>
    <n v="0"/>
    <n v="0"/>
    <n v="0"/>
    <n v="3906000"/>
    <m/>
    <s v=""/>
    <s v=""/>
    <n v="558000"/>
    <n v="3906000"/>
    <x v="15"/>
    <d v="2024-06-03T00:00:00"/>
    <s v="WF0005ATTP"/>
    <s v="SBS"/>
    <x v="1"/>
    <n v="4"/>
    <n v="6"/>
    <s v="paletgambarbiolaanggurwarnawag201"/>
    <s v="paletgambarbiolaanggurwarnawag201558000"/>
    <s v="paletgambarbiolaanggurwarnawag201558000"/>
    <s v="SBSUNTANAWF0005ATTP45446paletgambarbiolaanggurwarnawag201"/>
    <m/>
    <n v="2349"/>
    <s v=""/>
    <s v="60 LSN"/>
    <s v="paletgambarbiolaanggurwarnawag20160lsnuntana"/>
    <n v="2349"/>
    <x v="203"/>
    <m/>
  </r>
  <r>
    <s v=""/>
    <s v=""/>
    <m/>
    <n v="48"/>
    <m/>
    <m/>
    <m/>
    <m/>
    <m/>
    <m/>
    <m/>
    <s v="PALET GAMBAR BIOLA-ANGGUR WARNA/ WAG-201"/>
    <n v="1"/>
    <n v="60"/>
    <s v="LSN"/>
    <m/>
    <m/>
    <m/>
    <m/>
    <m/>
    <m/>
    <m/>
    <s v="BARANG TITIP"/>
    <s v=""/>
    <s v=""/>
    <s v=""/>
    <s v=""/>
    <s v=""/>
    <s v=""/>
    <m/>
    <s v=""/>
    <s v=""/>
    <n v="0"/>
    <s v=""/>
    <x v="15"/>
    <d v="2024-06-03T00:00:00"/>
    <s v="WF0005ATTP"/>
    <s v="SBS"/>
    <x v="1"/>
    <s v=""/>
    <n v="6"/>
    <s v="paletgambarbiolaanggurwarnawag201"/>
    <s v="paletgambarbiolaanggurwarnawag2010"/>
    <s v="paletgambarbiolaanggurwarnawag2010"/>
    <s v=""/>
    <m/>
    <n v="2349"/>
    <s v=""/>
    <s v="60 LSN"/>
    <s v="paletgambarbiolaanggurwarnawag20160lsnuntana"/>
    <n v="2349"/>
    <x v="204"/>
    <m/>
  </r>
  <r>
    <s v=""/>
    <s v=""/>
    <m/>
    <n v="48"/>
    <m/>
    <m/>
    <m/>
    <m/>
    <m/>
    <m/>
    <m/>
    <s v="PALET GAMBAR BIOLA-APEL WARNA/ WAP-202"/>
    <n v="7"/>
    <n v="420"/>
    <s v="LSN"/>
    <n v="9300"/>
    <m/>
    <m/>
    <m/>
    <m/>
    <m/>
    <m/>
    <s v="BARANG TITIP"/>
    <n v="3906000"/>
    <n v="0"/>
    <n v="0"/>
    <n v="0"/>
    <n v="0"/>
    <n v="3906000"/>
    <m/>
    <s v=""/>
    <s v=""/>
    <n v="558000"/>
    <n v="3906000"/>
    <x v="15"/>
    <d v="2024-06-03T00:00:00"/>
    <s v="WF0005ATTP"/>
    <s v="SBS"/>
    <x v="1"/>
    <s v=""/>
    <n v="6"/>
    <s v="paletgambarbiolaapelwarnawap202"/>
    <s v="paletgambarbiolaapelwarnawap202558000"/>
    <s v="paletgambarbiolaapelwarnawap202558000"/>
    <s v=""/>
    <m/>
    <n v="2350"/>
    <s v=""/>
    <s v="60 LSN"/>
    <s v="paletgambarbiolaapelwarnawap20260lsnuntana"/>
    <n v="2350"/>
    <x v="205"/>
    <m/>
  </r>
  <r>
    <s v=""/>
    <s v=""/>
    <m/>
    <n v="48"/>
    <m/>
    <m/>
    <m/>
    <m/>
    <m/>
    <m/>
    <m/>
    <s v="PALET GAMBAR BIOLA-APEL WARNA/ WAP-202"/>
    <n v="3"/>
    <n v="120"/>
    <s v="LSN"/>
    <m/>
    <m/>
    <m/>
    <m/>
    <m/>
    <m/>
    <m/>
    <s v="BARANG TITIP"/>
    <s v=""/>
    <s v=""/>
    <s v=""/>
    <s v=""/>
    <s v=""/>
    <s v=""/>
    <m/>
    <n v="0"/>
    <n v="7812000"/>
    <n v="0"/>
    <s v=""/>
    <x v="15"/>
    <d v="2024-06-03T00:00:00"/>
    <s v="WF0005ATTP"/>
    <s v="SBS"/>
    <x v="1"/>
    <s v=""/>
    <n v="6"/>
    <s v="paletgambarbiolaapelwarnawap202"/>
    <s v="paletgambarbiolaapelwarnawap2020"/>
    <s v="paletgambarbiolaapelwarnawap2020"/>
    <s v=""/>
    <m/>
    <n v="2350"/>
    <s v=""/>
    <s v="60 LSN"/>
    <s v="paletgambarbiolaapelwarnawap20260lsnuntana"/>
    <n v="2350"/>
    <x v="206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9"/>
    <s v="MSI_2206_185-1"/>
    <m/>
    <n v="49"/>
    <m/>
    <s v="MSI"/>
    <s v="UNTANA"/>
    <s v="24/VI/185"/>
    <m/>
    <d v="2024-06-14T00:00:00"/>
    <m/>
    <s v="GEL PEN ZUI ZHUA HY-1020 HITAM"/>
    <n v="25"/>
    <n v="4800"/>
    <s v="LSN"/>
    <n v="10000"/>
    <m/>
    <m/>
    <m/>
    <m/>
    <m/>
    <m/>
    <m/>
    <n v="48000000"/>
    <n v="0"/>
    <n v="0"/>
    <n v="0"/>
    <n v="0"/>
    <n v="48000000"/>
    <m/>
    <n v="0"/>
    <n v="48000000"/>
    <n v="1920000"/>
    <n v="48000000"/>
    <x v="15"/>
    <d v="2024-06-14T00:00:00"/>
    <s v="24/VI/185"/>
    <s v="MSI"/>
    <x v="1"/>
    <n v="1"/>
    <n v="6"/>
    <s v="gelpenzuizhuahy1020hitam"/>
    <s v="gelpenzuizhuahy1020hitam1920000"/>
    <s v="gelpenzuizhuahy1020hitam1920000"/>
    <s v="MSIUNTANA24/VI/18545457gelpenzuizhuahy1020hitam"/>
    <m/>
    <n v="1133"/>
    <s v=""/>
    <s v="192 LSN"/>
    <s v="gelpenzuizhuahy1020hitam192lsnuntana"/>
    <n v="1133"/>
    <x v="207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50"/>
    <s v="COM_1906_630-1"/>
    <m/>
    <n v="50"/>
    <d v="2024-06-19T00:00:00"/>
    <s v="COMBI"/>
    <s v="UNTANA"/>
    <s v="0630"/>
    <m/>
    <d v="2024-06-19T00:00:00"/>
    <m/>
    <s v="DOC RIT PRESTIGE"/>
    <n v="3"/>
    <n v="24"/>
    <s v="LSN"/>
    <n v="195000"/>
    <m/>
    <m/>
    <m/>
    <m/>
    <m/>
    <m/>
    <m/>
    <n v="4680000"/>
    <n v="0"/>
    <n v="0"/>
    <n v="0"/>
    <n v="0"/>
    <n v="4680000"/>
    <m/>
    <n v="0"/>
    <n v="4680000"/>
    <n v="1560000"/>
    <n v="4680000"/>
    <x v="16"/>
    <d v="2024-06-19T00:00:00"/>
    <s v="0630"/>
    <s v="COMBI"/>
    <x v="1"/>
    <n v="1"/>
    <n v="6"/>
    <s v="docritprestige"/>
    <s v="docritprestige1560000"/>
    <s v="docritprestige1560000"/>
    <s v="COMBIUNTANA063045462docritprestige"/>
    <m/>
    <n v="873"/>
    <s v=""/>
    <s v="8 LSN"/>
    <s v="docritprestige8lsnuntana"/>
    <n v="873"/>
    <x v="208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51"/>
    <s v="ALP_2206_ 03-3"/>
    <m/>
    <n v="51"/>
    <d v="2024-06-22T00:00:00"/>
    <s v="ALPINDO"/>
    <s v="UNTANA"/>
    <s v="H 03"/>
    <m/>
    <d v="2024-06-19T00:00:00"/>
    <m/>
    <s v="SAMPUL OPP ALEXANDER KWARTO"/>
    <n v="5"/>
    <n v="1500"/>
    <s v="PAK"/>
    <n v="6500"/>
    <m/>
    <m/>
    <m/>
    <m/>
    <m/>
    <m/>
    <m/>
    <n v="9750000"/>
    <n v="0"/>
    <n v="0"/>
    <n v="0"/>
    <n v="0"/>
    <n v="9750000"/>
    <m/>
    <s v=""/>
    <s v=""/>
    <n v="1950000"/>
    <n v="9750000"/>
    <x v="15"/>
    <d v="2024-06-19T00:00:00"/>
    <s v="H 03"/>
    <s v="ALPINDO"/>
    <x v="1"/>
    <n v="3"/>
    <n v="6"/>
    <s v="sampuloppalexanderkwarto"/>
    <s v="sampuloppalexanderkwarto1950000"/>
    <s v="sampuloppalexanderkwarto1950000"/>
    <s v="ALPINDOUNTANAH 0345462sampuloppalexanderkwarto"/>
    <m/>
    <n v="2818"/>
    <s v=""/>
    <s v="300 PAK"/>
    <s v="sampuloppalexanderkwarto300pakuntana"/>
    <n v="2818"/>
    <x v="209"/>
    <m/>
  </r>
  <r>
    <s v=""/>
    <s v=""/>
    <m/>
    <n v="51"/>
    <m/>
    <m/>
    <m/>
    <m/>
    <m/>
    <m/>
    <m/>
    <s v="DISP KJ NO.50"/>
    <n v="5"/>
    <n v="200"/>
    <s v="PCS"/>
    <n v="17500"/>
    <m/>
    <m/>
    <n v="0.3"/>
    <m/>
    <m/>
    <m/>
    <m/>
    <n v="3500000"/>
    <n v="1050000"/>
    <n v="0"/>
    <n v="0"/>
    <n v="1050000"/>
    <n v="2450000"/>
    <m/>
    <s v=""/>
    <s v=""/>
    <n v="700000"/>
    <n v="3500000"/>
    <x v="15"/>
    <d v="2024-06-19T00:00:00"/>
    <s v="H 03"/>
    <s v="ALPINDO"/>
    <x v="1"/>
    <s v=""/>
    <n v="6"/>
    <s v="dispkjno50"/>
    <s v="dispkjno507000000,3"/>
    <s v="dispkjno507000000,3"/>
    <s v=""/>
    <m/>
    <n v="834"/>
    <s v=""/>
    <s v="40 PCS"/>
    <s v="dispkjno5040pcsuntana"/>
    <n v="834"/>
    <x v="210"/>
    <m/>
  </r>
  <r>
    <s v=""/>
    <s v=""/>
    <m/>
    <n v="51"/>
    <m/>
    <m/>
    <m/>
    <m/>
    <m/>
    <m/>
    <m/>
    <s v="DISPENSER KENJOY NO.25"/>
    <n v="1"/>
    <n v="175"/>
    <s v="PCS"/>
    <n v="6000"/>
    <m/>
    <m/>
    <n v="0.05"/>
    <m/>
    <m/>
    <m/>
    <m/>
    <n v="1050000"/>
    <n v="52500"/>
    <n v="0"/>
    <n v="0"/>
    <n v="52500"/>
    <n v="997500"/>
    <m/>
    <n v="1102500"/>
    <n v="13197500"/>
    <n v="1050000"/>
    <n v="1050000"/>
    <x v="15"/>
    <d v="2024-06-19T00:00:00"/>
    <s v="H 03"/>
    <s v="ALPINDO"/>
    <x v="1"/>
    <s v=""/>
    <n v="6"/>
    <s v="dispenserkenjoyno25"/>
    <s v="dispenserkenjoyno2510500000,05"/>
    <s v="dispenserkenjoyno2510500000,05"/>
    <s v=""/>
    <m/>
    <n v="835"/>
    <s v=""/>
    <s v="175 PCS"/>
    <s v="dispenserkenjoyno25175pcsuntana"/>
    <n v="835"/>
    <x v="211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52"/>
    <s v="PPW_2506_I24-1"/>
    <m/>
    <n v="52"/>
    <d v="2024-06-25T00:00:00"/>
    <s v="PPW"/>
    <s v="UNTANA"/>
    <s v="0287/HW/VI/24"/>
    <m/>
    <d v="2024-06-22T00:00:00"/>
    <m/>
    <s v="BT 30 CM"/>
    <n v="15"/>
    <n v="1500"/>
    <s v="LSN"/>
    <n v="26780"/>
    <m/>
    <m/>
    <n v="0.2"/>
    <n v="0.04"/>
    <m/>
    <m/>
    <m/>
    <n v="40170000"/>
    <n v="8034000"/>
    <n v="1285440"/>
    <n v="0"/>
    <n v="9319440"/>
    <n v="30850560"/>
    <m/>
    <n v="9319440"/>
    <n v="30850560"/>
    <n v="2678000"/>
    <n v="40170000"/>
    <x v="17"/>
    <d v="2024-06-22T00:00:00"/>
    <s v="0287/HW/VI/24"/>
    <s v="PPW"/>
    <x v="1"/>
    <n v="1"/>
    <n v="6"/>
    <s v="bt30cm"/>
    <s v="bt30cm26780000,20,04"/>
    <s v="bt30cm26780000,20,04"/>
    <s v="PPWUNTANA0287/HW/VI/2445465bt30cm"/>
    <m/>
    <n v="514"/>
    <s v=""/>
    <s v="100 LSN"/>
    <s v="bt30cm100lsnuntana"/>
    <n v="514"/>
    <x v="212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53"/>
    <s v="DBS_2406_624-17"/>
    <m/>
    <n v="53"/>
    <d v="2024-06-24T00:00:00"/>
    <s v="DB STATIONERY"/>
    <s v="UNTANA"/>
    <s v="JUF476/24"/>
    <m/>
    <d v="2024-06-21T00:00:00"/>
    <m/>
    <s v="RAUTAN TOPLES 25 PCS XLG R-5861"/>
    <n v="1"/>
    <n v="24"/>
    <s v="TOP"/>
    <n v="92500"/>
    <m/>
    <s v="24 TOP"/>
    <m/>
    <m/>
    <m/>
    <m/>
    <m/>
    <n v="2220000"/>
    <n v="0"/>
    <n v="0"/>
    <n v="0"/>
    <n v="0"/>
    <n v="2220000"/>
    <m/>
    <s v=""/>
    <s v=""/>
    <n v="2220000"/>
    <n v="2220000"/>
    <x v="18"/>
    <d v="2024-06-21T00:00:00"/>
    <s v="JUF476/24"/>
    <s v="DB STATIONERY"/>
    <x v="1"/>
    <n v="17"/>
    <n v="6"/>
    <s v="rautantoples25pcsxlgr5861"/>
    <s v="rautantoples25pcsxlgr58612220000"/>
    <s v="rautantoples25pcsxlgr58612220000"/>
    <s v="DB STATIONERYUNTANAJUF476/2445464rautantoples25pcsxlgr5861"/>
    <m/>
    <n v="2781"/>
    <b v="1"/>
    <s v="24 TOP"/>
    <s v="rautantoples25pcsxlgr586124topuntana"/>
    <n v="2781"/>
    <x v="213"/>
    <m/>
  </r>
  <r>
    <s v=""/>
    <s v=""/>
    <m/>
    <n v="53"/>
    <m/>
    <m/>
    <m/>
    <m/>
    <m/>
    <m/>
    <m/>
    <s v="RAUTAN MEJA BONEKA SX-0065 L"/>
    <n v="1"/>
    <n v="3"/>
    <s v="PCS"/>
    <m/>
    <m/>
    <m/>
    <m/>
    <m/>
    <m/>
    <m/>
    <m/>
    <s v=""/>
    <s v=""/>
    <s v=""/>
    <s v=""/>
    <s v=""/>
    <s v=""/>
    <m/>
    <s v=""/>
    <s v=""/>
    <n v="0"/>
    <s v=""/>
    <x v="18"/>
    <d v="2024-06-21T00:00:00"/>
    <s v="JUF476/24"/>
    <s v="DB STATIONERY"/>
    <x v="1"/>
    <s v=""/>
    <n v="6"/>
    <s v="rautanmejabonekasx0065l"/>
    <s v="rautanmejabonekasx0065l0"/>
    <s v="rautanmejabonekasx0065l0"/>
    <s v=""/>
    <m/>
    <n v="3435"/>
    <s v=""/>
    <s v="15 PCS"/>
    <s v="rautanmejabonekasx0065l15pcsuntana"/>
    <n v="3435"/>
    <x v="214"/>
    <m/>
  </r>
  <r>
    <s v=""/>
    <s v=""/>
    <m/>
    <n v="53"/>
    <m/>
    <m/>
    <m/>
    <m/>
    <m/>
    <m/>
    <m/>
    <s v="GEL ZHIXIN + REFILL G-3109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3109"/>
    <s v="gelzhixinrefillg31092190000"/>
    <s v="gelzhixinrefillg31092190000"/>
    <s v=""/>
    <m/>
    <n v="1332"/>
    <b v="1"/>
    <s v="120 LSN"/>
    <s v="gelzhixinrefillg3109120lsnuntana"/>
    <n v="1332"/>
    <x v="215"/>
    <m/>
  </r>
  <r>
    <s v=""/>
    <s v=""/>
    <m/>
    <n v="53"/>
    <m/>
    <m/>
    <m/>
    <m/>
    <m/>
    <m/>
    <m/>
    <s v="GEL ZHIXIN + REFILL G-312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3125"/>
    <s v="gelzhixinrefillg31252190000"/>
    <s v="gelzhixinrefillg31252190000"/>
    <s v=""/>
    <m/>
    <n v="1347"/>
    <b v="1"/>
    <s v="120 LSN"/>
    <s v="gelzhixinrefillg3125120lsnuntana"/>
    <n v="1347"/>
    <x v="216"/>
    <m/>
  </r>
  <r>
    <s v=""/>
    <s v=""/>
    <m/>
    <n v="53"/>
    <m/>
    <m/>
    <m/>
    <m/>
    <m/>
    <m/>
    <m/>
    <s v="GEL ZHIXIN + REFILL G-3158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3158"/>
    <s v="gelzhixinrefillg31582190000"/>
    <s v="gelzhixinrefillg31582190000"/>
    <s v=""/>
    <m/>
    <n v="1281"/>
    <b v="1"/>
    <s v="120 LSN"/>
    <s v="gelzhixinrefillg3158120lsnuntana"/>
    <n v="1281"/>
    <x v="217"/>
    <m/>
  </r>
  <r>
    <s v=""/>
    <s v=""/>
    <m/>
    <n v="53"/>
    <m/>
    <m/>
    <m/>
    <m/>
    <m/>
    <m/>
    <m/>
    <s v="GEL ZHIXIN + REFILL G-3159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3159"/>
    <s v="gelzhixinrefillg31592190000"/>
    <s v="gelzhixinrefillg31592190000"/>
    <s v=""/>
    <m/>
    <n v="1269"/>
    <b v="1"/>
    <s v="120 LSN"/>
    <s v="gelzhixinrefillg3159120lsnuntana"/>
    <n v="1269"/>
    <x v="218"/>
    <m/>
  </r>
  <r>
    <s v=""/>
    <s v=""/>
    <m/>
    <n v="53"/>
    <m/>
    <m/>
    <m/>
    <m/>
    <m/>
    <m/>
    <m/>
    <s v="GEL ZHIXIN + REFILL G-3161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3161"/>
    <s v="gelzhixinrefillg31612190000"/>
    <s v="gelzhixinrefillg31612190000"/>
    <s v=""/>
    <m/>
    <n v="1270"/>
    <b v="1"/>
    <s v="120 LSN"/>
    <s v="gelzhixinrefillg3161120lsnuntana"/>
    <n v="1270"/>
    <x v="219"/>
    <m/>
  </r>
  <r>
    <s v=""/>
    <s v=""/>
    <m/>
    <n v="53"/>
    <m/>
    <m/>
    <m/>
    <m/>
    <m/>
    <m/>
    <m/>
    <s v="GEL ZHIXIN + REFILL G-3160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3160"/>
    <s v="gelzhixinrefillg31602190000"/>
    <s v="gelzhixinrefillg31602190000"/>
    <s v=""/>
    <m/>
    <n v="1271"/>
    <b v="1"/>
    <s v="120 LSN"/>
    <s v="gelzhixinrefillg3160120lsnuntana"/>
    <n v="1271"/>
    <x v="220"/>
    <m/>
  </r>
  <r>
    <s v=""/>
    <s v=""/>
    <m/>
    <n v="53"/>
    <m/>
    <m/>
    <m/>
    <m/>
    <m/>
    <m/>
    <m/>
    <s v="GEL ZHIXIN + REFILL G-3166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3166"/>
    <s v="gelzhixinrefillg31662190000"/>
    <s v="gelzhixinrefillg31662190000"/>
    <s v=""/>
    <m/>
    <n v="1272"/>
    <b v="1"/>
    <s v="120 LSN"/>
    <s v="gelzhixinrefillg3166120lsnuntana"/>
    <n v="1272"/>
    <x v="221"/>
    <m/>
  </r>
  <r>
    <s v=""/>
    <s v=""/>
    <m/>
    <n v="53"/>
    <m/>
    <m/>
    <m/>
    <m/>
    <m/>
    <m/>
    <m/>
    <s v="GEL ZHIXIN + REFILL G-3167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3167"/>
    <s v="gelzhixinrefillg31672190000"/>
    <s v="gelzhixinrefillg31672190000"/>
    <s v=""/>
    <m/>
    <n v="1262"/>
    <b v="1"/>
    <s v="120 LSN"/>
    <s v="gelzhixinrefillg3167120lsnuntana"/>
    <n v="1262"/>
    <x v="222"/>
    <m/>
  </r>
  <r>
    <s v=""/>
    <s v=""/>
    <m/>
    <n v="53"/>
    <m/>
    <m/>
    <m/>
    <m/>
    <m/>
    <m/>
    <m/>
    <s v="GEL ZHIXIN + REFILL G-5017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5017"/>
    <s v="gelzhixinrefillg50172190000"/>
    <s v="gelzhixinrefillg50172190000"/>
    <s v=""/>
    <m/>
    <n v="1288"/>
    <b v="1"/>
    <s v="120 LSN"/>
    <s v="gelzhixinrefillg5017120lsnuntana"/>
    <n v="1288"/>
    <x v="223"/>
    <m/>
  </r>
  <r>
    <s v=""/>
    <s v=""/>
    <m/>
    <n v="53"/>
    <m/>
    <m/>
    <m/>
    <m/>
    <m/>
    <m/>
    <m/>
    <s v="GEL ZHIXIN + REFILL G-5018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5018"/>
    <s v="gelzhixinrefillg50182190000"/>
    <s v="gelzhixinrefillg50182190000"/>
    <s v=""/>
    <m/>
    <n v="1273"/>
    <b v="1"/>
    <s v="120 LSN"/>
    <s v="gelzhixinrefillg5018120lsnuntana"/>
    <n v="1273"/>
    <x v="224"/>
    <m/>
  </r>
  <r>
    <s v=""/>
    <s v=""/>
    <m/>
    <n v="53"/>
    <m/>
    <m/>
    <m/>
    <m/>
    <m/>
    <m/>
    <m/>
    <s v="GEL ZHIXIN + REFILL G-503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5035"/>
    <s v="gelzhixinrefillg50352190000"/>
    <s v="gelzhixinrefillg50352190000"/>
    <s v=""/>
    <m/>
    <n v="1274"/>
    <b v="1"/>
    <s v="120 LSN"/>
    <s v="gelzhixinrefillg5035120lsnuntana"/>
    <n v="1274"/>
    <x v="225"/>
    <m/>
  </r>
  <r>
    <s v=""/>
    <s v=""/>
    <m/>
    <n v="53"/>
    <m/>
    <m/>
    <m/>
    <m/>
    <m/>
    <m/>
    <m/>
    <s v="GEL ZHIXIN + REFILL G-5040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5040"/>
    <s v="gelzhixinrefillg50402190000"/>
    <s v="gelzhixinrefillg50402190000"/>
    <s v=""/>
    <m/>
    <n v="1275"/>
    <b v="1"/>
    <s v="120 LSN"/>
    <s v="gelzhixinrefillg5040120lsnuntana"/>
    <n v="1275"/>
    <x v="226"/>
    <m/>
  </r>
  <r>
    <s v=""/>
    <s v=""/>
    <m/>
    <n v="53"/>
    <m/>
    <m/>
    <m/>
    <m/>
    <m/>
    <m/>
    <m/>
    <s v="GEL ZHIXIN + REFILL G-5042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18"/>
    <d v="2024-06-21T00:00:00"/>
    <s v="JUF476/24"/>
    <s v="DB STATIONERY"/>
    <x v="1"/>
    <s v=""/>
    <n v="6"/>
    <s v="gelzhixinrefillg5042"/>
    <s v="gelzhixinrefillg50422190000"/>
    <s v="gelzhixinrefillg50422190000"/>
    <s v=""/>
    <m/>
    <n v="1276"/>
    <b v="1"/>
    <s v="120 LSN"/>
    <s v="gelzhixinrefillg5042120lsnuntana"/>
    <n v="1276"/>
    <x v="227"/>
    <m/>
  </r>
  <r>
    <s v=""/>
    <s v=""/>
    <m/>
    <n v="53"/>
    <m/>
    <m/>
    <m/>
    <m/>
    <m/>
    <m/>
    <m/>
    <s v="GEL ZHIXIN + REFILL G-5042"/>
    <n v="1"/>
    <n v="120"/>
    <s v="LSN"/>
    <m/>
    <m/>
    <s v="120 LSN"/>
    <m/>
    <m/>
    <m/>
    <m/>
    <s v="BONUS"/>
    <s v=""/>
    <s v=""/>
    <s v=""/>
    <s v=""/>
    <s v=""/>
    <s v=""/>
    <m/>
    <s v=""/>
    <s v=""/>
    <n v="0"/>
    <s v=""/>
    <x v="18"/>
    <d v="2024-06-21T00:00:00"/>
    <s v="JUF476/24"/>
    <s v="DB STATIONERY"/>
    <x v="1"/>
    <s v=""/>
    <n v="6"/>
    <s v="gelzhixinrefillg5042"/>
    <s v="gelzhixinrefillg50420"/>
    <s v="gelzhixinrefillg50420"/>
    <s v=""/>
    <m/>
    <n v="1276"/>
    <b v="1"/>
    <s v="120 LSN"/>
    <s v="gelzhixinrefillg5042120lsnuntana"/>
    <n v="1276"/>
    <x v="228"/>
    <m/>
  </r>
  <r>
    <s v=""/>
    <s v=""/>
    <m/>
    <n v="53"/>
    <m/>
    <m/>
    <m/>
    <m/>
    <m/>
    <m/>
    <m/>
    <s v="GEL 1.0 340 BIRU TG340BI"/>
    <n v="1"/>
    <n v="96"/>
    <s v="LSN"/>
    <n v="31500"/>
    <m/>
    <s v="96 LSN"/>
    <m/>
    <m/>
    <m/>
    <m/>
    <m/>
    <n v="3024000"/>
    <n v="0"/>
    <n v="0"/>
    <n v="0"/>
    <n v="0"/>
    <n v="3024000"/>
    <m/>
    <n v="0"/>
    <n v="59994000"/>
    <n v="3024000"/>
    <n v="3024000"/>
    <x v="18"/>
    <d v="2024-06-21T00:00:00"/>
    <s v="JUF476/24"/>
    <s v="DB STATIONERY"/>
    <x v="1"/>
    <s v=""/>
    <n v="6"/>
    <s v="gel10340birutg340bi"/>
    <s v="gel10340birutg340bi3024000"/>
    <s v="gel10340birutg340bi3024000"/>
    <s v=""/>
    <m/>
    <n v="1032"/>
    <b v="1"/>
    <s v="96 LSN"/>
    <s v="gel10340birutg340bi96lsnuntana"/>
    <e v="#N/A"/>
    <x v="229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54"/>
    <s v="DUT_2406_24H-1"/>
    <m/>
    <n v="54"/>
    <d v="2024-06-24T00:00:00"/>
    <s v="DUTA BUANA"/>
    <s v="UNTANA"/>
    <s v="HM/116/06-24H"/>
    <m/>
    <d v="2004-06-22T00:00:00"/>
    <m/>
    <s v="BALLPEN GEL TF-3115 0,3MM HIGHTECH KNOCK"/>
    <n v="3"/>
    <n v="288"/>
    <s v="LSN"/>
    <n v="30500"/>
    <m/>
    <n v="96"/>
    <n v="0.03"/>
    <m/>
    <m/>
    <m/>
    <m/>
    <n v="8784000"/>
    <n v="263520"/>
    <n v="0"/>
    <n v="0"/>
    <n v="263520"/>
    <n v="8520480"/>
    <m/>
    <n v="263520"/>
    <n v="8520480"/>
    <n v="2928000"/>
    <n v="8784000"/>
    <x v="18"/>
    <d v="2004-06-22T00:00:00"/>
    <s v="HM/116/06-24H"/>
    <s v="DUTA BUANA"/>
    <x v="1"/>
    <n v="1"/>
    <n v="6"/>
    <s v="ballpengeltf311503mmhightechknock"/>
    <s v="ballpengeltf311503mmhightechknock29280000,03"/>
    <s v="ballpengeltf311503mmhightechknock29280000,03"/>
    <s v="DUTA BUANAUNTANAHM/116/06-24H38160ballpengeltf311503mmhightechknock"/>
    <m/>
    <n v="155"/>
    <b v="1"/>
    <n v="96"/>
    <s v="ballpengeltf311503mmhightechknock96untana"/>
    <e v="#N/A"/>
    <x v="23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55"/>
    <s v="DUT_2406_24H-1"/>
    <m/>
    <n v="55"/>
    <d v="2024-06-24T00:00:00"/>
    <s v="DUTA BUANA"/>
    <s v="UNTANA"/>
    <s v="HM/115/06-24H"/>
    <m/>
    <d v="2024-06-22T00:00:00"/>
    <m/>
    <s v="PENCIL TF-194-24 PASTEL 24WR PJ"/>
    <n v="2"/>
    <n v="240"/>
    <s v="SET"/>
    <n v="20000"/>
    <m/>
    <s v="120 SET"/>
    <n v="0.03"/>
    <m/>
    <m/>
    <m/>
    <m/>
    <n v="4800000"/>
    <n v="144000"/>
    <n v="0"/>
    <n v="0"/>
    <n v="144000"/>
    <n v="4656000"/>
    <m/>
    <n v="144000"/>
    <n v="4656000"/>
    <n v="2400000"/>
    <n v="4800000"/>
    <x v="18"/>
    <d v="2024-06-22T00:00:00"/>
    <s v="HM/115/06-24H"/>
    <s v="DUTA BUANA"/>
    <x v="1"/>
    <n v="1"/>
    <n v="6"/>
    <s v="penciltf19424pastel24wrpj"/>
    <s v="penciltf19424pastel24wrpj24000000,03"/>
    <s v="penciltf19424pastel24wrpj24000000,03"/>
    <s v="DUTA BUANAUNTANAHM/115/06-24H45465penciltf19424pastel24wrpj"/>
    <m/>
    <n v="2576"/>
    <b v="1"/>
    <s v="120 SET"/>
    <s v="penciltf19424pastel24wrpj120setuntana"/>
    <n v="2576"/>
    <x v="231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56"/>
    <s v="AND_2206_764-2"/>
    <m/>
    <n v="56"/>
    <d v="2024-06-22T00:00:00"/>
    <s v="ANDY (YOEKER)"/>
    <s v="UNTANA"/>
    <s v="SO24/1764"/>
    <m/>
    <d v="2024-06-19T00:00:00"/>
    <m/>
    <s v="PENGGARIS BESI 40CM YOEKER"/>
    <n v="2"/>
    <n v="50"/>
    <s v="LSN"/>
    <n v="32500"/>
    <m/>
    <s v="25 LSN"/>
    <m/>
    <m/>
    <m/>
    <m/>
    <m/>
    <n v="1625000"/>
    <n v="0"/>
    <n v="0"/>
    <n v="0"/>
    <n v="0"/>
    <n v="1625000"/>
    <m/>
    <s v=""/>
    <s v=""/>
    <n v="812500"/>
    <n v="1625000"/>
    <x v="15"/>
    <d v="2024-06-19T00:00:00"/>
    <s v="SO24/1764"/>
    <s v="ANDY (YOEKER)"/>
    <x v="1"/>
    <n v="2"/>
    <n v="6"/>
    <s v="penggarisbesi40cmyoeker"/>
    <s v="penggarisbesi40cmyoeker812500"/>
    <s v="penggarisbesi40cmyoeker812500"/>
    <s v="ANDY (YOEKER)UNTANASO24/176445462penggarisbesi40cmyoeker"/>
    <m/>
    <n v="1014"/>
    <b v="1"/>
    <s v="25 LSN"/>
    <s v="penggarisbesi40cmyoeker25lsnuntana"/>
    <n v="1014"/>
    <x v="232"/>
    <m/>
  </r>
  <r>
    <s v=""/>
    <s v=""/>
    <m/>
    <n v="56"/>
    <m/>
    <m/>
    <m/>
    <m/>
    <m/>
    <m/>
    <m/>
    <s v="PENGGARIS BESI 50CM YOEKER"/>
    <n v="2"/>
    <n v="50"/>
    <s v="LSN"/>
    <n v="37500"/>
    <m/>
    <s v="25 LSN"/>
    <m/>
    <m/>
    <m/>
    <m/>
    <m/>
    <n v="1875000"/>
    <n v="0"/>
    <n v="0"/>
    <n v="0"/>
    <n v="0"/>
    <n v="1875000"/>
    <m/>
    <n v="0"/>
    <n v="3500000"/>
    <n v="937500"/>
    <n v="1875000"/>
    <x v="15"/>
    <d v="2024-06-19T00:00:00"/>
    <s v="SO24/1764"/>
    <s v="ANDY (YOEKER)"/>
    <x v="1"/>
    <s v=""/>
    <n v="6"/>
    <s v="penggarisbesi50cmyoeker"/>
    <s v="penggarisbesi50cmyoeker937500"/>
    <s v="penggarisbesi50cmyoeker937500"/>
    <s v=""/>
    <m/>
    <n v="1015"/>
    <b v="1"/>
    <s v="25 LSN"/>
    <s v="penggarisbesi50cmyoeker25lsnuntana"/>
    <n v="1015"/>
    <x v="233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57"/>
    <s v="DUT_2206_006-2"/>
    <m/>
    <n v="57"/>
    <d v="2024-06-22T00:00:00"/>
    <s v="DUTA BUANA"/>
    <s v="UNTANA"/>
    <s v="HM/110/06"/>
    <m/>
    <d v="2024-06-19T00:00:00"/>
    <m/>
    <s v="BALLPEN GEL TF-3115 0.3MM HIGHTECH KNOCK"/>
    <n v="5"/>
    <n v="480"/>
    <s v="LSN"/>
    <n v="30500"/>
    <m/>
    <s v="96 LSN"/>
    <n v="0.03"/>
    <m/>
    <m/>
    <m/>
    <m/>
    <n v="14640000"/>
    <n v="439200"/>
    <n v="0"/>
    <n v="0"/>
    <n v="439200"/>
    <n v="14200800"/>
    <m/>
    <s v=""/>
    <s v=""/>
    <n v="2928000"/>
    <n v="14640000"/>
    <x v="15"/>
    <d v="2024-06-19T00:00:00"/>
    <s v="HM/110/06"/>
    <s v="DUTA BUANA"/>
    <x v="1"/>
    <n v="2"/>
    <n v="6"/>
    <s v="ballpengeltf311503mmhightechknock"/>
    <s v="ballpengeltf311503mmhightechknock29280000,03"/>
    <s v="ballpengeltf311503mmhightechknock29280000,03"/>
    <s v="DUTA BUANAUNTANAHM/110/0645462ballpengeltf311503mmhightechknock"/>
    <m/>
    <n v="155"/>
    <b v="1"/>
    <s v="96 LSN"/>
    <s v="ballpengeltf311503mmhightechknock96lsnuntana"/>
    <n v="155"/>
    <x v="234"/>
    <m/>
  </r>
  <r>
    <s v=""/>
    <s v=""/>
    <m/>
    <n v="57"/>
    <m/>
    <m/>
    <m/>
    <m/>
    <m/>
    <m/>
    <m/>
    <s v="BALLPEN GEL TF-1190 BR 0.3MM HIGHTECH"/>
    <n v="6"/>
    <n v="576"/>
    <s v="LSN"/>
    <n v="26500"/>
    <m/>
    <s v="96 LSN"/>
    <n v="0.03"/>
    <m/>
    <m/>
    <m/>
    <m/>
    <n v="15264000"/>
    <n v="457920"/>
    <n v="0"/>
    <n v="0"/>
    <n v="457920"/>
    <n v="14806080"/>
    <m/>
    <n v="897120"/>
    <n v="29006880"/>
    <n v="2544000"/>
    <n v="15264000"/>
    <x v="15"/>
    <d v="2024-06-19T00:00:00"/>
    <s v="HM/110/06"/>
    <s v="DUTA BUANA"/>
    <x v="1"/>
    <s v=""/>
    <n v="6"/>
    <s v="ballpengeltf1190br03mmhightech"/>
    <s v="ballpengeltf1190br03mmhightech25440000,03"/>
    <s v="ballpengeltf1190br03mmhightech25440000,03"/>
    <s v=""/>
    <m/>
    <n v="149"/>
    <b v="1"/>
    <s v="96 LSN"/>
    <s v="ballpengeltf1190br03mmhightech96lsnuntana"/>
    <n v="149"/>
    <x v="235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4:A240" firstHeaderRow="1" firstDataRow="1" firstDataCol="1" rowPageCount="2" colPageCount="1"/>
  <pivotFields count="5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1">
        <item x="0"/>
        <item h="1" m="1" x="57"/>
        <item h="1" m="1" x="67"/>
        <item h="1" m="1" x="62"/>
        <item h="1" m="1" x="42"/>
        <item h="1" m="1" x="55"/>
        <item h="1" m="1" x="46"/>
        <item h="1" m="1" x="60"/>
        <item h="1" m="1" x="65"/>
        <item h="1" m="1" x="44"/>
        <item h="1" m="1" x="58"/>
        <item h="1" m="1" x="40"/>
        <item h="1" m="1" x="51"/>
        <item h="1" m="1" x="68"/>
        <item m="1" x="43"/>
        <item m="1" x="56"/>
        <item m="1" x="39"/>
        <item m="1" x="66"/>
        <item m="1" x="53"/>
        <item m="1" x="49"/>
        <item m="1" x="64"/>
        <item h="1" m="1" x="63"/>
        <item h="1" m="1" x="54"/>
        <item h="1" m="1" x="69"/>
        <item h="1" m="1" x="50"/>
        <item h="1" m="1" x="41"/>
        <item h="1" m="1" x="47"/>
        <item h="1" m="1" x="61"/>
        <item h="1" m="1" x="45"/>
        <item h="1" m="1" x="59"/>
        <item m="1" x="52"/>
        <item m="1" x="48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x="1"/>
        <item x="2"/>
        <item x="3"/>
        <item m="1" x="38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m="1" x="19"/>
        <item h="1" m="1" x="20"/>
        <item h="1" m="1" x="21"/>
        <item h="1" m="1" x="22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0"/>
        <item h="1" m="1" x="2"/>
        <item x="1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480">
        <item m="1" x="259"/>
        <item x="1"/>
        <item m="1" x="407"/>
        <item x="2"/>
        <item m="1" x="315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m="1" x="394"/>
        <item x="19"/>
        <item x="20"/>
        <item m="1" x="260"/>
        <item x="21"/>
        <item x="22"/>
        <item m="1" x="261"/>
        <item x="23"/>
        <item x="24"/>
        <item x="25"/>
        <item x="26"/>
        <item x="27"/>
        <item x="28"/>
        <item m="1" x="262"/>
        <item x="29"/>
        <item x="30"/>
        <item x="31"/>
        <item x="32"/>
        <item x="33"/>
        <item x="34"/>
        <item x="35"/>
        <item m="1" x="263"/>
        <item x="36"/>
        <item x="37"/>
        <item x="38"/>
        <item m="1" x="264"/>
        <item x="39"/>
        <item x="40"/>
        <item m="1" x="265"/>
        <item x="41"/>
        <item x="42"/>
        <item x="43"/>
        <item m="1" x="266"/>
        <item x="44"/>
        <item m="1" x="267"/>
        <item x="45"/>
        <item m="1" x="268"/>
        <item x="46"/>
        <item m="1" x="398"/>
        <item x="47"/>
        <item m="1" x="269"/>
        <item x="48"/>
        <item x="49"/>
        <item x="50"/>
        <item m="1" x="270"/>
        <item x="51"/>
        <item x="52"/>
        <item x="53"/>
        <item m="1" x="271"/>
        <item x="54"/>
        <item m="1" x="272"/>
        <item x="55"/>
        <item x="56"/>
        <item m="1" x="273"/>
        <item x="57"/>
        <item x="58"/>
        <item m="1" x="274"/>
        <item x="59"/>
        <item x="60"/>
        <item m="1" x="275"/>
        <item x="61"/>
        <item x="62"/>
        <item x="63"/>
        <item x="64"/>
        <item x="65"/>
        <item x="66"/>
        <item x="67"/>
        <item x="68"/>
        <item x="69"/>
        <item x="70"/>
        <item m="1" x="258"/>
        <item x="71"/>
        <item x="72"/>
        <item m="1" x="276"/>
        <item x="73"/>
        <item x="74"/>
        <item x="75"/>
        <item x="76"/>
        <item m="1" x="299"/>
        <item x="77"/>
        <item m="1" x="395"/>
        <item x="78"/>
        <item x="79"/>
        <item m="1" x="449"/>
        <item x="80"/>
        <item x="81"/>
        <item x="82"/>
        <item x="83"/>
        <item x="84"/>
        <item x="85"/>
        <item m="1" x="277"/>
        <item x="86"/>
        <item m="1" x="278"/>
        <item x="87"/>
        <item m="1" x="279"/>
        <item x="88"/>
        <item x="89"/>
        <item x="90"/>
        <item x="91"/>
        <item x="92"/>
        <item m="1" x="280"/>
        <item x="93"/>
        <item x="94"/>
        <item x="95"/>
        <item x="96"/>
        <item x="97"/>
        <item m="1" x="281"/>
        <item x="98"/>
        <item x="99"/>
        <item m="1" x="282"/>
        <item x="100"/>
        <item x="101"/>
        <item x="102"/>
        <item x="103"/>
        <item x="104"/>
        <item x="105"/>
        <item x="106"/>
        <item m="1" x="283"/>
        <item x="107"/>
        <item x="108"/>
        <item x="109"/>
        <item m="1" x="284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m="1" x="285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m="1" x="286"/>
        <item x="137"/>
        <item x="138"/>
        <item x="139"/>
        <item x="140"/>
        <item x="141"/>
        <item x="142"/>
        <item m="1" x="257"/>
        <item x="144"/>
        <item x="145"/>
        <item x="146"/>
        <item x="147"/>
        <item x="148"/>
        <item x="149"/>
        <item x="150"/>
        <item x="151"/>
        <item m="1" x="386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m="1" x="287"/>
        <item x="168"/>
        <item x="169"/>
        <item x="170"/>
        <item m="1" x="288"/>
        <item x="171"/>
        <item x="172"/>
        <item m="1" x="289"/>
        <item x="173"/>
        <item x="174"/>
        <item x="175"/>
        <item x="176"/>
        <item x="177"/>
        <item x="178"/>
        <item x="179"/>
        <item x="180"/>
        <item x="181"/>
        <item x="182"/>
        <item m="1" x="290"/>
        <item x="183"/>
        <item x="184"/>
        <item x="185"/>
        <item x="186"/>
        <item m="1" x="429"/>
        <item x="187"/>
        <item m="1" x="291"/>
        <item x="188"/>
        <item x="189"/>
        <item x="190"/>
        <item x="191"/>
        <item x="192"/>
        <item x="193"/>
        <item x="194"/>
        <item x="195"/>
        <item x="196"/>
        <item m="1" x="347"/>
        <item x="197"/>
        <item x="198"/>
        <item x="199"/>
        <item x="200"/>
        <item m="1" x="331"/>
        <item x="201"/>
        <item x="202"/>
        <item m="1" x="356"/>
        <item x="203"/>
        <item x="204"/>
        <item x="205"/>
        <item x="206"/>
        <item m="1" x="338"/>
        <item x="207"/>
        <item x="208"/>
        <item m="1" x="363"/>
        <item x="209"/>
        <item x="210"/>
        <item x="211"/>
        <item m="1" x="320"/>
        <item x="212"/>
        <item m="1" x="387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m="1" x="353"/>
        <item x="231"/>
        <item m="1" x="423"/>
        <item x="232"/>
        <item x="233"/>
        <item m="1" x="236"/>
        <item x="234"/>
        <item x="235"/>
        <item m="1" x="237"/>
        <item m="1" x="238"/>
        <item m="1" x="239"/>
        <item m="1" x="467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427"/>
        <item m="1" x="254"/>
        <item m="1" x="255"/>
        <item m="1" x="441"/>
        <item m="1" x="256"/>
        <item m="1" x="325"/>
        <item m="1" x="455"/>
        <item m="1" x="396"/>
        <item m="1" x="339"/>
        <item m="1" x="469"/>
        <item m="1" x="350"/>
        <item m="1" x="295"/>
        <item m="1" x="421"/>
        <item m="1" x="364"/>
        <item m="1" x="308"/>
        <item m="1" x="436"/>
        <item m="1" x="377"/>
        <item m="1" x="321"/>
        <item m="1" x="403"/>
        <item m="1" x="476"/>
        <item m="1" x="359"/>
        <item m="1" x="302"/>
        <item m="1" x="430"/>
        <item m="1" x="371"/>
        <item m="1" x="316"/>
        <item m="1" x="444"/>
        <item m="1" x="328"/>
        <item m="1" x="458"/>
        <item m="1" x="342"/>
        <item m="1" x="472"/>
        <item m="1" x="413"/>
        <item m="1" x="354"/>
        <item m="1" x="297"/>
        <item m="1" x="424"/>
        <item m="1" x="367"/>
        <item m="1" x="311"/>
        <item m="1" x="379"/>
        <item m="1" x="323"/>
        <item m="1" x="452"/>
        <item m="1" x="391"/>
        <item m="1" x="468"/>
        <item m="1" x="408"/>
        <item m="1" x="292"/>
        <item m="1" x="419"/>
        <item m="1" x="306"/>
        <item m="1" x="434"/>
        <item m="1" x="374"/>
        <item m="1" x="447"/>
        <item m="1" x="384"/>
        <item m="1" x="332"/>
        <item m="1" x="461"/>
        <item m="1" x="401"/>
        <item m="1" x="344"/>
        <item m="1" x="475"/>
        <item m="1" x="415"/>
        <item m="1" x="357"/>
        <item m="1" x="300"/>
        <item m="1" x="369"/>
        <item m="1" x="313"/>
        <item m="1" x="442"/>
        <item m="1" x="326"/>
        <item m="1" x="456"/>
        <item m="1" x="340"/>
        <item m="1" x="470"/>
        <item m="1" x="411"/>
        <item m="1" x="351"/>
        <item m="1" x="422"/>
        <item m="1" x="365"/>
        <item m="1" x="309"/>
        <item m="1" x="437"/>
        <item m="1" x="378"/>
        <item m="1" x="450"/>
        <item m="1" x="388"/>
        <item m="1" x="334"/>
        <item m="1" x="464"/>
        <item m="1" x="404"/>
        <item m="1" x="346"/>
        <item m="1" x="477"/>
        <item m="1" x="360"/>
        <item m="1" x="303"/>
        <item m="1" x="431"/>
        <item m="1" x="372"/>
        <item m="1" x="317"/>
        <item m="1" x="445"/>
        <item m="1" x="382"/>
        <item m="1" x="329"/>
        <item m="1" x="459"/>
        <item m="1" x="399"/>
        <item m="1" x="473"/>
        <item m="1" x="414"/>
        <item m="1" x="298"/>
        <item m="1" x="425"/>
        <item m="1" x="368"/>
        <item m="1" x="439"/>
        <item m="1" x="380"/>
        <item m="1" x="453"/>
        <item m="1" x="392"/>
        <item m="1" x="336"/>
        <item m="1" x="409"/>
        <item m="1" x="348"/>
        <item m="1" x="293"/>
        <item m="1" x="420"/>
        <item m="1" x="375"/>
        <item m="1" x="318"/>
        <item m="1" x="385"/>
        <item m="1" x="333"/>
        <item m="1" x="462"/>
        <item m="1" x="402"/>
        <item m="1" x="345"/>
        <item m="1" x="416"/>
        <item m="1" x="358"/>
        <item m="1" x="301"/>
        <item m="1" x="428"/>
        <item m="1" x="370"/>
        <item m="1" x="314"/>
        <item m="1" x="443"/>
        <item m="1" x="381"/>
        <item m="1" x="327"/>
        <item m="1" x="457"/>
        <item m="1" x="397"/>
        <item m="1" x="341"/>
        <item m="1" x="471"/>
        <item m="1" x="412"/>
        <item m="1" x="352"/>
        <item m="1" x="296"/>
        <item m="1" x="366"/>
        <item m="1" x="310"/>
        <item m="1" x="438"/>
        <item m="1" x="322"/>
        <item m="1" x="451"/>
        <item m="1" x="389"/>
        <item m="1" x="465"/>
        <item m="1" x="405"/>
        <item m="1" x="478"/>
        <item m="1" x="417"/>
        <item m="1" x="361"/>
        <item m="1" x="304"/>
        <item m="1" x="432"/>
        <item m="1" x="373"/>
        <item m="1" x="446"/>
        <item m="1" x="383"/>
        <item m="1" x="330"/>
        <item m="1" x="460"/>
        <item m="1" x="400"/>
        <item m="1" x="343"/>
        <item m="1" x="474"/>
        <item m="1" x="355"/>
        <item m="1" x="426"/>
        <item m="1" x="312"/>
        <item m="1" x="440"/>
        <item m="1" x="324"/>
        <item m="1" x="454"/>
        <item m="1" x="393"/>
        <item m="1" x="337"/>
        <item m="1" x="410"/>
        <item m="1" x="349"/>
        <item m="1" x="294"/>
        <item m="1" x="390"/>
        <item m="1" x="362"/>
        <item m="1" x="335"/>
        <item m="1" x="307"/>
        <item m="1" x="466"/>
        <item m="1" x="435"/>
        <item m="1" x="406"/>
        <item m="1" x="376"/>
        <item m="1" x="319"/>
        <item m="1" x="479"/>
        <item m="1" x="448"/>
        <item m="1" x="418"/>
        <item m="1" x="305"/>
        <item m="1" x="463"/>
        <item m="1" x="433"/>
        <item x="0"/>
        <item x="143"/>
      </items>
    </pivotField>
    <pivotField showAll="0"/>
  </pivotFields>
  <rowFields count="1">
    <field x="51"/>
  </rowFields>
  <rowItems count="236">
    <i>
      <x v="1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39"/>
    </i>
    <i>
      <x v="40"/>
    </i>
    <i>
      <x v="41"/>
    </i>
    <i>
      <x v="43"/>
    </i>
    <i>
      <x v="44"/>
    </i>
    <i>
      <x v="45"/>
    </i>
    <i>
      <x v="47"/>
    </i>
    <i>
      <x v="48"/>
    </i>
    <i>
      <x v="50"/>
    </i>
    <i>
      <x v="51"/>
    </i>
    <i>
      <x v="52"/>
    </i>
    <i>
      <x v="54"/>
    </i>
    <i>
      <x v="56"/>
    </i>
    <i>
      <x v="58"/>
    </i>
    <i>
      <x v="60"/>
    </i>
    <i>
      <x v="62"/>
    </i>
    <i>
      <x v="63"/>
    </i>
    <i>
      <x v="64"/>
    </i>
    <i>
      <x v="66"/>
    </i>
    <i>
      <x v="67"/>
    </i>
    <i>
      <x v="68"/>
    </i>
    <i>
      <x v="70"/>
    </i>
    <i>
      <x v="72"/>
    </i>
    <i>
      <x v="73"/>
    </i>
    <i>
      <x v="75"/>
    </i>
    <i>
      <x v="76"/>
    </i>
    <i>
      <x v="78"/>
    </i>
    <i>
      <x v="79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2"/>
    </i>
    <i>
      <x v="93"/>
    </i>
    <i>
      <x v="95"/>
    </i>
    <i>
      <x v="96"/>
    </i>
    <i>
      <x v="97"/>
    </i>
    <i>
      <x v="98"/>
    </i>
    <i>
      <x v="100"/>
    </i>
    <i>
      <x v="102"/>
    </i>
    <i>
      <x v="103"/>
    </i>
    <i>
      <x v="105"/>
    </i>
    <i>
      <x v="106"/>
    </i>
    <i>
      <x v="107"/>
    </i>
    <i>
      <x v="108"/>
    </i>
    <i>
      <x v="109"/>
    </i>
    <i>
      <x v="110"/>
    </i>
    <i>
      <x v="112"/>
    </i>
    <i>
      <x v="114"/>
    </i>
    <i>
      <x v="116"/>
    </i>
    <i>
      <x v="117"/>
    </i>
    <i>
      <x v="118"/>
    </i>
    <i>
      <x v="119"/>
    </i>
    <i>
      <x v="120"/>
    </i>
    <i>
      <x v="122"/>
    </i>
    <i>
      <x v="123"/>
    </i>
    <i>
      <x v="124"/>
    </i>
    <i>
      <x v="125"/>
    </i>
    <i>
      <x v="126"/>
    </i>
    <i>
      <x v="128"/>
    </i>
    <i>
      <x v="129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9"/>
    </i>
    <i>
      <x v="140"/>
    </i>
    <i>
      <x v="141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2"/>
    </i>
    <i>
      <x v="173"/>
    </i>
    <i>
      <x v="174"/>
    </i>
    <i>
      <x v="175"/>
    </i>
    <i>
      <x v="176"/>
    </i>
    <i>
      <x v="177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7"/>
    </i>
    <i>
      <x v="209"/>
    </i>
    <i>
      <x v="210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8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40"/>
    </i>
    <i>
      <x v="241"/>
    </i>
    <i>
      <x v="242"/>
    </i>
    <i>
      <x v="243"/>
    </i>
    <i>
      <x v="245"/>
    </i>
    <i>
      <x v="246"/>
    </i>
    <i>
      <x v="248"/>
    </i>
    <i>
      <x v="249"/>
    </i>
    <i>
      <x v="250"/>
    </i>
    <i>
      <x v="251"/>
    </i>
    <i>
      <x v="253"/>
    </i>
    <i>
      <x v="254"/>
    </i>
    <i>
      <x v="256"/>
    </i>
    <i>
      <x v="257"/>
    </i>
    <i>
      <x v="258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1"/>
    </i>
    <i>
      <x v="283"/>
    </i>
    <i>
      <x v="284"/>
    </i>
    <i>
      <x v="286"/>
    </i>
    <i>
      <x v="287"/>
    </i>
    <i>
      <x v="479"/>
    </i>
    <i t="grand">
      <x/>
    </i>
  </rowItems>
  <colItems count="1">
    <i/>
  </colItems>
  <pageFields count="2">
    <pageField fld="38" hier="-1"/>
    <pageField fld="34" hier="-1"/>
  </pageFields>
  <formats count="11">
    <format dxfId="353">
      <pivotArea dataOnly="0" labelOnly="1" fieldPosition="0">
        <references count="1">
          <reference field="51" count="9"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352">
      <pivotArea type="all" dataOnly="0" outline="0" fieldPosition="0"/>
    </format>
    <format dxfId="351">
      <pivotArea field="51" type="button" dataOnly="0" labelOnly="1" outline="0" axis="axisRow" fieldPosition="0"/>
    </format>
    <format dxfId="350">
      <pivotArea dataOnly="0" labelOnly="1" fieldPosition="0">
        <references count="1">
          <reference field="51" count="50">
            <x v="61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7"/>
            <x v="78"/>
            <x v="80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1"/>
            <x v="172"/>
            <x v="173"/>
            <x v="174"/>
            <x v="175"/>
            <x v="176"/>
            <x v="177"/>
            <x v="178"/>
            <x v="180"/>
            <x v="182"/>
            <x v="183"/>
            <x v="184"/>
            <x v="185"/>
            <x v="186"/>
            <x v="188"/>
            <x v="189"/>
            <x v="190"/>
            <x v="191"/>
            <x v="192"/>
            <x v="194"/>
            <x v="195"/>
            <x v="196"/>
            <x v="197"/>
          </reference>
        </references>
      </pivotArea>
    </format>
    <format dxfId="349">
      <pivotArea dataOnly="0" labelOnly="1" fieldPosition="0">
        <references count="1">
          <reference field="51" count="47">
            <x v="198"/>
            <x v="200"/>
            <x v="201"/>
            <x v="202"/>
            <x v="203"/>
            <x v="204"/>
            <x v="205"/>
            <x v="206"/>
            <x v="207"/>
            <x v="208"/>
            <x v="209"/>
            <x v="211"/>
            <x v="212"/>
            <x v="213"/>
            <x v="214"/>
            <x v="215"/>
            <x v="216"/>
            <x v="217"/>
            <x v="218"/>
            <x v="220"/>
            <x v="221"/>
            <x v="222"/>
            <x v="224"/>
            <x v="225"/>
            <x v="227"/>
            <x v="229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3"/>
            <x v="245"/>
            <x v="246"/>
            <x v="247"/>
            <x v="248"/>
            <x v="249"/>
            <x v="250"/>
            <x v="251"/>
            <x v="252"/>
            <x v="253"/>
          </reference>
        </references>
      </pivotArea>
    </format>
    <format dxfId="348">
      <pivotArea dataOnly="0" labelOnly="1" grandRow="1" outline="0" fieldPosition="0"/>
    </format>
    <format dxfId="347">
      <pivotArea dataOnly="0" labelOnly="1" fieldPosition="0">
        <references count="1">
          <reference field="51" count="1">
            <x v="146"/>
          </reference>
        </references>
      </pivotArea>
    </format>
    <format dxfId="346">
      <pivotArea dataOnly="0" labelOnly="1" fieldPosition="0">
        <references count="1">
          <reference field="51" count="2">
            <x v="112"/>
            <x v="113"/>
          </reference>
        </references>
      </pivotArea>
    </format>
    <format dxfId="345">
      <pivotArea dataOnly="0" labelOnly="1" fieldPosition="0">
        <references count="1">
          <reference field="51" count="3">
            <x v="10"/>
            <x v="11"/>
            <x v="12"/>
          </reference>
        </references>
      </pivotArea>
    </format>
    <format dxfId="344">
      <pivotArea dataOnly="0" labelOnly="1" fieldPosition="0">
        <references count="1">
          <reference field="51" count="1">
            <x v="45"/>
          </reference>
        </references>
      </pivotArea>
    </format>
    <format dxfId="343">
      <pivotArea dataOnly="0" labelOnly="1" fieldPosition="0">
        <references count="1">
          <reference field="51" count="1">
            <x v="9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A" displayName="NOTA" ref="A2:BA1011" headerRowDxfId="438" dataDxfId="437" totalsRowDxfId="436">
  <autoFilter ref="A2:BA1011" xr:uid="{00000000-0009-0000-0100-000001000000}"/>
  <sortState xmlns:xlrd2="http://schemas.microsoft.com/office/spreadsheetml/2017/richdata2" ref="A3:AT48">
    <sortCondition ref="AI2:AI48"/>
  </sortState>
  <tableColumns count="53">
    <tableColumn id="36" xr3:uid="{00000000-0010-0000-0000-000024000000}" name="ID" totalsRowLabel="Total" dataDxfId="435" totalsRowDxfId="434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xr3:uid="{00000000-0010-0000-0000-000001000000}" name="ID_P" dataDxfId="433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xr3:uid="{00000000-0010-0000-0000-00001C000000}" name="CEK_EXP" dataDxfId="432" totalsRowDxfId="431"/>
    <tableColumn id="37" xr3:uid="{00000000-0010-0000-0000-000025000000}" name="ID_H" dataDxfId="430" totalsRowDxfId="429">
      <calculatedColumnFormula>IF(NOTA[[#This Row],[NAMA BARANG]]="","",INDEX(NOTA[ID],MATCH(,INDIRECT(ADDRESS(ROW(NOTA[ID]),COLUMN(NOTA[ID]))&amp;":"&amp;ADDRESS(ROW(),COLUMN(NOTA[ID]))),-1)))</calculatedColumnFormula>
    </tableColumn>
    <tableColumn id="2" xr3:uid="{00000000-0010-0000-0000-000002000000}" name="TANGGAL" dataDxfId="428"/>
    <tableColumn id="3" xr3:uid="{00000000-0010-0000-0000-000003000000}" name="SUPPLIER" dataDxfId="427" totalsRowDxfId="426"/>
    <tableColumn id="4" xr3:uid="{00000000-0010-0000-0000-000004000000}" name="FAKTUR" dataDxfId="425" totalsRowDxfId="424"/>
    <tableColumn id="5" xr3:uid="{00000000-0010-0000-0000-000005000000}" name="NO.NOTA" dataDxfId="423" totalsRowDxfId="422"/>
    <tableColumn id="6" xr3:uid="{00000000-0010-0000-0000-000006000000}" name="NO.SJ" dataDxfId="421" totalsRowDxfId="420"/>
    <tableColumn id="7" xr3:uid="{00000000-0010-0000-0000-000007000000}" name="TGL.NOTA" dataDxfId="419" totalsRowDxfId="418"/>
    <tableColumn id="8" xr3:uid="{00000000-0010-0000-0000-000008000000}" name="B" dataDxfId="417"/>
    <tableColumn id="9" xr3:uid="{00000000-0010-0000-0000-000009000000}" name="NAMA BARANG" dataDxfId="416"/>
    <tableColumn id="10" xr3:uid="{00000000-0010-0000-0000-00000A000000}" name="C" dataDxfId="415"/>
    <tableColumn id="12" xr3:uid="{00000000-0010-0000-0000-00000C000000}" name="QTY" dataDxfId="414"/>
    <tableColumn id="13" xr3:uid="{00000000-0010-0000-0000-00000D000000}" name="STN" dataDxfId="413"/>
    <tableColumn id="14" xr3:uid="{00000000-0010-0000-0000-00000E000000}" name="HARGA SATUAN" dataDxfId="412"/>
    <tableColumn id="16" xr3:uid="{00000000-0010-0000-0000-000010000000}" name="HARGA/ CTN" dataDxfId="411"/>
    <tableColumn id="17" xr3:uid="{00000000-0010-0000-0000-000011000000}" name="QTY/ CTN" dataDxfId="410"/>
    <tableColumn id="18" xr3:uid="{00000000-0010-0000-0000-000012000000}" name="DISC 1" dataDxfId="409"/>
    <tableColumn id="19" xr3:uid="{00000000-0010-0000-0000-000013000000}" name="DISC 2" dataDxfId="408"/>
    <tableColumn id="50" xr3:uid="{00000000-0010-0000-0000-000032000000}" name="DISC 3" dataDxfId="407"/>
    <tableColumn id="11" xr3:uid="{00000000-0010-0000-0000-00000B000000}" name="DISC DLL" dataDxfId="406"/>
    <tableColumn id="31" xr3:uid="{00000000-0010-0000-0000-00001F000000}" name="KETERANGAN" dataDxfId="405"/>
    <tableColumn id="20" xr3:uid="{00000000-0010-0000-0000-000014000000}" name="JUMLAH" dataDxfId="404" totalsRowDxfId="403">
      <calculatedColumnFormula>IF(NOTA[[#This Row],[HARGA/ CTN]]="",NOTA[[#This Row],[JUMLAH_H]],NOTA[[#This Row],[HARGA/ CTN]]*IF(NOTA[[#This Row],[C]]="",0,NOTA[[#This Row],[C]]))</calculatedColumnFormula>
    </tableColumn>
    <tableColumn id="21" xr3:uid="{00000000-0010-0000-0000-000015000000}" name="DISC 1-" dataDxfId="402" totalsRowDxfId="401">
      <calculatedColumnFormula>IF(NOTA[[#This Row],[JUMLAH]]="","",NOTA[[#This Row],[JUMLAH]]*NOTA[[#This Row],[DISC 1]])</calculatedColumnFormula>
    </tableColumn>
    <tableColumn id="22" xr3:uid="{00000000-0010-0000-0000-000016000000}" name="DISC 2-" dataDxfId="400" totalsRowDxfId="399">
      <calculatedColumnFormula>IF(NOTA[[#This Row],[JUMLAH]]="","",(NOTA[[#This Row],[JUMLAH]]-NOTA[[#This Row],[DISC 1-]])*NOTA[[#This Row],[DISC 2]])</calculatedColumnFormula>
    </tableColumn>
    <tableColumn id="51" xr3:uid="{00000000-0010-0000-0000-000033000000}" name="DISC 3-" dataDxfId="398" totalsRowDxfId="397">
      <calculatedColumnFormula>IF(NOTA[[#This Row],[JUMLAH]]="","",(NOTA[[#This Row],[JUMLAH]]-NOTA[[#This Row],[DISC 1-]]-NOTA[[#This Row],[DISC 2-]])*NOTA[[#This Row],[DISC 3]])</calculatedColumnFormula>
    </tableColumn>
    <tableColumn id="25" xr3:uid="{00000000-0010-0000-0000-000019000000}" name="DISC" dataDxfId="396" totalsRowDxfId="395">
      <calculatedColumnFormula>IF(NOTA[[#This Row],[JUMLAH]]="","",NOTA[[#This Row],[DISC 1-]]+NOTA[[#This Row],[DISC 2-]]+NOTA[[#This Row],[DISC 3-]])</calculatedColumnFormula>
    </tableColumn>
    <tableColumn id="26" xr3:uid="{00000000-0010-0000-0000-00001A000000}" name="TOTAL" dataDxfId="394" totalsRowDxfId="393">
      <calculatedColumnFormula>IF(NOTA[[#This Row],[JUMLAH]]="","",NOTA[[#This Row],[JUMLAH]]-NOTA[[#This Row],[DISC]])</calculatedColumnFormula>
    </tableColumn>
    <tableColumn id="43" xr3:uid="{00000000-0010-0000-0000-00002B000000}" name="Column2" dataDxfId="392" totalsRowDxfId="391"/>
    <tableColumn id="33" xr3:uid="{00000000-0010-0000-0000-000021000000}" name="DISC TOTAL" dataDxfId="390" totalsRowDxfId="38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xr3:uid="{00000000-0010-0000-0000-000020000000}" name="TOTAL INVOICE" dataDxfId="388" totalsRowDxfId="38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xr3:uid="{00000000-0010-0000-0000-000017000000}" name="HARGA/ CTN_H" dataDxfId="386" totalsRowDxfId="385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xr3:uid="{00000000-0010-0000-0000-00000F000000}" name="JUMLAH_H" dataDxfId="384" totalsRowDxfId="383">
      <calculatedColumnFormula>IF(OR(NOTA[[#This Row],[QTY]]="",NOTA[[#This Row],[HARGA SATUAN]]="",),"",NOTA[[#This Row],[QTY]]*NOTA[[#This Row],[HARGA SATUAN]])</calculatedColumnFormula>
    </tableColumn>
    <tableColumn id="27" xr3:uid="{00000000-0010-0000-0000-00001B000000}" name="TGL_H" dataDxfId="382" totalsRowDxfId="381">
      <calculatedColumnFormula>IF(NOTA[[#This Row],[ID_H]]="","",INDEX(NOTA[TANGGAL],MATCH(,INDIRECT(ADDRESS(ROW(NOTA[TANGGAL]),COLUMN(NOTA[TANGGAL]))&amp;":"&amp;ADDRESS(ROW(),COLUMN(NOTA[TANGGAL]))),-1)))</calculatedColumnFormula>
    </tableColumn>
    <tableColumn id="52" xr3:uid="{00000000-0010-0000-0000-000034000000}" name="TGL.NOTA_H" dataDxfId="380" totalsRowDxfId="379">
      <calculatedColumnFormula>IF(NOTA[[#This Row],[ID_H]]="","",INDEX(NOTA[TGL.NOTA],MATCH(,INDIRECT(ADDRESS(ROW(NOTA[TGL.NOTA]),COLUMN(NOTA[TGL.NOTA]))&amp;":"&amp;ADDRESS(ROW(),COLUMN(NOTA[TGL.NOTA]))),-1)))</calculatedColumnFormula>
    </tableColumn>
    <tableColumn id="53" xr3:uid="{00000000-0010-0000-0000-000035000000}" name="NO.NOTA_H" dataDxfId="378" totalsRowDxfId="377">
      <calculatedColumnFormula>IF(NOTA[[#This Row],[ID_H]]="","",INDEX(NOTA[NO.NOTA],MATCH(NOTA[[#This Row],[ID_H]],NOTA[ID_H],0)))</calculatedColumnFormula>
    </tableColumn>
    <tableColumn id="24" xr3:uid="{00000000-0010-0000-0000-000018000000}" name="SUPPLIER_H" totalsRowFunction="count" dataDxfId="376" totalsRowDxfId="375">
      <calculatedColumnFormula>IF(NOTA[[#This Row],[NAMA BARANG]]="","",INDEX(NOTA[SUPPLIER],MATCH(,INDIRECT(ADDRESS(ROW(NOTA[ID]),COLUMN(NOTA[ID]))&amp;":"&amp;ADDRESS(ROW(),COLUMN(NOTA[ID]))),-1)))</calculatedColumnFormula>
    </tableColumn>
    <tableColumn id="34" xr3:uid="{00000000-0010-0000-0000-000022000000}" name="FAKTUR_H" dataDxfId="374" totalsRowDxfId="373">
      <calculatedColumnFormula>IF(NOTA[[#This Row],[ID_H]]="","",IF(NOTA[[#This Row],[FAKTUR]]="",INDIRECT(ADDRESS(ROW()-1,COLUMN())),NOTA[[#This Row],[FAKTUR]]))</calculatedColumnFormula>
    </tableColumn>
    <tableColumn id="30" xr3:uid="{00000000-0010-0000-0000-00001E000000}" name="qb" dataDxfId="372">
      <calculatedColumnFormula>IF(NOTA[[#This Row],[ID]]="","",COUNTIF(NOTA[ID_H],NOTA[[#This Row],[ID_H]]))</calculatedColumnFormula>
    </tableColumn>
    <tableColumn id="29" xr3:uid="{00000000-0010-0000-0000-00001D000000}" name="Column1" dataDxfId="371">
      <calculatedColumnFormula>IF(NOTA[[#This Row],[TGL.NOTA]]="",IF(NOTA[[#This Row],[SUPPLIER_H]]="","",AO2),MONTH(NOTA[[#This Row],[TGL.NOTA]]))</calculatedColumnFormula>
    </tableColumn>
    <tableColumn id="38" xr3:uid="{00000000-0010-0000-0000-000026000000}" name="CONCAT1" dataDxfId="370">
      <calculatedColumnFormula>LOWER(SUBSTITUTE(SUBSTITUTE(SUBSTITUTE(SUBSTITUTE(SUBSTITUTE(SUBSTITUTE(SUBSTITUTE(SUBSTITUTE(SUBSTITUTE(NOTA[[#This Row],[NAMA BARANG]]," ",),".",""),"-",""),"(",""),")",""),",",""),"/",""),"""",""),"+",""))</calculatedColumnFormula>
    </tableColumn>
    <tableColumn id="35" xr3:uid="{00000000-0010-0000-0000-000023000000}" name="CONCAT2" dataDxfId="369">
      <calculatedColumnFormula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xr3:uid="{00000000-0010-0000-0000-000028000000}" name="CONCAT3" dataDxfId="368">
      <calculatedColumnFormula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xr3:uid="{00000000-0010-0000-0000-000029000000}" name="CONCAT4" dataDxfId="367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xr3:uid="{00000000-0010-0000-0000-00002A000000}" name="CEK ARSIP" dataDxfId="366"/>
    <tableColumn id="39" xr3:uid="{00000000-0010-0000-0000-000027000000}" name="//DB" dataDxfId="365">
      <calculatedColumnFormula>IF(NOTA[[#This Row],[CONCAT1]]="","",MATCH(NOTA[[#This Row],[CONCAT1]],[3]!db[NB NOTA_C],0))</calculatedColumnFormula>
    </tableColumn>
    <tableColumn id="47" xr3:uid="{00000000-0010-0000-0000-00002F000000}" name="Column3" dataDxfId="364">
      <calculatedColumnFormula>IF(NOTA[[#This Row],[QTY/ CTN]]="","",TRUE)</calculatedColumnFormula>
    </tableColumn>
    <tableColumn id="44" xr3:uid="{00000000-0010-0000-0000-00002C000000}" name="QTY/ CTN_H" dataDxfId="363" totalsRowDxfId="362">
      <calculatedColumnFormula>IF(NOTA[[#This Row],[ID_H]]="","",IF(NOTA[[#This Row],[Column3]]=TRUE,NOTA[[#This Row],[QTY/ CTN]],INDEX([3]!db[QTY/ CTN],NOTA[[#This Row],[//DB]])))</calculatedColumnFormula>
    </tableColumn>
    <tableColumn id="45" xr3:uid="{00000000-0010-0000-0000-00002D000000}" name="NB NOTA_C_QTY" dataDxfId="361" totalsRowDxfId="360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xr3:uid="{00000000-0010-0000-0000-00002E000000}" name="//DB2" dataDxfId="359" totalsRowDxfId="358">
      <calculatedColumnFormula>IF(NOTA[[#This Row],[ID_H]]="","",MATCH(NOTA[[#This Row],[NB NOTA_C_QTY]],[3]!db[NB NOTA_C_QTY+F],0))</calculatedColumnFormula>
    </tableColumn>
    <tableColumn id="48" xr3:uid="{00000000-0010-0000-0000-000030000000}" name="ID BARANG" dataDxfId="357" totalsRowDxfId="356">
      <calculatedColumnFormula>IF(NOTA[[#This Row],[NB NOTA_C_QTY]]="","",ROW()-2)</calculatedColumnFormula>
    </tableColumn>
    <tableColumn id="49" xr3:uid="{00000000-0010-0000-0000-000031000000}" name="Column4" dataDxfId="355" totalsRowDxfId="35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1000000}" name="Table17" displayName="Table17" ref="C4:AP238" totalsRowShown="0" headerRowDxfId="342" dataDxfId="341">
  <autoFilter ref="C4:AP238" xr:uid="{00000000-0009-0000-0100-000011000000}"/>
  <tableColumns count="40">
    <tableColumn id="1" xr3:uid="{00000000-0010-0000-0100-000001000000}" name="//db" dataDxfId="340">
      <calculatedColumnFormula>INDEX(NOTA[//DB],Sheet1!A:A)</calculatedColumnFormula>
    </tableColumn>
    <tableColumn id="2" xr3:uid="{00000000-0010-0000-0100-000002000000}" name="dbconcat" dataDxfId="339">
      <calculatedColumnFormula>MATCH(Table17[[#This Row],[//db]],[3]!Table2[\\],0)</calculatedColumnFormula>
    </tableColumn>
    <tableColumn id="39" xr3:uid="{00000000-0010-0000-0100-000027000000}" name="Column11" dataDxfId="338">
      <calculatedColumnFormula>INDEX([3]!db[NB NOTA],Table17[[#This Row],[//db]])</calculatedColumnFormula>
    </tableColumn>
    <tableColumn id="16" xr3:uid="{00000000-0010-0000-0100-000010000000}" name="Column1" dataDxfId="337">
      <calculatedColumnFormula>INDEX([3]!db[NB BM],Table17[[#This Row],[//db]])</calculatedColumnFormula>
    </tableColumn>
    <tableColumn id="3" xr3:uid="{00000000-0010-0000-0100-000003000000}" name="Column3" dataDxfId="336">
      <calculatedColumnFormula>_xlfn.IFNA(INDEX([3]!Table2[NAMA],Table17[[#This Row],[dbconcat]]),"")</calculatedColumnFormula>
    </tableColumn>
    <tableColumn id="37" xr3:uid="{00000000-0010-0000-0100-000025000000}" name="Column32" dataDxfId="335">
      <calculatedColumnFormula>INDEX([3]!Table2[KODE BARANG],Table17[[#This Row],[dbconcat]])</calculatedColumnFormula>
    </tableColumn>
    <tableColumn id="4" xr3:uid="{00000000-0010-0000-0100-000004000000}" name="Column4" dataDxfId="334">
      <calculatedColumnFormula>IF(Table17[[#This Row],[Column3]]="",UPPER(Table17[[#This Row],[Column1]]),Table17[[#This Row],[Column3]])</calculatedColumnFormula>
    </tableColumn>
    <tableColumn id="5" xr3:uid="{00000000-0010-0000-0100-000005000000}" name="Column5" dataDxfId="333">
      <calculatedColumnFormula>INDEX(NOTA[C],Sheet1!A:A)</calculatedColumnFormula>
    </tableColumn>
    <tableColumn id="6" xr3:uid="{00000000-0010-0000-0100-000006000000}" name="isis" dataDxfId="332">
      <calculatedColumnFormula>IF(OR(Table17[[#This Row],[Column5]]=0,Table17[[#This Row],[Column3]]=""),"",INDEX([3]!Table2[ISI2],Table17[[#This Row],[dbconcat]]))</calculatedColumnFormula>
    </tableColumn>
    <tableColumn id="7" xr3:uid="{00000000-0010-0000-0100-000007000000}" name="stns" dataDxfId="331">
      <calculatedColumnFormula>IF(Table17[[#This Row],[isis]]="","",INDEX([3]!Table2[SATUAN3],Table17[[#This Row],[dbconcat]]))</calculatedColumnFormula>
    </tableColumn>
    <tableColumn id="8" xr3:uid="{00000000-0010-0000-0100-000008000000}" name="isin" dataDxfId="330">
      <calculatedColumnFormula>IF(Table17[[#This Row],[Column5]]=0,"",IF(Table17[[#This Row],[Column3]]="",INDEX([3]!db[QTY B],Table17[[#This Row],[//db]]),""))</calculatedColumnFormula>
    </tableColumn>
    <tableColumn id="9" xr3:uid="{00000000-0010-0000-0100-000009000000}" name="stnn" dataDxfId="329">
      <calculatedColumnFormula>IF(Table17[[#This Row],[isin]]="","",INDEX([3]!db[STN B],Table17[[#This Row],[//db]]))</calculatedColumnFormula>
    </tableColumn>
    <tableColumn id="17" xr3:uid="{00000000-0010-0000-0100-000011000000}" name="Column2" dataDxfId="328">
      <calculatedColumnFormula>IF(AND(Table17[[#This Row],[isis]]="",Table17[[#This Row],[isin]]=""),INDEX(NOTA[QTY],Sheet1!A:A)/IF(Table17[[#This Row],[Column5]]=0,1,Table17[[#This Row],[Column5]]),"")</calculatedColumnFormula>
    </tableColumn>
    <tableColumn id="18" xr3:uid="{00000000-0010-0000-0100-000012000000}" name="Column22" dataDxfId="327">
      <calculatedColumnFormula>IF(Table17[[#This Row],[Column2]]="","",INDEX(NOTA[STN],Sheet1!A:A))</calculatedColumnFormula>
    </tableColumn>
    <tableColumn id="24" xr3:uid="{00000000-0010-0000-0100-000018000000}" name="Column224" dataDxfId="326">
      <calculatedColumnFormula>INDEX([3]!db[QTY B],Table17[[#This Row],[//db]])</calculatedColumnFormula>
    </tableColumn>
    <tableColumn id="23" xr3:uid="{00000000-0010-0000-0100-000017000000}" name="Column223" dataDxfId="325">
      <calculatedColumnFormula>INDEX([3]!db[STN B],Table17[[#This Row],[//db]])</calculatedColumnFormula>
    </tableColumn>
    <tableColumn id="22" xr3:uid="{00000000-0010-0000-0100-000016000000}" name="Column222" dataDxfId="324">
      <calculatedColumnFormula>IF(Table17[[#This Row],[Column5]]=0,Table17[[#This Row],[Column23]]/Table17[[#This Row],[Column224]],"")</calculatedColumnFormula>
    </tableColumn>
    <tableColumn id="25" xr3:uid="{00000000-0010-0000-0100-000019000000}" name="Column2222" dataDxfId="323">
      <calculatedColumnFormula>IF(Table17[[#This Row],[Column222]]="",Table17[[#This Row],[Column5]],Table17[[#This Row],[Column222]])</calculatedColumnFormula>
    </tableColumn>
    <tableColumn id="40" xr3:uid="{00000000-0010-0000-0100-000028000000}" name="c_stn" dataDxfId="322">
      <calculatedColumnFormula>IF(Table17[[#This Row],[Column223]]=Table17[[#This Row],[Column24]],"",1)</calculatedColumnFormula>
    </tableColumn>
    <tableColumn id="19" xr3:uid="{00000000-0010-0000-0100-000013000000}" name="Column23" dataDxfId="321">
      <calculatedColumnFormula>IF(Table17[[#This Row],[isis]]="",IF(Table17[[#This Row],[isin]]="",Table17[[#This Row],[Column2]],Table17[[#This Row],[isin]]),Table17[[#This Row],[isis]])</calculatedColumnFormula>
    </tableColumn>
    <tableColumn id="20" xr3:uid="{00000000-0010-0000-0100-000014000000}" name="Column24" dataDxfId="320">
      <calculatedColumnFormula>IF(Table17[[#This Row],[isis]]="",IF(Table17[[#This Row],[isin]]="",Table17[[#This Row],[Column22]],Table17[[#This Row],[stnn]]),Table17[[#This Row],[stns]])</calculatedColumnFormula>
    </tableColumn>
    <tableColumn id="32" xr3:uid="{00000000-0010-0000-0100-000020000000}" name="ISI (TOTAL)" dataDxfId="319">
      <calculatedColumnFormula>IF(Table17[[#This Row],[Column2222]]&lt;1,Table17[[#This Row],[Column23]],Table17[[#This Row],[Column23]]*Table17[[#This Row],[Column2222]])</calculatedColumnFormula>
    </tableColumn>
    <tableColumn id="31" xr3:uid="{00000000-0010-0000-0100-00001F000000}" name="SATUAN" dataDxfId="318">
      <calculatedColumnFormula>Table17[[#This Row],[Column24]]</calculatedColumnFormula>
    </tableColumn>
    <tableColumn id="21" xr3:uid="{00000000-0010-0000-0100-000015000000}" name="Column25" dataDxfId="317">
      <calculatedColumnFormula>Table17[[#This Row],[HRG / CTN]]/Table17[[#This Row],[Column23]]</calculatedColumnFormula>
    </tableColumn>
    <tableColumn id="26" xr3:uid="{00000000-0010-0000-0100-00001A000000}" name="DISC 1" dataDxfId="316">
      <calculatedColumnFormula>IF(INDEX(NOTA[DISC 1],Sheet1!A:A)=0,"",INDEX(NOTA[DISC 1],Sheet1!A:A))</calculatedColumnFormula>
    </tableColumn>
    <tableColumn id="27" xr3:uid="{00000000-0010-0000-0100-00001B000000}" name="DISC 2" dataDxfId="315">
      <calculatedColumnFormula>IF(INDEX(NOTA[DISC 2],Sheet1!A:A)=0,"",INDEX(NOTA[DISC 2],Sheet1!A:A))</calculatedColumnFormula>
    </tableColumn>
    <tableColumn id="28" xr3:uid="{00000000-0010-0000-0100-00001C000000}" name="DISC 3" dataDxfId="314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xr3:uid="{00000000-0010-0000-0100-00000A000000}" name="HRG / CTN" dataDxfId="313">
      <calculatedColumnFormula>INDEX(NOTA[HARGA/ CTN_H],Sheet1!A:A)</calculatedColumnFormula>
    </tableColumn>
    <tableColumn id="36" xr3:uid="{00000000-0010-0000-0100-000024000000}" name="Column9" dataDxfId="312">
      <calculatedColumnFormula>IF(Table17[[#This Row],[DISC 3]]="",Table17[[#This Row],[HRG / CTN]],Table17[[#This Row],[HRG / CTN]]-(Table17[[#This Row],[HRG / CTN]]*Table17[[#This Row],[DISC 3]]))</calculatedColumnFormula>
    </tableColumn>
    <tableColumn id="33" xr3:uid="{00000000-0010-0000-0100-000021000000}" name="Column7" dataDxfId="311">
      <calculatedColumnFormula>IF(Table17[[#This Row],[Column2222]]&lt;1,Table17[[#This Row],[Column9]],Table17[[#This Row],[Column9]]*Table17[[#This Row],[Column2222]])</calculatedColumnFormula>
    </tableColumn>
    <tableColumn id="34" xr3:uid="{00000000-0010-0000-0100-000022000000}" name="Column8" dataDxfId="310">
      <calculatedColumnFormula>IF(NOT(AL6=Table17[[#This Row],[Column6]]),SUMIF(Table17[Column6],Table17[[#This Row],[Column6]],Table17[Column7]),"")</calculatedColumnFormula>
    </tableColumn>
    <tableColumn id="11" xr3:uid="{00000000-0010-0000-0100-00000B000000}" name="TGL DATANG" dataDxfId="309">
      <calculatedColumnFormula>INDEX(NOTA[TGL_H],Sheet1!A:A)</calculatedColumnFormula>
    </tableColumn>
    <tableColumn id="38" xr3:uid="{00000000-0010-0000-0100-000026000000}" name="Column10" dataDxfId="308">
      <calculatedColumnFormula>INDEX(NOTA[TGL.NOTA_H],Sheet1!A:A)</calculatedColumnFormula>
    </tableColumn>
    <tableColumn id="29" xr3:uid="{00000000-0010-0000-0100-00001D000000}" name="TGL INPUT" dataDxfId="307"/>
    <tableColumn id="12" xr3:uid="{00000000-0010-0000-0100-00000C000000}" name="KETERANGAN CONDRO" dataDxfId="306">
      <calculatedColumnFormula>IF(INDEX(NOTA[KETERANGAN],A:A)="","",INDEX(NOTA[KETERANGAN],A:A))</calculatedColumnFormula>
    </tableColumn>
    <tableColumn id="30" xr3:uid="{00000000-0010-0000-0100-00001E000000}" name="Column6" dataDxfId="305">
      <calculatedColumnFormula>INDEX(NOTA[NO.NOTA_H],Sheet1!A:A)</calculatedColumnFormula>
    </tableColumn>
    <tableColumn id="13" xr3:uid="{00000000-0010-0000-0100-00000D000000}" name="Column13" dataDxfId="304">
      <calculatedColumnFormula>INDEX(NOTA[KETERANGAN],Sheet1!A:A)</calculatedColumnFormula>
    </tableColumn>
    <tableColumn id="35" xr3:uid="{00000000-0010-0000-0100-000023000000}" name="SUPPLIER" dataDxfId="303">
      <calculatedColumnFormula>INDEX(NOTA[SUPPLIER_H],Sheet1!A:A)</calculatedColumnFormula>
    </tableColumn>
    <tableColumn id="14" xr3:uid="{00000000-0010-0000-0100-00000E000000}" name="Column14" dataDxfId="302">
      <calculatedColumnFormula>MATCH(AL:AL,AR:AR,0)</calculatedColumnFormula>
    </tableColumn>
    <tableColumn id="15" xr3:uid="{00000000-0010-0000-0100-00000F000000}" name="Column15" dataDxfId="301"/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PAJAK" displayName="PAJAK" ref="A1:R93" totalsRowShown="0" headerRowDxfId="300" dataDxfId="299">
  <autoFilter ref="A1:R93" xr:uid="{00000000-0009-0000-0100-000002000000}"/>
  <sortState xmlns:xlrd2="http://schemas.microsoft.com/office/spreadsheetml/2017/richdata2" ref="A2:R93">
    <sortCondition ref="F1:F93"/>
  </sortState>
  <tableColumns count="18">
    <tableColumn id="1" xr3:uid="{00000000-0010-0000-0200-000001000000}" name="//" dataDxfId="29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xr3:uid="{00000000-0010-0000-0200-000010000000}" name="ID" dataDxfId="297">
      <calculatedColumnFormula>HYPERLINK("[NOTA_.XLSX]NOTA!c"&amp;PAJAK[[#This Row],[//]],IF(PAJAK[[#This Row],[//]]="","",INDEX(INDIRECT("NOTA["&amp;PAJAK[#Headers]&amp;"]"),PAJAK[[#This Row],[//]]-2)))</calculatedColumnFormula>
    </tableColumn>
    <tableColumn id="15" xr3:uid="{00000000-0010-0000-0200-00000F000000}" name="ID_P" dataDxfId="296">
      <calculatedColumnFormula>IF(PAJAK[[#This Row],[//]]="","",INDEX(INDIRECT("NOTA["&amp;PAJAK[#Headers]&amp;"]"),PAJAK[[#This Row],[//]]-2))</calculatedColumnFormula>
    </tableColumn>
    <tableColumn id="14" xr3:uid="{00000000-0010-0000-0200-00000E000000}" name="Column1" dataDxfId="295">
      <calculatedColumnFormula>MATCH(PAJAK[[#This Row],[ID]],[2]!Table1[ID],0)</calculatedColumnFormula>
    </tableColumn>
    <tableColumn id="17" xr3:uid="{00000000-0010-0000-0200-000011000000}" name="QB" dataDxfId="294" totalsRowDxfId="293">
      <calculatedColumnFormula>IF(PAJAK[[#This Row],[ID]]="","",COUNTIF(NOTA[ID_H],PAJAK[[#This Row],[ID]]))</calculatedColumnFormula>
    </tableColumn>
    <tableColumn id="2" xr3:uid="{00000000-0010-0000-0200-000002000000}" name="SUPPLIER" dataDxfId="292">
      <calculatedColumnFormula>IF(PAJAK[[#This Row],[//]]="","",INDEX(CONV[2],MATCH(INDEX(INDIRECT("NOTA["&amp;PAJAK[#Headers]&amp;"]"),PAJAK[[#This Row],[//]]-2),CONV[1],0),0))</calculatedColumnFormula>
    </tableColumn>
    <tableColumn id="3" xr3:uid="{00000000-0010-0000-0200-000003000000}" name="TGL.MASUK" dataDxfId="291">
      <calculatedColumnFormula>IF(PAJAK[[#This Row],[//]]="","",INDEX(NOTA[TGL_H],PAJAK[[#This Row],[//]]-2))</calculatedColumnFormula>
    </tableColumn>
    <tableColumn id="4" xr3:uid="{00000000-0010-0000-0200-000004000000}" name="TGL.NOTA" dataDxfId="290">
      <calculatedColumnFormula>IF(PAJAK[[#This Row],[//]]="","",INDEX(INDIRECT("NOTA["&amp;PAJAK[#Headers]&amp;"]"),PAJAK[[#This Row],[//]]-2))</calculatedColumnFormula>
    </tableColumn>
    <tableColumn id="5" xr3:uid="{00000000-0010-0000-0200-000005000000}" name="NO.NOTA" dataDxfId="289" totalsRowDxfId="288">
      <calculatedColumnFormula>IF(PAJAK[[#This Row],[//]]="","",INDEX(INDIRECT("NOTA["&amp;PAJAK[#Headers]&amp;"]"),PAJAK[[#This Row],[//]]-2))</calculatedColumnFormula>
    </tableColumn>
    <tableColumn id="6" xr3:uid="{00000000-0010-0000-0200-000006000000}" name="NO.SJ" dataDxfId="28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xr3:uid="{00000000-0010-0000-0200-000007000000}" name="SUB TOTAL" dataDxfId="286">
      <calculatedColumnFormula>IF(PAJAK[[#This Row],[//]]="","",SUMIF(NOTA[ID_H],PAJAK[[#This Row],[ID]],NOTA[JUMLAH]))</calculatedColumnFormula>
    </tableColumn>
    <tableColumn id="8" xr3:uid="{00000000-0010-0000-0200-000008000000}" name="DISKON" dataDxfId="285">
      <calculatedColumnFormula>IF(PAJAK[[#This Row],[//]]="","",SUMIF(NOTA[ID_H],PAJAK[[#This Row],[ID]],NOTA[DISC]))</calculatedColumnFormula>
    </tableColumn>
    <tableColumn id="9" xr3:uid="{00000000-0010-0000-0200-000009000000}" name="SUB T-DISC" dataDxfId="284">
      <calculatedColumnFormula>PAJAK[[#This Row],[SUB TOTAL]]-PAJAK[[#This Row],[DISKON]]</calculatedColumnFormula>
    </tableColumn>
    <tableColumn id="10" xr3:uid="{00000000-0010-0000-0200-00000A000000}" name="DISC DLL" dataDxfId="283">
      <calculatedColumnFormula>IF(PAJAK[[#This Row],[//]]="","",INDEX(INDIRECT("NOTA["&amp;PAJAK[#Headers]&amp;"]"),PAJAK[[#This Row],[//]]-2+PAJAK[[#This Row],[QB]]-1))</calculatedColumnFormula>
    </tableColumn>
    <tableColumn id="11" xr3:uid="{00000000-0010-0000-0200-00000B000000}" name="DPP" dataDxfId="282">
      <calculatedColumnFormula>(PAJAK[[#This Row],[SUB T-DISC]]-PAJAK[[#This Row],[DISC DLL]])/111%</calculatedColumnFormula>
    </tableColumn>
    <tableColumn id="12" xr3:uid="{00000000-0010-0000-0200-00000C000000}" name="PPN 11%" dataDxfId="281">
      <calculatedColumnFormula>PAJAK[[#This Row],[DPP]]*PAJAK[[#This Row],[PPN]]</calculatedColumnFormula>
    </tableColumn>
    <tableColumn id="13" xr3:uid="{00000000-0010-0000-0200-00000D000000}" name="TOTAL" dataDxfId="280">
      <calculatedColumnFormula>PAJAK[[#This Row],[DPP]]+PAJAK[[#This Row],[PPN 11%]]</calculatedColumnFormula>
    </tableColumn>
    <tableColumn id="18" xr3:uid="{00000000-0010-0000-0200-000012000000}" name="PPN" dataDxfId="27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KENKO" displayName="KENKO" ref="A2:N52" totalsRowShown="0" headerRowDxfId="278">
  <autoFilter ref="A2:N52" xr:uid="{00000000-0009-0000-0100-000003000000}"/>
  <sortState xmlns:xlrd2="http://schemas.microsoft.com/office/spreadsheetml/2017/richdata2" ref="A3:N52">
    <sortCondition ref="F2:F52"/>
  </sortState>
  <tableColumns count="14">
    <tableColumn id="17" xr3:uid="{00000000-0010-0000-0300-000011000000}" name="//NOTA" dataDxfId="277">
      <calculatedColumnFormula>HYPERLINK("[NOTA_.xlsx]NOTA!A"&amp;MATCH(KENKO[[#This Row],[ID]],NOTA[ID],0)+2,IF(KENKO[[#This Row],[//PAJAK]]="","",MATCH(KENKO[[#This Row],[ID]],NOTA[ID],0)+2))</calculatedColumnFormula>
    </tableColumn>
    <tableColumn id="1" xr3:uid="{00000000-0010-0000-0300-000001000000}" name="//PAJAK" dataDxfId="276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xr3:uid="{00000000-0010-0000-0300-000002000000}" name="ID" dataDxfId="275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xr3:uid="{00000000-0010-0000-0300-000003000000}" name="SUPPLIER" dataDxfId="274">
      <calculatedColumnFormula>IF(KENKO[[#This Row],[//PAJAK]]="","",INDEX(INDIRECT("PAJAK["&amp;KENKO[#Headers]&amp;"]"),KENKO[[#This Row],[//PAJAK]]-1))</calculatedColumnFormula>
    </tableColumn>
    <tableColumn id="4" xr3:uid="{00000000-0010-0000-0300-000004000000}" name="TGL.MASUK" dataDxfId="273">
      <calculatedColumnFormula>IF(KENKO[[#This Row],[//PAJAK]]="","",INDEX(INDIRECT("PAJAK["&amp;KENKO[#Headers]&amp;"]"),KENKO[[#This Row],[//PAJAK]]-1))</calculatedColumnFormula>
    </tableColumn>
    <tableColumn id="5" xr3:uid="{00000000-0010-0000-0300-000005000000}" name="TGL.NOTA" dataDxfId="272">
      <calculatedColumnFormula>IF(KENKO[[#This Row],[//PAJAK]]="","",INDEX(INDIRECT("PAJAK["&amp;KENKO[#Headers]&amp;"]"),KENKO[[#This Row],[//PAJAK]]-1))</calculatedColumnFormula>
    </tableColumn>
    <tableColumn id="6" xr3:uid="{00000000-0010-0000-0300-000006000000}" name="NO.NOTA" dataDxfId="271">
      <calculatedColumnFormula>IF(KENKO[[#This Row],[//PAJAK]]="","",INDEX(INDIRECT("PAJAK["&amp;KENKO[#Headers]&amp;"]"),KENKO[[#This Row],[//PAJAK]]-1))</calculatedColumnFormula>
    </tableColumn>
    <tableColumn id="7" xr3:uid="{00000000-0010-0000-0300-000007000000}" name="NO.SJ" dataDxfId="270">
      <calculatedColumnFormula>IF(KENKO[[#This Row],[//PAJAK]]="","",INDEX(INDIRECT("PAJAK["&amp;KENKO[#Headers]&amp;"]"),KENKO[[#This Row],[//PAJAK]]-1))</calculatedColumnFormula>
    </tableColumn>
    <tableColumn id="8" xr3:uid="{00000000-0010-0000-0300-000008000000}" name="SUB TOTAL" dataDxfId="269">
      <calculatedColumnFormula>IF(KENKO[[#This Row],[//PAJAK]]="","",INDEX(INDIRECT("PAJAK["&amp;KENKO[#Headers]&amp;"]"),KENKO[[#This Row],[//PAJAK]]-1))</calculatedColumnFormula>
    </tableColumn>
    <tableColumn id="9" xr3:uid="{00000000-0010-0000-0300-000009000000}" name="DISKON" dataDxfId="268">
      <calculatedColumnFormula>IF(KENKO[[#This Row],[//PAJAK]]="","",INDEX(INDIRECT("PAJAK["&amp;KENKO[#Headers]&amp;"]"),KENKO[[#This Row],[//PAJAK]]-1))</calculatedColumnFormula>
    </tableColumn>
    <tableColumn id="10" xr3:uid="{00000000-0010-0000-0300-00000A000000}" name="DPP" dataDxfId="267">
      <calculatedColumnFormula>(KENKO[[#This Row],[SUB TOTAL]]-KENKO[[#This Row],[DISKON]])/1.11</calculatedColumnFormula>
    </tableColumn>
    <tableColumn id="11" xr3:uid="{00000000-0010-0000-0300-00000B000000}" name="PPN (11%)" dataDxfId="266">
      <calculatedColumnFormula>KENKO[[#This Row],[DPP]]*11%</calculatedColumnFormula>
    </tableColumn>
    <tableColumn id="12" xr3:uid="{00000000-0010-0000-0300-00000C000000}" name="TOTAL" dataDxfId="265">
      <calculatedColumnFormula>KENKO[[#This Row],[DPP]]+KENKO[[#This Row],[PPN (11%)]]</calculatedColumnFormula>
    </tableColumn>
    <tableColumn id="13" xr3:uid="{00000000-0010-0000-0300-00000D000000}" name="Column1" dataDxfId="264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KALINDO" displayName="KALINDO" ref="A2:M33" totalsRowShown="0" headerRowDxfId="263">
  <autoFilter ref="A2:M33" xr:uid="{00000000-0009-0000-0100-000007000000}"/>
  <tableColumns count="13">
    <tableColumn id="1" xr3:uid="{00000000-0010-0000-0400-000001000000}" name="//NOTA" dataDxfId="262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xr3:uid="{00000000-0010-0000-0400-000002000000}" name="//PAJAK" dataDxfId="261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400-000003000000}" name="ID" dataDxfId="260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xr3:uid="{00000000-0010-0000-0400-000004000000}" name="SUPPLIER" dataDxfId="259">
      <calculatedColumnFormula>IF(KALINDO[[#This Row],[//PAJAK]]="","",INDEX(INDIRECT("PAJAK["&amp;KALINDO[#Headers]&amp;"]"),KALINDO[[#This Row],[//PAJAK]]-1))</calculatedColumnFormula>
    </tableColumn>
    <tableColumn id="5" xr3:uid="{00000000-0010-0000-0400-000005000000}" name="TGL.MASUK" dataDxfId="258">
      <calculatedColumnFormula>IF(KALINDO[[#This Row],[//PAJAK]]="","",INDEX(INDIRECT("PAJAK["&amp;KALINDO[#Headers]&amp;"]"),KALINDO[[#This Row],[//PAJAK]]-1))</calculatedColumnFormula>
    </tableColumn>
    <tableColumn id="6" xr3:uid="{00000000-0010-0000-0400-000006000000}" name="TGL.NOTA" dataDxfId="257">
      <calculatedColumnFormula>IF(KALINDO[[#This Row],[//PAJAK]]="","",INDEX(INDIRECT("PAJAK["&amp;KALINDO[#Headers]&amp;"]"),KALINDO[[#This Row],[//PAJAK]]-1))</calculatedColumnFormula>
    </tableColumn>
    <tableColumn id="7" xr3:uid="{00000000-0010-0000-0400-000007000000}" name="NO.NOTA" dataDxfId="256">
      <calculatedColumnFormula>IF(KALINDO[[#This Row],[//PAJAK]]="","",INDEX(INDIRECT("PAJAK["&amp;KALINDO[#Headers]&amp;"]"),KALINDO[[#This Row],[//PAJAK]]-1))</calculatedColumnFormula>
    </tableColumn>
    <tableColumn id="8" xr3:uid="{00000000-0010-0000-0400-000008000000}" name="NO.SJ" dataDxfId="255">
      <calculatedColumnFormula>IF(KALINDO[[#This Row],[//PAJAK]]="","",INDEX(INDIRECT("PAJAK["&amp;KALINDO[#Headers]&amp;"]"),KALINDO[[#This Row],[//PAJAK]]-1))</calculatedColumnFormula>
    </tableColumn>
    <tableColumn id="9" xr3:uid="{00000000-0010-0000-0400-000009000000}" name="SUB TOTAL" dataDxfId="254">
      <calculatedColumnFormula>IF(KALINDO[[#This Row],[//PAJAK]]="","",INDEX(PAJAK[SUB T-DISC],KALINDO[[#This Row],[//PAJAK]]-1))</calculatedColumnFormula>
    </tableColumn>
    <tableColumn id="10" xr3:uid="{00000000-0010-0000-0400-00000A000000}" name="DISKON" dataDxfId="253">
      <calculatedColumnFormula>IF(KALINDO[[#This Row],[//PAJAK]]="","",INDEX(PAJAK[DISC DLL],KALINDO[[#This Row],[//PAJAK]]-1))</calculatedColumnFormula>
    </tableColumn>
    <tableColumn id="11" xr3:uid="{00000000-0010-0000-0400-00000B000000}" name="DPP" dataDxfId="252">
      <calculatedColumnFormula>(KALINDO[[#This Row],[SUB TOTAL]]-KALINDO[[#This Row],[DISKON]])/1.11</calculatedColumnFormula>
    </tableColumn>
    <tableColumn id="12" xr3:uid="{00000000-0010-0000-0400-00000C000000}" name="PPN (11%)" dataDxfId="251">
      <calculatedColumnFormula>KALINDO[[#This Row],[DPP]]*11%</calculatedColumnFormula>
    </tableColumn>
    <tableColumn id="13" xr3:uid="{00000000-0010-0000-0400-00000D000000}" name="TOTAL" dataDxfId="250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ATALI" displayName="ATALI" ref="A2:M50" totalsRowShown="0" headerRowDxfId="249">
  <autoFilter ref="A2:M50" xr:uid="{00000000-0009-0000-0100-000004000000}"/>
  <sortState xmlns:xlrd2="http://schemas.microsoft.com/office/spreadsheetml/2017/richdata2" ref="A3:M50">
    <sortCondition ref="G2:G50"/>
  </sortState>
  <tableColumns count="13">
    <tableColumn id="1" xr3:uid="{00000000-0010-0000-0500-000001000000}" name="//NOTA" dataDxfId="248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xr3:uid="{00000000-0010-0000-0500-000002000000}" name="//PAJAK" dataDxfId="247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500-000003000000}" name="ID" dataDxfId="246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xr3:uid="{00000000-0010-0000-0500-000004000000}" name="SUPPLIER" dataDxfId="245">
      <calculatedColumnFormula>IF(ATALI[[#This Row],[//PAJAK]]="","",INDEX(INDIRECT("PAJAK["&amp;ATALI[#Headers]&amp;"]"),ATALI[[#This Row],[//PAJAK]]-1))</calculatedColumnFormula>
    </tableColumn>
    <tableColumn id="5" xr3:uid="{00000000-0010-0000-0500-000005000000}" name="TGL.MASUK" dataDxfId="244">
      <calculatedColumnFormula>IF(ATALI[[#This Row],[//PAJAK]]="","",INDEX(INDIRECT("PAJAK["&amp;ATALI[#Headers]&amp;"]"),ATALI[[#This Row],[//PAJAK]]-1))</calculatedColumnFormula>
    </tableColumn>
    <tableColumn id="6" xr3:uid="{00000000-0010-0000-0500-000006000000}" name="TGL.NOTA" dataDxfId="243">
      <calculatedColumnFormula>IF(ATALI[[#This Row],[//PAJAK]]="","",INDEX(INDIRECT("PAJAK["&amp;ATALI[#Headers]&amp;"]"),ATALI[[#This Row],[//PAJAK]]-1))</calculatedColumnFormula>
    </tableColumn>
    <tableColumn id="7" xr3:uid="{00000000-0010-0000-0500-000007000000}" name="NO.NOTA" dataDxfId="242">
      <calculatedColumnFormula>IF(ATALI[[#This Row],[//PAJAK]]="","",INDEX(INDIRECT("PAJAK["&amp;ATALI[#Headers]&amp;"]"),ATALI[[#This Row],[//PAJAK]]-1))</calculatedColumnFormula>
    </tableColumn>
    <tableColumn id="8" xr3:uid="{00000000-0010-0000-0500-000008000000}" name="NO.SJ" dataDxfId="241">
      <calculatedColumnFormula>IF(ATALI[[#This Row],[//PAJAK]]="","",INDEX(INDIRECT("PAJAK["&amp;ATALI[#Headers]&amp;"]"),ATALI[[#This Row],[//PAJAK]]-1))</calculatedColumnFormula>
    </tableColumn>
    <tableColumn id="9" xr3:uid="{00000000-0010-0000-0500-000009000000}" name="SUB TOTAL" dataDxfId="240">
      <calculatedColumnFormula>IF(ATALI[[#This Row],[//PAJAK]]="","",INDEX(PAJAK[SUB T-DISC],ATALI[[#This Row],[//PAJAK]]-1))</calculatedColumnFormula>
    </tableColumn>
    <tableColumn id="10" xr3:uid="{00000000-0010-0000-0500-00000A000000}" name="DISKON" dataDxfId="239">
      <calculatedColumnFormula>IF(ATALI[[#This Row],[//PAJAK]]="","",INDEX(PAJAK[DISC DLL],ATALI[[#This Row],[//PAJAK]]-1))</calculatedColumnFormula>
    </tableColumn>
    <tableColumn id="11" xr3:uid="{00000000-0010-0000-0500-00000B000000}" name="DPP" dataDxfId="238">
      <calculatedColumnFormula>(ATALI[[#This Row],[SUB TOTAL]]-ATALI[[#This Row],[DISKON]])/1.11</calculatedColumnFormula>
    </tableColumn>
    <tableColumn id="12" xr3:uid="{00000000-0010-0000-0500-00000C000000}" name="PPN (11%)" dataDxfId="237">
      <calculatedColumnFormula>ATALI[[#This Row],[DPP]]*11%</calculatedColumnFormula>
    </tableColumn>
    <tableColumn id="13" xr3:uid="{00000000-0010-0000-0500-00000D000000}" name="TOTAL" dataDxfId="236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J_UTAMA" displayName="J_UTAMA" ref="A2:M22" totalsRowShown="0" headerRowDxfId="235">
  <autoFilter ref="A2:M22" xr:uid="{00000000-0009-0000-0100-000005000000}"/>
  <tableColumns count="13">
    <tableColumn id="1" xr3:uid="{00000000-0010-0000-0600-000001000000}" name="//NOTA" dataDxfId="23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xr3:uid="{00000000-0010-0000-0600-000002000000}" name="//PAJAK" dataDxfId="23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600-000003000000}" name="ID" dataDxfId="23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xr3:uid="{00000000-0010-0000-0600-000004000000}" name="SUPPLIER" dataDxfId="231">
      <calculatedColumnFormula>IF(J_UTAMA[[#This Row],[//PAJAK]]="","",INDEX(INDIRECT("PAJAK["&amp;J_UTAMA[#Headers]&amp;"]"),J_UTAMA[[#This Row],[//PAJAK]]-1))</calculatedColumnFormula>
    </tableColumn>
    <tableColumn id="5" xr3:uid="{00000000-0010-0000-0600-000005000000}" name="TGL.MASUK" dataDxfId="230">
      <calculatedColumnFormula>IF(J_UTAMA[[#This Row],[//PAJAK]]="","",INDEX(INDIRECT("PAJAK["&amp;J_UTAMA[#Headers]&amp;"]"),J_UTAMA[[#This Row],[//PAJAK]]-1))</calculatedColumnFormula>
    </tableColumn>
    <tableColumn id="6" xr3:uid="{00000000-0010-0000-0600-000006000000}" name="TGL.NOTA" dataDxfId="229">
      <calculatedColumnFormula>IF(J_UTAMA[[#This Row],[//PAJAK]]="","",INDEX(INDIRECT("PAJAK["&amp;J_UTAMA[#Headers]&amp;"]"),J_UTAMA[[#This Row],[//PAJAK]]-1))</calculatedColumnFormula>
    </tableColumn>
    <tableColumn id="7" xr3:uid="{00000000-0010-0000-0600-000007000000}" name="NO.NOTA" dataDxfId="228">
      <calculatedColumnFormula>IF(J_UTAMA[[#This Row],[//PAJAK]]="","",INDEX(INDIRECT("PAJAK["&amp;J_UTAMA[#Headers]&amp;"]"),J_UTAMA[[#This Row],[//PAJAK]]-1))</calculatedColumnFormula>
    </tableColumn>
    <tableColumn id="8" xr3:uid="{00000000-0010-0000-0600-000008000000}" name="NO.SJ" dataDxfId="227">
      <calculatedColumnFormula>IF(J_UTAMA[[#This Row],[//PAJAK]]="","",INDEX(INDIRECT("PAJAK["&amp;J_UTAMA[#Headers]&amp;"]"),J_UTAMA[[#This Row],[//PAJAK]]-1))</calculatedColumnFormula>
    </tableColumn>
    <tableColumn id="9" xr3:uid="{00000000-0010-0000-0600-000009000000}" name="SUB TOTAL" dataDxfId="226">
      <calculatedColumnFormula>IF(J_UTAMA[[#This Row],[//PAJAK]]="","",INDEX(PAJAK[SUB T-DISC],J_UTAMA[[#This Row],[//PAJAK]]-1))</calculatedColumnFormula>
    </tableColumn>
    <tableColumn id="10" xr3:uid="{00000000-0010-0000-0600-00000A000000}" name="DISKON" dataDxfId="225">
      <calculatedColumnFormula>IF(J_UTAMA[[#This Row],[//PAJAK]]="","",INDEX(PAJAK[DISC DLL],J_UTAMA[[#This Row],[//PAJAK]]-1))</calculatedColumnFormula>
    </tableColumn>
    <tableColumn id="11" xr3:uid="{00000000-0010-0000-0600-00000B000000}" name="DPP" dataDxfId="224">
      <calculatedColumnFormula>(J_UTAMA[[#This Row],[SUB TOTAL]]-J_UTAMA[[#This Row],[DISKON]])/1.11</calculatedColumnFormula>
    </tableColumn>
    <tableColumn id="12" xr3:uid="{00000000-0010-0000-0600-00000C000000}" name="PPN (11%)" dataDxfId="223">
      <calculatedColumnFormula>J_UTAMA[[#This Row],[DPP]]*11%</calculatedColumnFormula>
    </tableColumn>
    <tableColumn id="13" xr3:uid="{00000000-0010-0000-0600-00000D000000}" name="TOTAL" dataDxfId="22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DI" displayName="SDI" ref="A2:N11" totalsRowShown="0" headerRowDxfId="221">
  <autoFilter ref="A2:N11" xr:uid="{00000000-0009-0000-0100-00000A000000}"/>
  <tableColumns count="14">
    <tableColumn id="1" xr3:uid="{00000000-0010-0000-0700-000001000000}" name="//PAJAK" dataDxfId="22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xr3:uid="{00000000-0010-0000-0700-000002000000}" name="ID" dataDxfId="21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xr3:uid="{00000000-0010-0000-0700-000003000000}" name="SUPPLIER" dataDxfId="218">
      <calculatedColumnFormula>IF(SDI[[#This Row],[//PAJAK]]="","",INDEX(INDIRECT("PAJAK["&amp;SDI[#Headers]&amp;"]"),SDI[[#This Row],[//PAJAK]]-1))</calculatedColumnFormula>
    </tableColumn>
    <tableColumn id="4" xr3:uid="{00000000-0010-0000-0700-000004000000}" name="TGL.MASUK" dataDxfId="217">
      <calculatedColumnFormula>IF(SDI[[#This Row],[//PAJAK]]="","",INDEX(INDIRECT("PAJAK["&amp;SDI[#Headers]&amp;"]"),SDI[[#This Row],[//PAJAK]]-1))</calculatedColumnFormula>
    </tableColumn>
    <tableColumn id="5" xr3:uid="{00000000-0010-0000-0700-000005000000}" name="TGL.NOTA" dataDxfId="216">
      <calculatedColumnFormula>IF(SDI[[#This Row],[//PAJAK]]="","",INDEX(INDIRECT("PAJAK["&amp;SDI[#Headers]&amp;"]"),SDI[[#This Row],[//PAJAK]]-1))</calculatedColumnFormula>
    </tableColumn>
    <tableColumn id="6" xr3:uid="{00000000-0010-0000-0700-000006000000}" name="NO.NOTA" dataDxfId="215">
      <calculatedColumnFormula>IF(SDI[[#This Row],[//PAJAK]]="","",INDEX(INDIRECT("PAJAK["&amp;SDI[#Headers]&amp;"]"),SDI[[#This Row],[//PAJAK]]-1))</calculatedColumnFormula>
    </tableColumn>
    <tableColumn id="7" xr3:uid="{00000000-0010-0000-0700-000007000000}" name="NO.SJ" dataDxfId="214">
      <calculatedColumnFormula>IF(SDI[[#This Row],[//PAJAK]]="","",INDEX(INDIRECT("PAJAK["&amp;SDI[#Headers]&amp;"]"),SDI[[#This Row],[//PAJAK]]-1))</calculatedColumnFormula>
    </tableColumn>
    <tableColumn id="8" xr3:uid="{00000000-0010-0000-0700-000008000000}" name="SUB TOTAL" dataDxfId="213">
      <calculatedColumnFormula>IF(SDI[[#This Row],[//PAJAK]]="","",(INDEX(INDIRECT("PAJAK["&amp;SDI[#Headers]&amp;"]"),SDI[[#This Row],[//PAJAK]]-1))-SDI[[#This Row],[H_DISKON]])</calculatedColumnFormula>
    </tableColumn>
    <tableColumn id="9" xr3:uid="{00000000-0010-0000-0700-000009000000}" name="DISKON" dataDxfId="212">
      <calculatedColumnFormula>IF(SDI[[#This Row],[//PAJAK]]="","",SDI[[#This Row],[H_DISC DLL]])</calculatedColumnFormula>
    </tableColumn>
    <tableColumn id="10" xr3:uid="{00000000-0010-0000-0700-00000A000000}" name="DPP" dataDxfId="211">
      <calculatedColumnFormula>(SDI[[#This Row],[SUB TOTAL]])/1.11</calculatedColumnFormula>
    </tableColumn>
    <tableColumn id="11" xr3:uid="{00000000-0010-0000-0700-00000B000000}" name="PPN (11%)" dataDxfId="210">
      <calculatedColumnFormula>SDI[[#This Row],[DPP]]*11%</calculatedColumnFormula>
    </tableColumn>
    <tableColumn id="12" xr3:uid="{00000000-0010-0000-0700-00000C000000}" name="TOTAL" dataDxfId="209">
      <calculatedColumnFormula>SDI[[#This Row],[DPP]]+SDI[[#This Row],[PPN (11%)]]</calculatedColumnFormula>
    </tableColumn>
    <tableColumn id="14" xr3:uid="{00000000-0010-0000-0700-00000E000000}" name="H_DISKON" dataDxfId="208">
      <calculatedColumnFormula>IF(SDI[[#This Row],[//PAJAK]]="","",INDEX(PAJAK[DISKON],SDI[[#This Row],[//PAJAK]]-1))</calculatedColumnFormula>
    </tableColumn>
    <tableColumn id="15" xr3:uid="{00000000-0010-0000-0700-00000F000000}" name="H_DISC DLL" dataDxfId="20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AJ" displayName="SAJ" ref="A2:M25" totalsRowShown="0" headerRowDxfId="206">
  <autoFilter ref="A2:M25" xr:uid="{00000000-0009-0000-0100-000009000000}"/>
  <tableColumns count="13">
    <tableColumn id="1" xr3:uid="{00000000-0010-0000-0800-000001000000}" name="//NOTA``" dataDxfId="20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xr3:uid="{00000000-0010-0000-0800-000002000000}" name="//PAJAK" dataDxfId="20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800-000003000000}" name="ID" dataDxfId="20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xr3:uid="{00000000-0010-0000-0800-000004000000}" name="SUPPLIER" dataDxfId="202">
      <calculatedColumnFormula>IF(SAJ[[#This Row],[//PAJAK]]="","",INDEX(INDIRECT("PAJAK["&amp;SAJ[#Headers]&amp;"]"),SAJ[[#This Row],[//PAJAK]]-1))</calculatedColumnFormula>
    </tableColumn>
    <tableColumn id="5" xr3:uid="{00000000-0010-0000-0800-000005000000}" name="TGL.MASUK" dataDxfId="201">
      <calculatedColumnFormula>IF(SAJ[[#This Row],[//PAJAK]]="","",INDEX(INDIRECT("PAJAK["&amp;SAJ[#Headers]&amp;"]"),SAJ[[#This Row],[//PAJAK]]-1))</calculatedColumnFormula>
    </tableColumn>
    <tableColumn id="6" xr3:uid="{00000000-0010-0000-0800-000006000000}" name="TGL.NOTA" dataDxfId="200">
      <calculatedColumnFormula>IF(SAJ[[#This Row],[//PAJAK]]="","",INDEX(INDIRECT("PAJAK["&amp;SAJ[#Headers]&amp;"]"),SAJ[[#This Row],[//PAJAK]]-1))</calculatedColumnFormula>
    </tableColumn>
    <tableColumn id="7" xr3:uid="{00000000-0010-0000-0800-000007000000}" name="NO.NOTA" dataDxfId="199">
      <calculatedColumnFormula>IF(SAJ[[#This Row],[//PAJAK]]="","",INDEX(INDIRECT("PAJAK["&amp;SAJ[#Headers]&amp;"]"),SAJ[[#This Row],[//PAJAK]]-1))</calculatedColumnFormula>
    </tableColumn>
    <tableColumn id="8" xr3:uid="{00000000-0010-0000-0800-000008000000}" name="NO.SJ" dataDxfId="198">
      <calculatedColumnFormula>IF(SAJ[[#This Row],[//PAJAK]]="","",INDEX(INDIRECT("PAJAK["&amp;SAJ[#Headers]&amp;"]"),SAJ[[#This Row],[//PAJAK]]-1))</calculatedColumnFormula>
    </tableColumn>
    <tableColumn id="9" xr3:uid="{00000000-0010-0000-0800-000009000000}" name="SUB TOTAL" dataDxfId="197">
      <calculatedColumnFormula>IF(SAJ[[#This Row],[//PAJAK]]="","",INDEX(INDIRECT("PAJAK["&amp;SAJ[#Headers]&amp;"]"),SAJ[[#This Row],[//PAJAK]]-1))</calculatedColumnFormula>
    </tableColumn>
    <tableColumn id="10" xr3:uid="{00000000-0010-0000-0800-00000A000000}" name="DISKON" dataDxfId="196">
      <calculatedColumnFormula>IF(SAJ[[#This Row],[//PAJAK]]="","",INDEX(INDIRECT("PAJAK["&amp;SAJ[#Headers]&amp;"]"),SAJ[[#This Row],[//PAJAK]]-1))</calculatedColumnFormula>
    </tableColumn>
    <tableColumn id="11" xr3:uid="{00000000-0010-0000-0800-00000B000000}" name="DPP" dataDxfId="195">
      <calculatedColumnFormula>(SAJ[[#This Row],[SUB TOTAL]]-SAJ[[#This Row],[DISKON]])/1.11</calculatedColumnFormula>
    </tableColumn>
    <tableColumn id="12" xr3:uid="{00000000-0010-0000-0800-00000C000000}" name="PPN (11%)" dataDxfId="194">
      <calculatedColumnFormula>SAJ[[#This Row],[DPP]]*11%</calculatedColumnFormula>
    </tableColumn>
    <tableColumn id="13" xr3:uid="{00000000-0010-0000-0800-00000D000000}" name="TOTAL" dataDxfId="19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MGN" displayName="MGN" ref="A2:M25" totalsRowShown="0" headerRowDxfId="192">
  <autoFilter ref="A2:M25" xr:uid="{00000000-0009-0000-0100-000008000000}"/>
  <tableColumns count="13">
    <tableColumn id="1" xr3:uid="{00000000-0010-0000-0900-000001000000}" name="//NOTA``" dataDxfId="19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xr3:uid="{00000000-0010-0000-0900-000002000000}" name="//PAJAK" dataDxfId="19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900-000003000000}" name="ID" dataDxfId="18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xr3:uid="{00000000-0010-0000-0900-000004000000}" name="SUPPLIER" dataDxfId="188">
      <calculatedColumnFormula>IF(MGN[[#This Row],[//PAJAK]]="","",INDEX(INDIRECT("PAJAK["&amp;MGN[#Headers]&amp;"]"),MGN[[#This Row],[//PAJAK]]-1))</calculatedColumnFormula>
    </tableColumn>
    <tableColumn id="5" xr3:uid="{00000000-0010-0000-0900-000005000000}" name="TGL.MASUK" dataDxfId="187">
      <calculatedColumnFormula>IF(MGN[[#This Row],[//PAJAK]]="","",INDEX(INDIRECT("PAJAK["&amp;MGN[#Headers]&amp;"]"),MGN[[#This Row],[//PAJAK]]-1))</calculatedColumnFormula>
    </tableColumn>
    <tableColumn id="6" xr3:uid="{00000000-0010-0000-0900-000006000000}" name="TGL.NOTA" dataDxfId="186">
      <calculatedColumnFormula>IF(MGN[[#This Row],[//PAJAK]]="","",INDEX(INDIRECT("PAJAK["&amp;MGN[#Headers]&amp;"]"),MGN[[#This Row],[//PAJAK]]-1))</calculatedColumnFormula>
    </tableColumn>
    <tableColumn id="7" xr3:uid="{00000000-0010-0000-0900-000007000000}" name="NO.NOTA" dataDxfId="185">
      <calculatedColumnFormula>IF(MGN[[#This Row],[//PAJAK]]="","",INDEX(INDIRECT("PAJAK["&amp;MGN[#Headers]&amp;"]"),MGN[[#This Row],[//PAJAK]]-1))</calculatedColumnFormula>
    </tableColumn>
    <tableColumn id="8" xr3:uid="{00000000-0010-0000-0900-000008000000}" name="NO.SJ" dataDxfId="184">
      <calculatedColumnFormula>IF(MGN[[#This Row],[//PAJAK]]="","",INDEX(INDIRECT("PAJAK["&amp;MGN[#Headers]&amp;"]"),MGN[[#This Row],[//PAJAK]]-1))</calculatedColumnFormula>
    </tableColumn>
    <tableColumn id="9" xr3:uid="{00000000-0010-0000-0900-000009000000}" name="SUB TOTAL" dataDxfId="183">
      <calculatedColumnFormula>IF(MGN[[#This Row],[//PAJAK]]="","",INDEX(INDIRECT("PAJAK["&amp;MGN[#Headers]&amp;"]"),MGN[[#This Row],[//PAJAK]]-1))</calculatedColumnFormula>
    </tableColumn>
    <tableColumn id="10" xr3:uid="{00000000-0010-0000-0900-00000A000000}" name="DISKON" dataDxfId="182">
      <calculatedColumnFormula>IF(MGN[[#This Row],[//PAJAK]]="","",INDEX(INDIRECT("PAJAK["&amp;MGN[#Headers]&amp;"]"),MGN[[#This Row],[//PAJAK]]-1))</calculatedColumnFormula>
    </tableColumn>
    <tableColumn id="11" xr3:uid="{00000000-0010-0000-0900-00000B000000}" name="DPP" dataDxfId="181">
      <calculatedColumnFormula>(MGN[[#This Row],[SUB TOTAL]]-MGN[[#This Row],[DISKON]])/1.11</calculatedColumnFormula>
    </tableColumn>
    <tableColumn id="12" xr3:uid="{00000000-0010-0000-0900-00000C000000}" name="PPN (11%)" dataDxfId="180">
      <calculatedColumnFormula>MGN[[#This Row],[DPP]]*11%</calculatedColumnFormula>
    </tableColumn>
    <tableColumn id="13" xr3:uid="{00000000-0010-0000-0900-00000D000000}" name="TOTAL" dataDxfId="17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IE" displayName="LIE" ref="A2:M6" totalsRowShown="0" headerRowDxfId="178">
  <autoFilter ref="A2:M6" xr:uid="{00000000-0009-0000-0100-00000B000000}"/>
  <tableColumns count="13">
    <tableColumn id="1" xr3:uid="{00000000-0010-0000-0A00-000001000000}" name="//NOTA" dataDxfId="17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xr3:uid="{00000000-0010-0000-0A00-000002000000}" name="//PAJAK" dataDxfId="17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A00-000003000000}" name="ID" dataDxfId="17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xr3:uid="{00000000-0010-0000-0A00-000004000000}" name="SUPPLIER" dataDxfId="174">
      <calculatedColumnFormula>IF(LIE[[#This Row],[//PAJAK]]="","",INDEX(INDIRECT("PAJAK["&amp;LIE[#Headers]&amp;"]"),LIE[[#This Row],[//PAJAK]]-1))</calculatedColumnFormula>
    </tableColumn>
    <tableColumn id="5" xr3:uid="{00000000-0010-0000-0A00-000005000000}" name="TGL.MASUK" dataDxfId="173">
      <calculatedColumnFormula>IF(LIE[[#This Row],[//PAJAK]]="","",INDEX(INDIRECT("PAJAK["&amp;LIE[#Headers]&amp;"]"),LIE[[#This Row],[//PAJAK]]-1))</calculatedColumnFormula>
    </tableColumn>
    <tableColumn id="6" xr3:uid="{00000000-0010-0000-0A00-000006000000}" name="TGL.NOTA" dataDxfId="172">
      <calculatedColumnFormula>IF(LIE[[#This Row],[//PAJAK]]="","",INDEX(INDIRECT("PAJAK["&amp;LIE[#Headers]&amp;"]"),LIE[[#This Row],[//PAJAK]]-1))</calculatedColumnFormula>
    </tableColumn>
    <tableColumn id="7" xr3:uid="{00000000-0010-0000-0A00-000007000000}" name="NO.NOTA" dataDxfId="171">
      <calculatedColumnFormula>IF(LIE[[#This Row],[//PAJAK]]="","",INDEX(INDIRECT("PAJAK["&amp;LIE[#Headers]&amp;"]"),LIE[[#This Row],[//PAJAK]]-1))</calculatedColumnFormula>
    </tableColumn>
    <tableColumn id="8" xr3:uid="{00000000-0010-0000-0A00-000008000000}" name="NO.SJ" dataDxfId="170">
      <calculatedColumnFormula>IF(LIE[[#This Row],[//PAJAK]]="","",INDEX(INDIRECT("PAJAK["&amp;LIE[#Headers]&amp;"]"),LIE[[#This Row],[//PAJAK]]-1))</calculatedColumnFormula>
    </tableColumn>
    <tableColumn id="9" xr3:uid="{00000000-0010-0000-0A00-000009000000}" name="SUB TOTAL" dataDxfId="169">
      <calculatedColumnFormula>IF(LIE[[#This Row],[//PAJAK]]="","",INDEX(PAJAK[SUB T-DISC],LIE[[#This Row],[//PAJAK]]-1)*1.11)</calculatedColumnFormula>
    </tableColumn>
    <tableColumn id="10" xr3:uid="{00000000-0010-0000-0A00-00000A000000}" name="DISKON" dataDxfId="168">
      <calculatedColumnFormula>IF(LIE[[#This Row],[//PAJAK]]="","",INDEX(PAJAK[DISC DLL],LIE[[#This Row],[//PAJAK]]-1))</calculatedColumnFormula>
    </tableColumn>
    <tableColumn id="11" xr3:uid="{00000000-0010-0000-0A00-00000B000000}" name="DPP" dataDxfId="167">
      <calculatedColumnFormula>(LIE[[#This Row],[SUB TOTAL]]-LIE[[#This Row],[DISKON]])/1.11</calculatedColumnFormula>
    </tableColumn>
    <tableColumn id="12" xr3:uid="{00000000-0010-0000-0A00-00000C000000}" name="PPN (11%)" dataDxfId="166">
      <calculatedColumnFormula>LIE[[#This Row],[DPP]]*11%</calculatedColumnFormula>
    </tableColumn>
    <tableColumn id="13" xr3:uid="{00000000-0010-0000-0A00-00000D000000}" name="TOTAL" dataDxfId="16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LMA" displayName="LMA" ref="A2:M8" totalsRowShown="0" headerRowDxfId="164">
  <autoFilter ref="A2:M8" xr:uid="{00000000-0009-0000-0100-00000C000000}"/>
  <tableColumns count="13">
    <tableColumn id="1" xr3:uid="{00000000-0010-0000-0B00-000001000000}" name="//NOTA" dataDxfId="16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xr3:uid="{00000000-0010-0000-0B00-000002000000}" name="//PAJAK" dataDxfId="16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B00-000003000000}" name="ID" dataDxfId="16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xr3:uid="{00000000-0010-0000-0B00-000004000000}" name="SUPPLIER" dataDxfId="160">
      <calculatedColumnFormula>IF(LMA[[#This Row],[//PAJAK]]="","",INDEX(INDIRECT("PAJAK["&amp;LMA[#Headers]&amp;"]"),LMA[[#This Row],[//PAJAK]]-1))</calculatedColumnFormula>
    </tableColumn>
    <tableColumn id="5" xr3:uid="{00000000-0010-0000-0B00-000005000000}" name="TGL.MASUK" dataDxfId="159">
      <calculatedColumnFormula>IF(LMA[[#This Row],[//PAJAK]]="","",INDEX(INDIRECT("PAJAK["&amp;LMA[#Headers]&amp;"]"),LMA[[#This Row],[//PAJAK]]-1))</calculatedColumnFormula>
    </tableColumn>
    <tableColumn id="6" xr3:uid="{00000000-0010-0000-0B00-000006000000}" name="TGL.NOTA" dataDxfId="158">
      <calculatedColumnFormula>IF(LMA[[#This Row],[//PAJAK]]="","",INDEX(INDIRECT("PAJAK["&amp;LMA[#Headers]&amp;"]"),LMA[[#This Row],[//PAJAK]]-1))</calculatedColumnFormula>
    </tableColumn>
    <tableColumn id="7" xr3:uid="{00000000-0010-0000-0B00-000007000000}" name="NO.NOTA" dataDxfId="157">
      <calculatedColumnFormula>IF(LMA[[#This Row],[//PAJAK]]="","",INDEX(INDIRECT("PAJAK["&amp;LMA[#Headers]&amp;"]"),LMA[[#This Row],[//PAJAK]]-1))</calculatedColumnFormula>
    </tableColumn>
    <tableColumn id="8" xr3:uid="{00000000-0010-0000-0B00-000008000000}" name="NO.SJ" dataDxfId="156">
      <calculatedColumnFormula>IF(LMA[[#This Row],[//PAJAK]]="","",INDEX(INDIRECT("PAJAK["&amp;LMA[#Headers]&amp;"]"),LMA[[#This Row],[//PAJAK]]-1))</calculatedColumnFormula>
    </tableColumn>
    <tableColumn id="9" xr3:uid="{00000000-0010-0000-0B00-000009000000}" name="SUB TOTAL" dataDxfId="155">
      <calculatedColumnFormula>IF(LMA[[#This Row],[//PAJAK]]="","",INDEX(PAJAK[SUB T-DISC],LMA[[#This Row],[//PAJAK]]-1)-LMA[[#This Row],[DISKON]])*1.11</calculatedColumnFormula>
    </tableColumn>
    <tableColumn id="10" xr3:uid="{00000000-0010-0000-0B00-00000A000000}" name="DISKON" dataDxfId="154">
      <calculatedColumnFormula>IF(LMA[[#This Row],[//PAJAK]]="","",INDEX(PAJAK[DISC DLL],LMA[[#This Row],[//PAJAK]]-1))</calculatedColumnFormula>
    </tableColumn>
    <tableColumn id="11" xr3:uid="{00000000-0010-0000-0B00-00000B000000}" name="DPP" dataDxfId="153">
      <calculatedColumnFormula>(LMA[[#This Row],[SUB TOTAL]]/1.11)</calculatedColumnFormula>
    </tableColumn>
    <tableColumn id="12" xr3:uid="{00000000-0010-0000-0B00-00000C000000}" name="PPN (11%)" dataDxfId="152">
      <calculatedColumnFormula>LMA[[#This Row],[DPP]]*11%</calculatedColumnFormula>
    </tableColumn>
    <tableColumn id="13" xr3:uid="{00000000-0010-0000-0B00-00000D000000}" name="TOTAL" dataDxfId="15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ARAMA" displayName="PARAMA" ref="A2:N50" totalsRowShown="0" headerRowDxfId="150">
  <autoFilter ref="A2:N50" xr:uid="{00000000-0009-0000-0100-00000D000000}"/>
  <tableColumns count="14">
    <tableColumn id="1" xr3:uid="{00000000-0010-0000-0C00-000001000000}" name="//NOTA" dataDxfId="149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xr3:uid="{00000000-0010-0000-0C00-000002000000}" name="//PAJAK" dataDxfId="148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C00-000003000000}" name="ID" dataDxfId="147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xr3:uid="{00000000-0010-0000-0C00-000004000000}" name="SUPPLIER" dataDxfId="146">
      <calculatedColumnFormula>IF(PARAMA[[#This Row],[//PAJAK]]="","",INDEX(INDIRECT("PAJAK["&amp;PARAMA[#Headers]&amp;"]"),PARAMA[[#This Row],[//PAJAK]]-1))</calculatedColumnFormula>
    </tableColumn>
    <tableColumn id="5" xr3:uid="{00000000-0010-0000-0C00-000005000000}" name="TGL.MASUK" dataDxfId="145">
      <calculatedColumnFormula>IF(PARAMA[[#This Row],[//PAJAK]]="","",INDEX(INDIRECT("PAJAK["&amp;PARAMA[#Headers]&amp;"]"),PARAMA[[#This Row],[//PAJAK]]-1))</calculatedColumnFormula>
    </tableColumn>
    <tableColumn id="6" xr3:uid="{00000000-0010-0000-0C00-000006000000}" name="TGL.NOTA" dataDxfId="144">
      <calculatedColumnFormula>IF(PARAMA[[#This Row],[//PAJAK]]="","",INDEX(INDIRECT("PAJAK["&amp;PARAMA[#Headers]&amp;"]"),PARAMA[[#This Row],[//PAJAK]]-1))</calculatedColumnFormula>
    </tableColumn>
    <tableColumn id="7" xr3:uid="{00000000-0010-0000-0C00-000007000000}" name="NO.NOTA" dataDxfId="143">
      <calculatedColumnFormula>IF(PARAMA[[#This Row],[//PAJAK]]="","",INDEX(INDIRECT("PAJAK["&amp;PARAMA[#Headers]&amp;"]"),PARAMA[[#This Row],[//PAJAK]]-1))</calculatedColumnFormula>
    </tableColumn>
    <tableColumn id="8" xr3:uid="{00000000-0010-0000-0C00-000008000000}" name="NO.SJ" dataDxfId="142">
      <calculatedColumnFormula>IF(PARAMA[[#This Row],[//PAJAK]]="","",INDEX(INDIRECT("PAJAK["&amp;PARAMA[#Headers]&amp;"]"),PARAMA[[#This Row],[//PAJAK]]-1))</calculatedColumnFormula>
    </tableColumn>
    <tableColumn id="9" xr3:uid="{00000000-0010-0000-0C00-000009000000}" name="SUB TOTAL" dataDxfId="141">
      <calculatedColumnFormula>IF(PARAMA[[#This Row],[//PAJAK]]="","",INDEX(PAJAK[SUB TOTAL],PARAMA[[#This Row],[//PAJAK]]-1)-PARAMA[[#This Row],[DISKON_H]])</calculatedColumnFormula>
    </tableColumn>
    <tableColumn id="14" xr3:uid="{00000000-0010-0000-0C00-00000E000000}" name="DISKON_H" dataDxfId="140">
      <calculatedColumnFormula>IF(PARAMA[[#This Row],[//PAJAK]]="","",INDEX(PAJAK[DISKON],PARAMA[[#This Row],[//PAJAK]]-1))</calculatedColumnFormula>
    </tableColumn>
    <tableColumn id="10" xr3:uid="{00000000-0010-0000-0C00-00000A000000}" name="DISKON" dataDxfId="139"/>
    <tableColumn id="11" xr3:uid="{00000000-0010-0000-0C00-00000B000000}" name="DPP" dataDxfId="138">
      <calculatedColumnFormula>(PARAMA[[#This Row],[SUB TOTAL]]-PARAMA[[#This Row],[DISKON]])/1.11</calculatedColumnFormula>
    </tableColumn>
    <tableColumn id="12" xr3:uid="{00000000-0010-0000-0C00-00000C000000}" name="PPN (11%)" dataDxfId="137">
      <calculatedColumnFormula>PARAMA[[#This Row],[DPP]]*11%</calculatedColumnFormula>
    </tableColumn>
    <tableColumn id="13" xr3:uid="{00000000-0010-0000-0C00-00000D000000}" name="TOTAL" dataDxfId="136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RAP" displayName="RAP" ref="A2:M22" totalsRowShown="0" headerRowDxfId="135">
  <autoFilter ref="A2:M22" xr:uid="{00000000-0009-0000-0100-00000E000000}"/>
  <tableColumns count="13">
    <tableColumn id="1" xr3:uid="{00000000-0010-0000-0D00-000001000000}" name="//NOTA" dataDxfId="134" dataCellStyle="Hyperlink">
      <calculatedColumnFormula>HYPERLINK("[NOTA_.xlsx]NOTA!A"&amp;MATCH(RAP[[#This Row],[ID]],NOTA[ID],0)+2,IF(RAP[[#This Row],[//PAJAK]]="","",MATCH(RAP[[#This Row],[ID]],NOTA[ID],0)+2))</calculatedColumnFormula>
    </tableColumn>
    <tableColumn id="2" xr3:uid="{00000000-0010-0000-0D00-000002000000}" name="//PAJAK" dataDxfId="133">
      <calculatedColumnFormula>IF(ROW()-3&lt;E$1,IF(INDIRECT(ADDRESS(ROW()-1,COLUMN(RAP[[#Headers],[//PAJAK]])))="//PAJAK",MATCH(D$1,PAJAK[SUPPLIER],0)+1,MATCH(D$1,INDIRECT("PAJAK!"&amp;ADDRESS(B2+1,COLUMN(PAJAK[SUPPLIER]))&amp;":"&amp;ADDRESS(MAX_ROW,COLUMN(PAJAK[SUPPLIER]))),0)+B2),"")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D00-000003000000}" name="ID" dataDxfId="132" dataCellStyle="Hyperlink">
      <calculatedColumnFormula>HYPERLINK("[NOTA_.xlsx]PAJAK!b"&amp;RAP[[#This Row],[//PAJAK]],IF(RAP[[#This Row],[//PAJAK]]="","",INDEX(INDIRECT("PAJAK["&amp;RAP[#Headers]&amp;"]"),RAP[[#This Row],[//PAJAK]]-1)))</calculatedColumnFormula>
    </tableColumn>
    <tableColumn id="4" xr3:uid="{00000000-0010-0000-0D00-000004000000}" name="SUPPLIER" dataDxfId="131">
      <calculatedColumnFormula>IF(RAP[[#This Row],[//PAJAK]]="","",INDEX(INDIRECT("PAJAK["&amp;RAP[#Headers]&amp;"]"),RAP[[#This Row],[//PAJAK]]-1))</calculatedColumnFormula>
    </tableColumn>
    <tableColumn id="5" xr3:uid="{00000000-0010-0000-0D00-000005000000}" name="TGL.MASUK" dataDxfId="130">
      <calculatedColumnFormula>IF(RAP[[#This Row],[//PAJAK]]="","",INDEX(INDIRECT("PAJAK["&amp;RAP[#Headers]&amp;"]"),RAP[[#This Row],[//PAJAK]]-1))</calculatedColumnFormula>
    </tableColumn>
    <tableColumn id="6" xr3:uid="{00000000-0010-0000-0D00-000006000000}" name="TGL.NOTA" dataDxfId="129">
      <calculatedColumnFormula>IF(RAP[[#This Row],[//PAJAK]]="","",INDEX(INDIRECT("PAJAK["&amp;RAP[#Headers]&amp;"]"),RAP[[#This Row],[//PAJAK]]-1))</calculatedColumnFormula>
    </tableColumn>
    <tableColumn id="7" xr3:uid="{00000000-0010-0000-0D00-000007000000}" name="NO.NOTA" dataDxfId="128">
      <calculatedColumnFormula>IF(RAP[[#This Row],[//PAJAK]]="","",INDEX(INDIRECT("PAJAK["&amp;RAP[#Headers]&amp;"]"),RAP[[#This Row],[//PAJAK]]-1))</calculatedColumnFormula>
    </tableColumn>
    <tableColumn id="8" xr3:uid="{00000000-0010-0000-0D00-000008000000}" name="NO.SJ" dataDxfId="127">
      <calculatedColumnFormula>IF(RAP[[#This Row],[//PAJAK]]="","",INDEX(INDIRECT("PAJAK["&amp;RAP[#Headers]&amp;"]"),RAP[[#This Row],[//PAJAK]]-1))</calculatedColumnFormula>
    </tableColumn>
    <tableColumn id="9" xr3:uid="{00000000-0010-0000-0D00-000009000000}" name="SUB TOTAL" dataDxfId="126">
      <calculatedColumnFormula>IF(RAP[[#This Row],[//PAJAK]]="","",INDEX(PAJAK[SUB T-DISC],RAP[[#This Row],[//PAJAK]]-1))</calculatedColumnFormula>
    </tableColumn>
    <tableColumn id="10" xr3:uid="{00000000-0010-0000-0D00-00000A000000}" name="DISKON" dataDxfId="125">
      <calculatedColumnFormula>IF(RAP[[#This Row],[//PAJAK]]="","",INDEX(PAJAK[DISC DLL],RAP[[#This Row],[//PAJAK]]-1))</calculatedColumnFormula>
    </tableColumn>
    <tableColumn id="11" xr3:uid="{00000000-0010-0000-0D00-00000B000000}" name="DPP" dataDxfId="124">
      <calculatedColumnFormula>(RAP[[#This Row],[SUB TOTAL]]-RAP[[#This Row],[DISKON]])/1.11</calculatedColumnFormula>
    </tableColumn>
    <tableColumn id="12" xr3:uid="{00000000-0010-0000-0D00-00000C000000}" name="PPN (11%)" dataDxfId="123">
      <calculatedColumnFormula>RAP[[#This Row],[DPP]]*11%</calculatedColumnFormula>
    </tableColumn>
    <tableColumn id="13" xr3:uid="{00000000-0010-0000-0D00-00000D000000}" name="TOTAL" dataDxfId="122">
      <calculatedColumnFormula>RAP[[#This Row],[DPP]]+RAP[[#This Row],[PPN (11%)]]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NCL" displayName="NCL" ref="A2:M22" totalsRowShown="0" headerRowDxfId="121">
  <autoFilter ref="A2:M22" xr:uid="{00000000-0009-0000-0100-00000F000000}"/>
  <tableColumns count="13">
    <tableColumn id="1" xr3:uid="{00000000-0010-0000-0E00-000001000000}" name="//NOTA" dataDxfId="120" dataCellStyle="Hyperlink">
      <calculatedColumnFormula>HYPERLINK("[NOTA_.xlsx]NOTA!A"&amp;MATCH(NCL[[#This Row],[ID]],NOTA[ID],0)+2,IF(NCL[[#This Row],[//PAJAK]]="","",MATCH(NCL[[#This Row],[ID]],NOTA[ID],0)+2))</calculatedColumnFormula>
    </tableColumn>
    <tableColumn id="2" xr3:uid="{00000000-0010-0000-0E00-000002000000}" name="//PAJAK" dataDxfId="119">
      <calculatedColumnFormula>IF(ROW()-3&lt;E$1,IF(INDIRECT(ADDRESS(ROW()-1,COLUMN(NCL[[#Headers],[//PAJAK]])))="//PAJAK",MATCH(D$1,PAJAK[SUPPLIER],0)+1,MATCH(D$1,INDIRECT("PAJAK!"&amp;ADDRESS(B2+1,COLUMN(PAJAK[SUPPLIER]))&amp;":"&amp;ADDRESS(MAX_ROW,COLUMN(PAJAK[SUPPLIER]))),0)+B2),"")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E00-000003000000}" name="ID" dataDxfId="118" dataCellStyle="Hyperlink">
      <calculatedColumnFormula>HYPERLINK("[NOTA_.xlsx]PAJAK!b"&amp;NCL[[#This Row],[//PAJAK]],IF(NCL[[#This Row],[//PAJAK]]="","",INDEX(INDIRECT("PAJAK["&amp;NCL[#Headers]&amp;"]"),NCL[[#This Row],[//PAJAK]]-1)))</calculatedColumnFormula>
    </tableColumn>
    <tableColumn id="4" xr3:uid="{00000000-0010-0000-0E00-000004000000}" name="SUPPLIER" dataDxfId="117">
      <calculatedColumnFormula>IF(NCL[[#This Row],[//PAJAK]]="","",INDEX(INDIRECT("PAJAK["&amp;NCL[#Headers]&amp;"]"),NCL[[#This Row],[//PAJAK]]-1))</calculatedColumnFormula>
    </tableColumn>
    <tableColumn id="5" xr3:uid="{00000000-0010-0000-0E00-000005000000}" name="TGL.MASUK" dataDxfId="116">
      <calculatedColumnFormula>IF(NCL[[#This Row],[//PAJAK]]="","",INDEX(INDIRECT("PAJAK["&amp;NCL[#Headers]&amp;"]"),NCL[[#This Row],[//PAJAK]]-1))</calculatedColumnFormula>
    </tableColumn>
    <tableColumn id="6" xr3:uid="{00000000-0010-0000-0E00-000006000000}" name="TGL.NOTA" dataDxfId="115">
      <calculatedColumnFormula>IF(NCL[[#This Row],[//PAJAK]]="","",INDEX(INDIRECT("PAJAK["&amp;NCL[#Headers]&amp;"]"),NCL[[#This Row],[//PAJAK]]-1))</calculatedColumnFormula>
    </tableColumn>
    <tableColumn id="7" xr3:uid="{00000000-0010-0000-0E00-000007000000}" name="NO.NOTA" dataDxfId="114">
      <calculatedColumnFormula>IF(NCL[[#This Row],[//PAJAK]]="","",INDEX(INDIRECT("PAJAK["&amp;NCL[#Headers]&amp;"]"),NCL[[#This Row],[//PAJAK]]-1))</calculatedColumnFormula>
    </tableColumn>
    <tableColumn id="8" xr3:uid="{00000000-0010-0000-0E00-000008000000}" name="NO.SJ" dataDxfId="113">
      <calculatedColumnFormula>IF(NCL[[#This Row],[//PAJAK]]="","",INDEX(INDIRECT("PAJAK["&amp;NCL[#Headers]&amp;"]"),NCL[[#This Row],[//PAJAK]]-1))</calculatedColumnFormula>
    </tableColumn>
    <tableColumn id="9" xr3:uid="{00000000-0010-0000-0E00-000009000000}" name="SUB TOTAL" dataDxfId="112">
      <calculatedColumnFormula>IF(NCL[[#This Row],[//PAJAK]]="","",INDEX(PAJAK[SUB T-DISC],NCL[[#This Row],[//PAJAK]]-1)*1.11)</calculatedColumnFormula>
    </tableColumn>
    <tableColumn id="10" xr3:uid="{00000000-0010-0000-0E00-00000A000000}" name="DISKON" dataDxfId="111">
      <calculatedColumnFormula>IF(NCL[[#This Row],[//PAJAK]]="","",INDEX(PAJAK[DISC DLL],NCL[[#This Row],[//PAJAK]]-1))</calculatedColumnFormula>
    </tableColumn>
    <tableColumn id="11" xr3:uid="{00000000-0010-0000-0E00-00000B000000}" name="DPP" dataDxfId="110">
      <calculatedColumnFormula>(NCL[[#This Row],[SUB TOTAL]]-NCL[[#This Row],[DISKON]])/1.11</calculatedColumnFormula>
    </tableColumn>
    <tableColumn id="12" xr3:uid="{00000000-0010-0000-0E00-00000C000000}" name="PPN (11%)" dataDxfId="109">
      <calculatedColumnFormula>NCL[[#This Row],[DPP]]*11%</calculatedColumnFormula>
    </tableColumn>
    <tableColumn id="13" xr3:uid="{00000000-0010-0000-0E00-00000D000000}" name="TOTAL" dataDxfId="108">
      <calculatedColumnFormula>NCL[[#This Row],[DPP]]+NCL[[#This Row],[PPN (11%)]]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OPLA" displayName="TOPLA" ref="A2:M22" totalsRowShown="0" headerRowDxfId="107">
  <autoFilter ref="A2:M22" xr:uid="{00000000-0009-0000-0100-000010000000}"/>
  <tableColumns count="13">
    <tableColumn id="1" xr3:uid="{00000000-0010-0000-0F00-000001000000}" name="//NOTA" dataDxfId="106" dataCellStyle="Hyperlink">
      <calculatedColumnFormula>HYPERLINK("[NOTA_.xlsx]NOTA!A"&amp;MATCH(TOPLA[[#This Row],[ID]],NOTA[ID],0)+2,IF(TOPLA[[#This Row],[//PAJAK]]="","",MATCH(TOPLA[[#This Row],[ID]],NOTA[ID],0)+2))</calculatedColumnFormula>
    </tableColumn>
    <tableColumn id="2" xr3:uid="{00000000-0010-0000-0F00-000002000000}" name="//PAJAK" dataDxfId="105">
      <calculatedColumnFormula>IF(ROW()-3&lt;E$1,IF(INDIRECT(ADDRESS(ROW()-1,COLUMN(TOPLA[[#Headers],[//PAJAK]])))="//PAJAK",MATCH(D$1,PAJAK[SUPPLIER],0)+1,MATCH(D$1,INDIRECT("PAJAK!"&amp;ADDRESS(B2+1,COLUMN(PAJAK[SUPPLIER]))&amp;":"&amp;ADDRESS(MAX_ROW,COLUMN(PAJAK[SUPPLIER]))),0)+B2),"")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F00-000003000000}" name="ID" dataDxfId="104" dataCellStyle="Hyperlink">
      <calculatedColumnFormula>HYPERLINK("[NOTA_.xlsx]PAJAK!b"&amp;TOPLA[[#This Row],[//PAJAK]],IF(TOPLA[[#This Row],[//PAJAK]]="","",INDEX(INDIRECT("PAJAK["&amp;TOPLA[#Headers]&amp;"]"),TOPLA[[#This Row],[//PAJAK]]-1)))</calculatedColumnFormula>
    </tableColumn>
    <tableColumn id="4" xr3:uid="{00000000-0010-0000-0F00-000004000000}" name="SUPPLIER" dataDxfId="103">
      <calculatedColumnFormula>IF(TOPLA[[#This Row],[//PAJAK]]="","",INDEX(INDIRECT("PAJAK["&amp;TOPLA[#Headers]&amp;"]"),TOPLA[[#This Row],[//PAJAK]]-1))</calculatedColumnFormula>
    </tableColumn>
    <tableColumn id="5" xr3:uid="{00000000-0010-0000-0F00-000005000000}" name="TGL.MASUK" dataDxfId="102">
      <calculatedColumnFormula>IF(TOPLA[[#This Row],[//PAJAK]]="","",INDEX(INDIRECT("PAJAK["&amp;TOPLA[#Headers]&amp;"]"),TOPLA[[#This Row],[//PAJAK]]-1))</calculatedColumnFormula>
    </tableColumn>
    <tableColumn id="6" xr3:uid="{00000000-0010-0000-0F00-000006000000}" name="TGL.NOTA" dataDxfId="101">
      <calculatedColumnFormula>IF(TOPLA[[#This Row],[//PAJAK]]="","",INDEX(INDIRECT("PAJAK["&amp;TOPLA[#Headers]&amp;"]"),TOPLA[[#This Row],[//PAJAK]]-1))</calculatedColumnFormula>
    </tableColumn>
    <tableColumn id="7" xr3:uid="{00000000-0010-0000-0F00-000007000000}" name="NO.NOTA" dataDxfId="100">
      <calculatedColumnFormula>IF(TOPLA[[#This Row],[//PAJAK]]="","",INDEX(INDIRECT("PAJAK["&amp;TOPLA[#Headers]&amp;"]"),TOPLA[[#This Row],[//PAJAK]]-1))</calculatedColumnFormula>
    </tableColumn>
    <tableColumn id="8" xr3:uid="{00000000-0010-0000-0F00-000008000000}" name="NO.SJ" dataDxfId="99">
      <calculatedColumnFormula>IF(TOPLA[[#This Row],[//PAJAK]]="","",INDEX(INDIRECT("PAJAK["&amp;TOPLA[#Headers]&amp;"]"),TOPLA[[#This Row],[//PAJAK]]-1))</calculatedColumnFormula>
    </tableColumn>
    <tableColumn id="9" xr3:uid="{00000000-0010-0000-0F00-000009000000}" name="SUB TOTAL" dataDxfId="98">
      <calculatedColumnFormula>IF(TOPLA[[#This Row],[//PAJAK]]="","",INDEX(PAJAK[SUB T-DISC],TOPLA[[#This Row],[//PAJAK]]-1)*1.11)</calculatedColumnFormula>
    </tableColumn>
    <tableColumn id="10" xr3:uid="{00000000-0010-0000-0F00-00000A000000}" name="DISKON" dataDxfId="97">
      <calculatedColumnFormula>IF(TOPLA[[#This Row],[//PAJAK]]="","",INDEX(PAJAK[DISC DLL],TOPLA[[#This Row],[//PAJAK]]-1))</calculatedColumnFormula>
    </tableColumn>
    <tableColumn id="11" xr3:uid="{00000000-0010-0000-0F00-00000B000000}" name="DPP" dataDxfId="96">
      <calculatedColumnFormula>(TOPLA[[#This Row],[SUB TOTAL]]-TOPLA[[#This Row],[DISKON]])/1.11</calculatedColumnFormula>
    </tableColumn>
    <tableColumn id="12" xr3:uid="{00000000-0010-0000-0F00-00000C000000}" name="PPN (11%)" dataDxfId="95">
      <calculatedColumnFormula>TOPLA[[#This Row],[DPP]]*11%</calculatedColumnFormula>
    </tableColumn>
    <tableColumn id="13" xr3:uid="{00000000-0010-0000-0F00-00000D000000}" name="TOTAL" dataDxfId="94">
      <calculatedColumnFormula>TOPLA[[#This Row],[DPP]]+TOPLA[[#This Row],[PPN (11%)]]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10000000}" name="CONV" displayName="CONV" ref="D1:G15" totalsRowShown="0">
  <autoFilter ref="D1:G15" xr:uid="{00000000-0009-0000-0100-000006000000}"/>
  <tableColumns count="4">
    <tableColumn id="1" xr3:uid="{00000000-0010-0000-1000-000001000000}" name="1"/>
    <tableColumn id="2" xr3:uid="{00000000-0010-0000-1000-000002000000}" name="2"/>
    <tableColumn id="4" xr3:uid="{00000000-0010-0000-1000-000004000000}" name="3"/>
    <tableColumn id="3" xr3:uid="{00000000-0010-0000-1000-000003000000}" name="JML" dataDxfId="93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011"/>
  <sheetViews>
    <sheetView tabSelected="1" topLeftCell="G138" zoomScale="70" zoomScaleNormal="70" zoomScaleSheetLayoutView="55" workbookViewId="0">
      <selection activeCell="L3" activeCellId="1" sqref="E3:J1011 L3:W1011"/>
    </sheetView>
  </sheetViews>
  <sheetFormatPr defaultRowHeight="20.100000000000001" customHeight="1" outlineLevelCol="1"/>
  <cols>
    <col min="1" max="1" width="2.140625" style="25" customWidth="1"/>
    <col min="2" max="2" width="17.7109375" style="25" customWidth="1"/>
    <col min="3" max="3" width="7.140625" style="25" hidden="1" customWidth="1" outlineLevel="1"/>
    <col min="4" max="4" width="6.7109375" style="25" hidden="1" customWidth="1" outlineLevel="1"/>
    <col min="5" max="5" width="12.42578125" style="25" customWidth="1" collapsed="1"/>
    <col min="6" max="6" width="10.7109375" style="25" customWidth="1"/>
    <col min="7" max="7" width="13.85546875" style="25" customWidth="1"/>
    <col min="8" max="8" width="15.140625" style="32" customWidth="1"/>
    <col min="9" max="9" width="14.28515625" style="25" customWidth="1"/>
    <col min="10" max="10" width="11.85546875" style="26" customWidth="1"/>
    <col min="11" max="11" width="6.28515625" style="25" customWidth="1"/>
    <col min="12" max="12" width="54.42578125" style="25" customWidth="1"/>
    <col min="13" max="13" width="9.28515625" style="27" customWidth="1"/>
    <col min="14" max="14" width="7.42578125" style="25" customWidth="1" outlineLevel="1"/>
    <col min="15" max="15" width="4.140625" style="25" customWidth="1" outlineLevel="1"/>
    <col min="16" max="16" width="11" style="28" customWidth="1" outlineLevel="1"/>
    <col min="17" max="17" width="7.140625" style="62" customWidth="1"/>
    <col min="18" max="18" width="13.140625" style="28" customWidth="1"/>
    <col min="19" max="19" width="8.85546875" style="30" customWidth="1"/>
    <col min="20" max="21" width="9.85546875" style="31" customWidth="1"/>
    <col min="22" max="22" width="25.28515625" style="25" customWidth="1"/>
    <col min="23" max="23" width="24.5703125" style="31" customWidth="1"/>
    <col min="24" max="24" width="17.7109375" style="63" customWidth="1"/>
    <col min="25" max="25" width="16.85546875" style="28" customWidth="1"/>
    <col min="26" max="26" width="15.28515625" style="28" hidden="1" customWidth="1" outlineLevel="1"/>
    <col min="27" max="27" width="13.7109375" style="37" hidden="1" customWidth="1" outlineLevel="1"/>
    <col min="28" max="28" width="16.42578125" style="28" customWidth="1" collapsed="1"/>
    <col min="29" max="29" width="17.7109375" style="28" customWidth="1"/>
    <col min="30" max="30" width="16.85546875" style="28" customWidth="1"/>
    <col min="31" max="31" width="16.42578125" style="63" customWidth="1"/>
    <col min="32" max="32" width="17.7109375" style="31" customWidth="1"/>
    <col min="33" max="33" width="12" style="28" customWidth="1"/>
    <col min="34" max="34" width="2.7109375" style="63" customWidth="1"/>
    <col min="35" max="35" width="24.28515625" style="28" customWidth="1"/>
    <col min="36" max="36" width="20.85546875" style="28" customWidth="1"/>
    <col min="37" max="37" width="24.28515625" style="28" customWidth="1"/>
    <col min="38" max="38" width="26.85546875" style="28" customWidth="1"/>
    <col min="39" max="39" width="13.85546875" style="28" customWidth="1"/>
    <col min="40" max="40" width="6.42578125" style="25" customWidth="1"/>
    <col min="41" max="41" width="14.7109375" style="25" customWidth="1"/>
    <col min="42" max="42" width="37.140625" style="63" customWidth="1"/>
    <col min="43" max="44" width="50" style="63" customWidth="1"/>
    <col min="45" max="45" width="83" style="63" customWidth="1"/>
    <col min="46" max="46" width="7.140625" style="26" customWidth="1" outlineLevel="1"/>
    <col min="47" max="47" width="12.42578125" style="26" customWidth="1" outlineLevel="1"/>
    <col min="48" max="48" width="7.140625" style="25" customWidth="1" outlineLevel="1"/>
    <col min="49" max="49" width="8.7109375" style="25" customWidth="1" outlineLevel="1"/>
    <col min="50" max="50" width="51" style="25" customWidth="1"/>
    <col min="51" max="51" width="7.140625" style="38" customWidth="1"/>
    <col min="52" max="52" width="20.28515625" style="25" customWidth="1"/>
    <col min="53" max="53" width="7.140625" style="25" customWidth="1"/>
    <col min="54" max="56" width="9.140625" style="25"/>
    <col min="57" max="57" width="11.140625" style="25" bestFit="1" customWidth="1"/>
    <col min="58" max="16384" width="9.140625" style="25"/>
  </cols>
  <sheetData>
    <row r="1" spans="1:53" ht="20.100000000000001" customHeight="1">
      <c r="A1" s="23" t="s">
        <v>84</v>
      </c>
      <c r="B1" s="24">
        <v>44743</v>
      </c>
      <c r="C1" s="24"/>
      <c r="D1" s="24"/>
      <c r="H1" s="25">
        <f>MONTH(J1)</f>
        <v>8</v>
      </c>
      <c r="J1" s="26">
        <v>44774</v>
      </c>
      <c r="Q1" s="29"/>
      <c r="R1" s="30"/>
      <c r="S1" s="31"/>
      <c r="V1" s="28"/>
      <c r="X1" s="28"/>
      <c r="AB1" s="25"/>
      <c r="AC1" s="25"/>
      <c r="AD1" s="25"/>
      <c r="AE1" s="28"/>
      <c r="AF1" s="25"/>
      <c r="AH1" s="26"/>
      <c r="AI1" s="25"/>
      <c r="AJ1" s="25"/>
      <c r="AK1" s="25"/>
      <c r="AL1" s="25"/>
      <c r="AM1" s="25"/>
      <c r="AP1" s="25"/>
      <c r="AQ1" s="25"/>
      <c r="AR1" s="25"/>
      <c r="AS1" s="25"/>
      <c r="AT1" s="25"/>
      <c r="AU1" s="25"/>
    </row>
    <row r="2" spans="1:53" ht="20.100000000000001" customHeight="1">
      <c r="A2" s="25" t="s">
        <v>0</v>
      </c>
      <c r="B2" s="25" t="s">
        <v>36</v>
      </c>
      <c r="C2" s="25" t="s">
        <v>78</v>
      </c>
      <c r="D2" s="25" t="s">
        <v>37</v>
      </c>
      <c r="E2" s="25" t="s">
        <v>1</v>
      </c>
      <c r="F2" s="25" t="s">
        <v>2</v>
      </c>
      <c r="G2" s="25" t="s">
        <v>3</v>
      </c>
      <c r="H2" s="32" t="s">
        <v>4</v>
      </c>
      <c r="I2" s="25" t="s">
        <v>5</v>
      </c>
      <c r="J2" s="26" t="s">
        <v>6</v>
      </c>
      <c r="K2" s="25" t="s">
        <v>101</v>
      </c>
      <c r="L2" s="25" t="s">
        <v>7</v>
      </c>
      <c r="M2" s="27" t="s">
        <v>8</v>
      </c>
      <c r="N2" s="25" t="s">
        <v>10</v>
      </c>
      <c r="O2" s="25" t="s">
        <v>9</v>
      </c>
      <c r="P2" s="28" t="s">
        <v>11</v>
      </c>
      <c r="Q2" s="29" t="s">
        <v>12</v>
      </c>
      <c r="R2" s="30" t="s">
        <v>13</v>
      </c>
      <c r="S2" s="31" t="s">
        <v>14</v>
      </c>
      <c r="T2" s="31" t="s">
        <v>15</v>
      </c>
      <c r="U2" s="31" t="s">
        <v>105</v>
      </c>
      <c r="V2" s="28" t="s">
        <v>19</v>
      </c>
      <c r="W2" s="31" t="s">
        <v>26</v>
      </c>
      <c r="X2" s="28" t="s">
        <v>16</v>
      </c>
      <c r="Y2" s="28" t="s">
        <v>17</v>
      </c>
      <c r="Z2" s="28" t="s">
        <v>18</v>
      </c>
      <c r="AA2" s="37" t="s">
        <v>106</v>
      </c>
      <c r="AB2" s="28" t="s">
        <v>20</v>
      </c>
      <c r="AC2" s="28" t="s">
        <v>21</v>
      </c>
      <c r="AD2" s="28" t="s">
        <v>94</v>
      </c>
      <c r="AE2" s="28" t="s">
        <v>28</v>
      </c>
      <c r="AF2" s="28" t="s">
        <v>29</v>
      </c>
      <c r="AG2" s="25" t="s">
        <v>49</v>
      </c>
      <c r="AH2" s="28" t="s">
        <v>80</v>
      </c>
      <c r="AI2" s="26" t="s">
        <v>35</v>
      </c>
      <c r="AJ2" s="26" t="s">
        <v>113</v>
      </c>
      <c r="AK2" s="26" t="s">
        <v>114</v>
      </c>
      <c r="AL2" s="25" t="s">
        <v>50</v>
      </c>
      <c r="AM2" s="25" t="s">
        <v>85</v>
      </c>
      <c r="AN2" s="25" t="s">
        <v>79</v>
      </c>
      <c r="AO2" s="25" t="s">
        <v>52</v>
      </c>
      <c r="AP2" s="25" t="s">
        <v>87</v>
      </c>
      <c r="AQ2" s="25" t="s">
        <v>86</v>
      </c>
      <c r="AR2" s="25" t="s">
        <v>91</v>
      </c>
      <c r="AS2" s="25" t="s">
        <v>92</v>
      </c>
      <c r="AT2" s="25" t="s">
        <v>93</v>
      </c>
      <c r="AU2" s="25" t="s">
        <v>88</v>
      </c>
      <c r="AV2" s="25" t="s">
        <v>97</v>
      </c>
      <c r="AW2" s="25" t="s">
        <v>96</v>
      </c>
      <c r="AX2" s="25" t="s">
        <v>99</v>
      </c>
      <c r="AY2" s="25" t="s">
        <v>98</v>
      </c>
      <c r="AZ2" s="38" t="s">
        <v>100</v>
      </c>
      <c r="BA2" s="25" t="s">
        <v>104</v>
      </c>
    </row>
    <row r="3" spans="1:53" ht="20.100000000000001" customHeight="1">
      <c r="A3" s="28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" s="25" t="s">
        <v>258</v>
      </c>
      <c r="D3" s="25" t="str">
        <f ca="1">IF(NOTA[[#This Row],[NAMA BARANG]]="","",INDEX(NOTA[ID],MATCH(,INDIRECT(ADDRESS(ROW(NOTA[ID]),COLUMN(NOTA[ID]))&amp;":"&amp;ADDRESS(ROW(),COLUMN(NOTA[ID]))),-1)))</f>
        <v/>
      </c>
      <c r="E3" s="33"/>
      <c r="H3" s="34"/>
      <c r="Q3" s="29"/>
      <c r="R3" s="35"/>
      <c r="S3" s="36"/>
      <c r="V3" s="37"/>
      <c r="W3" s="32"/>
      <c r="X3" s="37" t="str">
        <f>IF(NOTA[[#This Row],[HARGA/ CTN]]="",NOTA[[#This Row],[JUMLAH_H]],NOTA[[#This Row],[HARGA/ CTN]]*IF(NOTA[[#This Row],[C]]="",0,NOTA[[#This Row],[C]]))</f>
        <v/>
      </c>
      <c r="Y3" s="37" t="str">
        <f>IF(NOTA[[#This Row],[JUMLAH]]="","",NOTA[[#This Row],[JUMLAH]]*NOTA[[#This Row],[DISC 1]])</f>
        <v/>
      </c>
      <c r="Z3" s="37" t="str">
        <f>IF(NOTA[[#This Row],[JUMLAH]]="","",(NOTA[[#This Row],[JUMLAH]]-NOTA[[#This Row],[DISC 1-]])*NOTA[[#This Row],[DISC 2]])</f>
        <v/>
      </c>
      <c r="AA3" s="37" t="str">
        <f>IF(NOTA[[#This Row],[JUMLAH]]="","",(NOTA[[#This Row],[JUMLAH]]-NOTA[[#This Row],[DISC 1-]]-NOTA[[#This Row],[DISC 2-]])*NOTA[[#This Row],[DISC 3]])</f>
        <v/>
      </c>
      <c r="AB3" s="37" t="str">
        <f>IF(NOTA[[#This Row],[JUMLAH]]="","",NOTA[[#This Row],[DISC 1-]]+NOTA[[#This Row],[DISC 2-]]+NOTA[[#This Row],[DISC 3-]])</f>
        <v/>
      </c>
      <c r="AC3" s="37" t="str">
        <f>IF(NOTA[[#This Row],[JUMLAH]]="","",NOTA[[#This Row],[JUMLAH]]-NOTA[[#This Row],[DISC]])</f>
        <v/>
      </c>
      <c r="AD3" s="37"/>
      <c r="AE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" s="37" t="str">
        <f>IF(OR(NOTA[[#This Row],[QTY]]="",NOTA[[#This Row],[HARGA SATUAN]]="",),"",NOTA[[#This Row],[QTY]]*NOTA[[#This Row],[HARGA SATUAN]])</f>
        <v/>
      </c>
      <c r="AI3" s="26" t="str">
        <f ca="1">IF(NOTA[[#This Row],[ID_H]]="","",INDEX(NOTA[TANGGAL],MATCH(,INDIRECT(ADDRESS(ROW(NOTA[TANGGAL]),COLUMN(NOTA[TANGGAL]))&amp;":"&amp;ADDRESS(ROW(),COLUMN(NOTA[TANGGAL]))),-1)))</f>
        <v/>
      </c>
      <c r="AJ3" s="26" t="str">
        <f ca="1">IF(NOTA[[#This Row],[ID_H]]="","",INDEX(NOTA[TGL.NOTA],MATCH(,INDIRECT(ADDRESS(ROW(NOTA[TGL.NOTA]),COLUMN(NOTA[TGL.NOTA]))&amp;":"&amp;ADDRESS(ROW(),COLUMN(NOTA[TGL.NOTA]))),-1)))</f>
        <v/>
      </c>
      <c r="AK3" s="26" t="str">
        <f ca="1">IF(NOTA[[#This Row],[ID_H]]="","",INDEX(NOTA[NO.NOTA],MATCH(NOTA[[#This Row],[ID_H]],NOTA[ID_H],0)))</f>
        <v/>
      </c>
      <c r="AL3" s="28" t="str">
        <f ca="1">IF(NOTA[[#This Row],[NAMA BARANG]]="","",INDEX(NOTA[SUPPLIER],MATCH(,INDIRECT(ADDRESS(ROW(NOTA[ID]),COLUMN(NOTA[ID]))&amp;":"&amp;ADDRESS(ROW(),COLUMN(NOTA[ID]))),-1)))</f>
        <v/>
      </c>
      <c r="AM3" s="28" t="str">
        <f ca="1">IF(NOTA[[#This Row],[ID_H]]="","",IF(NOTA[[#This Row],[FAKTUR]]="",INDIRECT(ADDRESS(ROW()-1,COLUMN())),NOTA[[#This Row],[FAKTUR]]))</f>
        <v/>
      </c>
      <c r="AN3" s="25">
        <f ca="1">IF(NOTA[[#This Row],[ID]]="","",COUNTIF(NOTA[ID_H],NOTA[[#This Row],[ID_H]]))</f>
        <v>774</v>
      </c>
      <c r="AO3" s="25" t="str">
        <f ca="1">IF(NOTA[[#This Row],[TGL.NOTA]]="",IF(NOTA[[#This Row],[SUPPLIER_H]]="","",#REF!),MONTH(NOTA[[#This Row],[TGL.NOTA]]))</f>
        <v/>
      </c>
      <c r="AP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" s="25" t="s">
        <v>258</v>
      </c>
      <c r="AU3" s="25" t="str">
        <f>IF(NOTA[[#This Row],[CONCAT1]]="","",MATCH(NOTA[[#This Row],[CONCAT1]],[3]!db[NB NOTA_C],0))</f>
        <v/>
      </c>
      <c r="AV3" s="25" t="str">
        <f>IF(NOTA[[#This Row],[QTY/ CTN]]="","",TRUE)</f>
        <v/>
      </c>
      <c r="AW3" s="25" t="str">
        <f ca="1">IF(NOTA[[#This Row],[ID_H]]="","",IF(NOTA[[#This Row],[Column3]]=TRUE,NOTA[[#This Row],[QTY/ CTN]],INDEX([3]!db[QTY/ CTN],NOTA[[#This Row],[//DB]])))</f>
        <v/>
      </c>
      <c r="AX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" s="25" t="str">
        <f ca="1">IF(NOTA[[#This Row],[ID_H]]="","",MATCH(NOTA[[#This Row],[NB NOTA_C_QTY]],[3]!db[NB NOTA_C_QTY+F],0))</f>
        <v/>
      </c>
      <c r="AZ3" s="38" t="str">
        <f ca="1">IF(NOTA[[#This Row],[NB NOTA_C_QTY]]="","",ROW()-2)</f>
        <v/>
      </c>
    </row>
    <row r="4" spans="1:53" ht="20.100000000000001" customHeight="1">
      <c r="A4" s="28">
        <f ca="1">IF(INDIRECT(ADDRESS(ROW()-1,COLUMN(NOTA[[#Headers],[ID]])))="ID",1,IF(NOTA[[#This Row],[FAKTUR]]="","",COUNT(INDIRECT(ADDRESS(ROW(NOTA[ID]),COLUMN(NOTA[ID]))&amp;":"&amp;ADDRESS(ROW()-1,COLUMN(NOTA[ID]))))+1))</f>
        <v>2</v>
      </c>
      <c r="B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ETJ_2805_124-1</v>
      </c>
      <c r="C4" s="25" t="e">
        <v>#REF!</v>
      </c>
      <c r="D4" s="25">
        <f ca="1">IF(NOTA[[#This Row],[NAMA BARANG]]="","",INDEX(NOTA[ID],MATCH(,INDIRECT(ADDRESS(ROW(NOTA[ID]),COLUMN(NOTA[ID]))&amp;":"&amp;ADDRESS(ROW(),COLUMN(NOTA[ID]))),-1)))</f>
        <v>2</v>
      </c>
      <c r="E4" s="33">
        <v>45440</v>
      </c>
      <c r="F4" s="25" t="s">
        <v>154</v>
      </c>
      <c r="G4" s="25" t="s">
        <v>109</v>
      </c>
      <c r="H4" s="34" t="s">
        <v>200</v>
      </c>
      <c r="J4" s="26">
        <v>45434</v>
      </c>
      <c r="L4" s="61" t="s">
        <v>203</v>
      </c>
      <c r="M4" s="27">
        <v>5</v>
      </c>
      <c r="N4" s="25">
        <v>1000</v>
      </c>
      <c r="O4" s="25" t="s">
        <v>110</v>
      </c>
      <c r="P4" s="28">
        <v>8750</v>
      </c>
      <c r="Q4" s="29"/>
      <c r="R4" s="35" t="s">
        <v>201</v>
      </c>
      <c r="S4" s="36"/>
      <c r="V4" s="37"/>
      <c r="W4" s="32"/>
      <c r="X4" s="37">
        <f>IF(NOTA[[#This Row],[HARGA/ CTN]]="",NOTA[[#This Row],[JUMLAH_H]],NOTA[[#This Row],[HARGA/ CTN]]*IF(NOTA[[#This Row],[C]]="",0,NOTA[[#This Row],[C]]))</f>
        <v>8750000</v>
      </c>
      <c r="Y4" s="37">
        <f>IF(NOTA[[#This Row],[JUMLAH]]="","",NOTA[[#This Row],[JUMLAH]]*NOTA[[#This Row],[DISC 1]])</f>
        <v>0</v>
      </c>
      <c r="Z4" s="37">
        <f>IF(NOTA[[#This Row],[JUMLAH]]="","",(NOTA[[#This Row],[JUMLAH]]-NOTA[[#This Row],[DISC 1-]])*NOTA[[#This Row],[DISC 2]])</f>
        <v>0</v>
      </c>
      <c r="AA4" s="37">
        <f>IF(NOTA[[#This Row],[JUMLAH]]="","",(NOTA[[#This Row],[JUMLAH]]-NOTA[[#This Row],[DISC 1-]]-NOTA[[#This Row],[DISC 2-]])*NOTA[[#This Row],[DISC 3]])</f>
        <v>0</v>
      </c>
      <c r="AB4" s="37">
        <f>IF(NOTA[[#This Row],[JUMLAH]]="","",NOTA[[#This Row],[DISC 1-]]+NOTA[[#This Row],[DISC 2-]]+NOTA[[#This Row],[DISC 3-]])</f>
        <v>0</v>
      </c>
      <c r="AC4" s="37">
        <f>IF(NOTA[[#This Row],[JUMLAH]]="","",NOTA[[#This Row],[JUMLAH]]-NOTA[[#This Row],[DISC]])</f>
        <v>8750000</v>
      </c>
      <c r="AD4" s="37"/>
      <c r="AE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8750000</v>
      </c>
      <c r="AG4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4" s="37">
        <f>IF(OR(NOTA[[#This Row],[QTY]]="",NOTA[[#This Row],[HARGA SATUAN]]="",),"",NOTA[[#This Row],[QTY]]*NOTA[[#This Row],[HARGA SATUAN]])</f>
        <v>8750000</v>
      </c>
      <c r="AI4" s="26">
        <f ca="1">IF(NOTA[[#This Row],[ID_H]]="","",INDEX(NOTA[TANGGAL],MATCH(,INDIRECT(ADDRESS(ROW(NOTA[TANGGAL]),COLUMN(NOTA[TANGGAL]))&amp;":"&amp;ADDRESS(ROW(),COLUMN(NOTA[TANGGAL]))),-1)))</f>
        <v>45440</v>
      </c>
      <c r="AJ4" s="26">
        <f ca="1">IF(NOTA[[#This Row],[ID_H]]="","",INDEX(NOTA[TGL.NOTA],MATCH(,INDIRECT(ADDRESS(ROW(NOTA[TGL.NOTA]),COLUMN(NOTA[TGL.NOTA]))&amp;":"&amp;ADDRESS(ROW(),COLUMN(NOTA[TGL.NOTA]))),-1)))</f>
        <v>45434</v>
      </c>
      <c r="AK4" s="26" t="str">
        <f ca="1">IF(NOTA[[#This Row],[ID_H]]="","",INDEX(NOTA[NO.NOTA],MATCH(NOTA[[#This Row],[ID_H]],NOTA[ID_H],0)))</f>
        <v>G61.24</v>
      </c>
      <c r="AL4" s="28" t="str">
        <f ca="1">IF(NOTA[[#This Row],[NAMA BARANG]]="","",INDEX(NOTA[SUPPLIER],MATCH(,INDIRECT(ADDRESS(ROW(NOTA[ID]),COLUMN(NOTA[ID]))&amp;":"&amp;ADDRESS(ROW(),COLUMN(NOTA[ID]))),-1)))</f>
        <v>ETJ</v>
      </c>
      <c r="AM4" s="28" t="str">
        <f ca="1">IF(NOTA[[#This Row],[ID_H]]="","",IF(NOTA[[#This Row],[FAKTUR]]="",INDIRECT(ADDRESS(ROW()-1,COLUMN())),NOTA[[#This Row],[FAKTUR]]))</f>
        <v>UNTANA</v>
      </c>
      <c r="AN4" s="25">
        <f ca="1">IF(NOTA[[#This Row],[ID]]="","",COUNTIF(NOTA[ID_H],NOTA[[#This Row],[ID_H]]))</f>
        <v>1</v>
      </c>
      <c r="AO4" s="25">
        <f>IF(NOTA[[#This Row],[TGL.NOTA]]="",IF(NOTA[[#This Row],[SUPPLIER_H]]="","",#REF!),MONTH(NOTA[[#This Row],[TGL.NOTA]]))</f>
        <v>5</v>
      </c>
      <c r="AP4" s="25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Q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R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S4" s="25" t="str">
        <f>IF(NOTA[[#This Row],[SUPPLIER]]="","",NOTA[[#This Row],[SUPPLIER]]&amp;NOTA[[#This Row],[FAKTUR]]&amp;NOTA[[#This Row],[NO.NOTA]]&amp;NOTA[[#This Row],[NO.SJ]]&amp;NOTA[[#This Row],[TGL.NOTA]]&amp;NOTA[[#This Row],[CONCAT1]])</f>
        <v>ETJUNTANAG61.2445434enter30cm675</v>
      </c>
      <c r="AT4" s="25" t="e">
        <v>#REF!</v>
      </c>
      <c r="AU4" s="25">
        <f>IF(NOTA[[#This Row],[CONCAT1]]="","",MATCH(NOTA[[#This Row],[CONCAT1]],[3]!db[NB NOTA_C],0))</f>
        <v>933</v>
      </c>
      <c r="AV4" s="25" t="b">
        <f>IF(NOTA[[#This Row],[QTY/ CTN]]="","",TRUE)</f>
        <v>1</v>
      </c>
      <c r="AW4" s="25" t="str">
        <f ca="1">IF(NOTA[[#This Row],[ID_H]]="","",IF(NOTA[[#This Row],[Column3]]=TRUE,NOTA[[#This Row],[QTY/ CTN]],INDEX([3]!db[QTY/ CTN],NOTA[[#This Row],[//DB]])))</f>
        <v>250 LSN</v>
      </c>
      <c r="AX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enter30cm675250lsnuntana</v>
      </c>
      <c r="AY4" s="25" t="e">
        <f ca="1">IF(NOTA[[#This Row],[ID_H]]="","",MATCH(NOTA[[#This Row],[NB NOTA_C_QTY]],[3]!db[NB NOTA_C_QTY+F],0))</f>
        <v>#N/A</v>
      </c>
      <c r="AZ4" s="38">
        <f ca="1">IF(NOTA[[#This Row],[NB NOTA_C_QTY]]="","",ROW()-2)</f>
        <v>2</v>
      </c>
    </row>
    <row r="5" spans="1:53" ht="20.100000000000001" customHeight="1">
      <c r="A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25" t="s">
        <v>258</v>
      </c>
      <c r="D5" s="25" t="str">
        <f ca="1">IF(NOTA[[#This Row],[NAMA BARANG]]="","",INDEX(NOTA[ID],MATCH(,INDIRECT(ADDRESS(ROW(NOTA[ID]),COLUMN(NOTA[ID]))&amp;":"&amp;ADDRESS(ROW(),COLUMN(NOTA[ID]))),-1)))</f>
        <v/>
      </c>
      <c r="E5" s="33"/>
      <c r="H5" s="34"/>
      <c r="Q5" s="29"/>
      <c r="R5" s="35"/>
      <c r="S5" s="36"/>
      <c r="V5" s="37"/>
      <c r="W5" s="32"/>
      <c r="X5" s="37" t="str">
        <f>IF(NOTA[[#This Row],[HARGA/ CTN]]="",NOTA[[#This Row],[JUMLAH_H]],NOTA[[#This Row],[HARGA/ CTN]]*IF(NOTA[[#This Row],[C]]="",0,NOTA[[#This Row],[C]]))</f>
        <v/>
      </c>
      <c r="Y5" s="37" t="str">
        <f>IF(NOTA[[#This Row],[JUMLAH]]="","",NOTA[[#This Row],[JUMLAH]]*NOTA[[#This Row],[DISC 1]])</f>
        <v/>
      </c>
      <c r="Z5" s="37" t="str">
        <f>IF(NOTA[[#This Row],[JUMLAH]]="","",(NOTA[[#This Row],[JUMLAH]]-NOTA[[#This Row],[DISC 1-]])*NOTA[[#This Row],[DISC 2]])</f>
        <v/>
      </c>
      <c r="AA5" s="37" t="str">
        <f>IF(NOTA[[#This Row],[JUMLAH]]="","",(NOTA[[#This Row],[JUMLAH]]-NOTA[[#This Row],[DISC 1-]]-NOTA[[#This Row],[DISC 2-]])*NOTA[[#This Row],[DISC 3]])</f>
        <v/>
      </c>
      <c r="AB5" s="37" t="str">
        <f>IF(NOTA[[#This Row],[JUMLAH]]="","",NOTA[[#This Row],[DISC 1-]]+NOTA[[#This Row],[DISC 2-]]+NOTA[[#This Row],[DISC 3-]])</f>
        <v/>
      </c>
      <c r="AC5" s="37" t="str">
        <f>IF(NOTA[[#This Row],[JUMLAH]]="","",NOTA[[#This Row],[JUMLAH]]-NOTA[[#This Row],[DISC]])</f>
        <v/>
      </c>
      <c r="AD5" s="37"/>
      <c r="AE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" s="37" t="str">
        <f>IF(OR(NOTA[[#This Row],[QTY]]="",NOTA[[#This Row],[HARGA SATUAN]]="",),"",NOTA[[#This Row],[QTY]]*NOTA[[#This Row],[HARGA SATUAN]])</f>
        <v/>
      </c>
      <c r="AI5" s="26" t="str">
        <f ca="1">IF(NOTA[[#This Row],[ID_H]]="","",INDEX(NOTA[TANGGAL],MATCH(,INDIRECT(ADDRESS(ROW(NOTA[TANGGAL]),COLUMN(NOTA[TANGGAL]))&amp;":"&amp;ADDRESS(ROW(),COLUMN(NOTA[TANGGAL]))),-1)))</f>
        <v/>
      </c>
      <c r="AJ5" s="26" t="str">
        <f ca="1">IF(NOTA[[#This Row],[ID_H]]="","",INDEX(NOTA[TGL.NOTA],MATCH(,INDIRECT(ADDRESS(ROW(NOTA[TGL.NOTA]),COLUMN(NOTA[TGL.NOTA]))&amp;":"&amp;ADDRESS(ROW(),COLUMN(NOTA[TGL.NOTA]))),-1)))</f>
        <v/>
      </c>
      <c r="AK5" s="26" t="str">
        <f ca="1">IF(NOTA[[#This Row],[ID_H]]="","",INDEX(NOTA[NO.NOTA],MATCH(NOTA[[#This Row],[ID_H]],NOTA[ID_H],0)))</f>
        <v/>
      </c>
      <c r="AL5" s="28" t="str">
        <f ca="1">IF(NOTA[[#This Row],[NAMA BARANG]]="","",INDEX(NOTA[SUPPLIER],MATCH(,INDIRECT(ADDRESS(ROW(NOTA[ID]),COLUMN(NOTA[ID]))&amp;":"&amp;ADDRESS(ROW(),COLUMN(NOTA[ID]))),-1)))</f>
        <v/>
      </c>
      <c r="AM5" s="28" t="str">
        <f ca="1">IF(NOTA[[#This Row],[ID_H]]="","",IF(NOTA[[#This Row],[FAKTUR]]="",INDIRECT(ADDRESS(ROW()-1,COLUMN())),NOTA[[#This Row],[FAKTUR]]))</f>
        <v/>
      </c>
      <c r="AN5" s="25" t="str">
        <f ca="1">IF(NOTA[[#This Row],[ID]]="","",COUNTIF(NOTA[ID_H],NOTA[[#This Row],[ID_H]]))</f>
        <v/>
      </c>
      <c r="AO5" s="25" t="str">
        <f ca="1">IF(NOTA[[#This Row],[TGL.NOTA]]="",IF(NOTA[[#This Row],[SUPPLIER_H]]="","",AO4),MONTH(NOTA[[#This Row],[TGL.NOTA]]))</f>
        <v/>
      </c>
      <c r="AP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" s="25" t="s">
        <v>258</v>
      </c>
      <c r="AU5" s="25" t="str">
        <f>IF(NOTA[[#This Row],[CONCAT1]]="","",MATCH(NOTA[[#This Row],[CONCAT1]],[3]!db[NB NOTA_C],0))</f>
        <v/>
      </c>
      <c r="AV5" s="25" t="str">
        <f>IF(NOTA[[#This Row],[QTY/ CTN]]="","",TRUE)</f>
        <v/>
      </c>
      <c r="AW5" s="25" t="str">
        <f ca="1">IF(NOTA[[#This Row],[ID_H]]="","",IF(NOTA[[#This Row],[Column3]]=TRUE,NOTA[[#This Row],[QTY/ CTN]],INDEX([3]!db[QTY/ CTN],NOTA[[#This Row],[//DB]])))</f>
        <v/>
      </c>
      <c r="AX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" s="25" t="str">
        <f ca="1">IF(NOTA[[#This Row],[ID_H]]="","",MATCH(NOTA[[#This Row],[NB NOTA_C_QTY]],[3]!db[NB NOTA_C_QTY+F],0))</f>
        <v/>
      </c>
      <c r="AZ5" s="38" t="str">
        <f ca="1">IF(NOTA[[#This Row],[NB NOTA_C_QTY]]="","",ROW()-2)</f>
        <v/>
      </c>
    </row>
    <row r="6" spans="1:53" ht="20.100000000000001" customHeight="1">
      <c r="A6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BIN_2805_691-1</v>
      </c>
      <c r="C6" s="25" t="e">
        <v>#REF!</v>
      </c>
      <c r="D6" s="25">
        <f ca="1">IF(NOTA[[#This Row],[NAMA BARANG]]="","",INDEX(NOTA[ID],MATCH(,INDIRECT(ADDRESS(ROW(NOTA[ID]),COLUMN(NOTA[ID]))&amp;":"&amp;ADDRESS(ROW(),COLUMN(NOTA[ID]))),-1)))</f>
        <v>3</v>
      </c>
      <c r="E6" s="33">
        <v>45440</v>
      </c>
      <c r="F6" s="25" t="s">
        <v>112</v>
      </c>
      <c r="G6" s="25" t="s">
        <v>109</v>
      </c>
      <c r="H6" s="34" t="s">
        <v>202</v>
      </c>
      <c r="J6" s="26">
        <v>45437</v>
      </c>
      <c r="L6" s="61" t="s">
        <v>204</v>
      </c>
      <c r="M6" s="27">
        <v>4</v>
      </c>
      <c r="N6" s="25">
        <v>120</v>
      </c>
      <c r="O6" s="25" t="s">
        <v>110</v>
      </c>
      <c r="P6" s="28">
        <v>25500</v>
      </c>
      <c r="Q6" s="29"/>
      <c r="R6" s="35">
        <v>30</v>
      </c>
      <c r="S6" s="36">
        <v>0.05</v>
      </c>
      <c r="T6" s="31">
        <v>0.03</v>
      </c>
      <c r="V6" s="37"/>
      <c r="W6" s="32"/>
      <c r="X6" s="37">
        <f>IF(NOTA[[#This Row],[HARGA/ CTN]]="",NOTA[[#This Row],[JUMLAH_H]],NOTA[[#This Row],[HARGA/ CTN]]*IF(NOTA[[#This Row],[C]]="",0,NOTA[[#This Row],[C]]))</f>
        <v>3060000</v>
      </c>
      <c r="Y6" s="37">
        <f>IF(NOTA[[#This Row],[JUMLAH]]="","",NOTA[[#This Row],[JUMLAH]]*NOTA[[#This Row],[DISC 1]])</f>
        <v>153000</v>
      </c>
      <c r="Z6" s="37">
        <f>IF(NOTA[[#This Row],[JUMLAH]]="","",(NOTA[[#This Row],[JUMLAH]]-NOTA[[#This Row],[DISC 1-]])*NOTA[[#This Row],[DISC 2]])</f>
        <v>87210</v>
      </c>
      <c r="AA6" s="37">
        <f>IF(NOTA[[#This Row],[JUMLAH]]="","",(NOTA[[#This Row],[JUMLAH]]-NOTA[[#This Row],[DISC 1-]]-NOTA[[#This Row],[DISC 2-]])*NOTA[[#This Row],[DISC 3]])</f>
        <v>0</v>
      </c>
      <c r="AB6" s="37">
        <f>IF(NOTA[[#This Row],[JUMLAH]]="","",NOTA[[#This Row],[DISC 1-]]+NOTA[[#This Row],[DISC 2-]]+NOTA[[#This Row],[DISC 3-]])</f>
        <v>240210</v>
      </c>
      <c r="AC6" s="37">
        <f>IF(NOTA[[#This Row],[JUMLAH]]="","",NOTA[[#This Row],[JUMLAH]]-NOTA[[#This Row],[DISC]])</f>
        <v>2819790</v>
      </c>
      <c r="AD6" s="37"/>
      <c r="AE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240210</v>
      </c>
      <c r="AF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2819790</v>
      </c>
      <c r="AG6" s="28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H6" s="37">
        <f>IF(OR(NOTA[[#This Row],[QTY]]="",NOTA[[#This Row],[HARGA SATUAN]]="",),"",NOTA[[#This Row],[QTY]]*NOTA[[#This Row],[HARGA SATUAN]])</f>
        <v>3060000</v>
      </c>
      <c r="AI6" s="26">
        <f ca="1">IF(NOTA[[#This Row],[ID_H]]="","",INDEX(NOTA[TANGGAL],MATCH(,INDIRECT(ADDRESS(ROW(NOTA[TANGGAL]),COLUMN(NOTA[TANGGAL]))&amp;":"&amp;ADDRESS(ROW(),COLUMN(NOTA[TANGGAL]))),-1)))</f>
        <v>45440</v>
      </c>
      <c r="AJ6" s="26">
        <f ca="1">IF(NOTA[[#This Row],[ID_H]]="","",INDEX(NOTA[TGL.NOTA],MATCH(,INDIRECT(ADDRESS(ROW(NOTA[TGL.NOTA]),COLUMN(NOTA[TGL.NOTA]))&amp;":"&amp;ADDRESS(ROW(),COLUMN(NOTA[TGL.NOTA]))),-1)))</f>
        <v>45437</v>
      </c>
      <c r="AK6" s="26" t="str">
        <f ca="1">IF(NOTA[[#This Row],[ID_H]]="","",INDEX(NOTA[NO.NOTA],MATCH(NOTA[[#This Row],[ID_H]],NOTA[ID_H],0)))</f>
        <v>SO2024050085691</v>
      </c>
      <c r="AL6" s="28" t="str">
        <f ca="1">IF(NOTA[[#This Row],[NAMA BARANG]]="","",INDEX(NOTA[SUPPLIER],MATCH(,INDIRECT(ADDRESS(ROW(NOTA[ID]),COLUMN(NOTA[ID]))&amp;":"&amp;ADDRESS(ROW(),COLUMN(NOTA[ID]))),-1)))</f>
        <v>BINTANG SAUDARA</v>
      </c>
      <c r="AM6" s="28" t="str">
        <f ca="1">IF(NOTA[[#This Row],[ID_H]]="","",IF(NOTA[[#This Row],[FAKTUR]]="",INDIRECT(ADDRESS(ROW()-1,COLUMN())),NOTA[[#This Row],[FAKTUR]]))</f>
        <v>UNTANA</v>
      </c>
      <c r="AN6" s="25">
        <f ca="1">IF(NOTA[[#This Row],[ID]]="","",COUNTIF(NOTA[ID_H],NOTA[[#This Row],[ID_H]]))</f>
        <v>1</v>
      </c>
      <c r="AO6" s="25">
        <f>IF(NOTA[[#This Row],[TGL.NOTA]]="",IF(NOTA[[#This Row],[SUPPLIER_H]]="","",AO5),MONTH(NOTA[[#This Row],[TGL.NOTA]]))</f>
        <v>5</v>
      </c>
      <c r="AP6" s="25" t="str">
        <f>LOWER(SUBSTITUTE(SUBSTITUTE(SUBSTITUTE(SUBSTITUTE(SUBSTITUTE(SUBSTITUTE(SUBSTITUTE(SUBSTITUTE(SUBSTITUTE(NOTA[[#This Row],[NAMA BARANG]]," ",),".",""),"-",""),"(",""),")",""),",",""),"/",""),"""",""),"+",""))</f>
        <v>paperbagcoklatbesartebal</v>
      </c>
      <c r="AQ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paperbagcoklatbesartebal7650000,050,03</v>
      </c>
      <c r="AR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paperbagcoklatbesartebal7650000,050,03</v>
      </c>
      <c r="AS6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SAUDARAUNTANASO202405008569145437paperbagcoklatbesartebal</v>
      </c>
      <c r="AT6" s="25" t="e">
        <v>#REF!</v>
      </c>
      <c r="AU6" s="25">
        <f>IF(NOTA[[#This Row],[CONCAT1]]="","",MATCH(NOTA[[#This Row],[CONCAT1]],[3]!db[NB NOTA_C],0))</f>
        <v>2370</v>
      </c>
      <c r="AV6" s="25" t="b">
        <f>IF(NOTA[[#This Row],[QTY/ CTN]]="","",TRUE)</f>
        <v>1</v>
      </c>
      <c r="AW6" s="25">
        <f ca="1">IF(NOTA[[#This Row],[ID_H]]="","",IF(NOTA[[#This Row],[Column3]]=TRUE,NOTA[[#This Row],[QTY/ CTN]],INDEX([3]!db[QTY/ CTN],NOTA[[#This Row],[//DB]])))</f>
        <v>30</v>
      </c>
      <c r="AX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paperbagcoklatbesartebal30untana</v>
      </c>
      <c r="AY6" s="25" t="e">
        <f ca="1">IF(NOTA[[#This Row],[ID_H]]="","",MATCH(NOTA[[#This Row],[NB NOTA_C_QTY]],[3]!db[NB NOTA_C_QTY+F],0))</f>
        <v>#N/A</v>
      </c>
      <c r="AZ6" s="38">
        <f ca="1">IF(NOTA[[#This Row],[NB NOTA_C_QTY]]="","",ROW()-2)</f>
        <v>4</v>
      </c>
    </row>
    <row r="7" spans="1:53" ht="20.100000000000001" customHeight="1">
      <c r="A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25" t="s">
        <v>258</v>
      </c>
      <c r="D7" s="25" t="str">
        <f ca="1">IF(NOTA[[#This Row],[NAMA BARANG]]="","",INDEX(NOTA[ID],MATCH(,INDIRECT(ADDRESS(ROW(NOTA[ID]),COLUMN(NOTA[ID]))&amp;":"&amp;ADDRESS(ROW(),COLUMN(NOTA[ID]))),-1)))</f>
        <v/>
      </c>
      <c r="E7" s="33"/>
      <c r="H7" s="34"/>
      <c r="Q7" s="29"/>
      <c r="R7" s="35"/>
      <c r="S7" s="36"/>
      <c r="V7" s="37"/>
      <c r="W7" s="32"/>
      <c r="X7" s="37" t="str">
        <f>IF(NOTA[[#This Row],[HARGA/ CTN]]="",NOTA[[#This Row],[JUMLAH_H]],NOTA[[#This Row],[HARGA/ CTN]]*IF(NOTA[[#This Row],[C]]="",0,NOTA[[#This Row],[C]]))</f>
        <v/>
      </c>
      <c r="Y7" s="37" t="str">
        <f>IF(NOTA[[#This Row],[JUMLAH]]="","",NOTA[[#This Row],[JUMLAH]]*NOTA[[#This Row],[DISC 1]])</f>
        <v/>
      </c>
      <c r="Z7" s="37" t="str">
        <f>IF(NOTA[[#This Row],[JUMLAH]]="","",(NOTA[[#This Row],[JUMLAH]]-NOTA[[#This Row],[DISC 1-]])*NOTA[[#This Row],[DISC 2]])</f>
        <v/>
      </c>
      <c r="AA7" s="37" t="str">
        <f>IF(NOTA[[#This Row],[JUMLAH]]="","",(NOTA[[#This Row],[JUMLAH]]-NOTA[[#This Row],[DISC 1-]]-NOTA[[#This Row],[DISC 2-]])*NOTA[[#This Row],[DISC 3]])</f>
        <v/>
      </c>
      <c r="AB7" s="37" t="str">
        <f>IF(NOTA[[#This Row],[JUMLAH]]="","",NOTA[[#This Row],[DISC 1-]]+NOTA[[#This Row],[DISC 2-]]+NOTA[[#This Row],[DISC 3-]])</f>
        <v/>
      </c>
      <c r="AC7" s="37" t="str">
        <f>IF(NOTA[[#This Row],[JUMLAH]]="","",NOTA[[#This Row],[JUMLAH]]-NOTA[[#This Row],[DISC]])</f>
        <v/>
      </c>
      <c r="AD7" s="37"/>
      <c r="AE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" s="37" t="str">
        <f>IF(OR(NOTA[[#This Row],[QTY]]="",NOTA[[#This Row],[HARGA SATUAN]]="",),"",NOTA[[#This Row],[QTY]]*NOTA[[#This Row],[HARGA SATUAN]])</f>
        <v/>
      </c>
      <c r="AI7" s="26" t="str">
        <f ca="1">IF(NOTA[[#This Row],[ID_H]]="","",INDEX(NOTA[TANGGAL],MATCH(,INDIRECT(ADDRESS(ROW(NOTA[TANGGAL]),COLUMN(NOTA[TANGGAL]))&amp;":"&amp;ADDRESS(ROW(),COLUMN(NOTA[TANGGAL]))),-1)))</f>
        <v/>
      </c>
      <c r="AJ7" s="26" t="str">
        <f ca="1">IF(NOTA[[#This Row],[ID_H]]="","",INDEX(NOTA[TGL.NOTA],MATCH(,INDIRECT(ADDRESS(ROW(NOTA[TGL.NOTA]),COLUMN(NOTA[TGL.NOTA]))&amp;":"&amp;ADDRESS(ROW(),COLUMN(NOTA[TGL.NOTA]))),-1)))</f>
        <v/>
      </c>
      <c r="AK7" s="26" t="str">
        <f ca="1">IF(NOTA[[#This Row],[ID_H]]="","",INDEX(NOTA[NO.NOTA],MATCH(NOTA[[#This Row],[ID_H]],NOTA[ID_H],0)))</f>
        <v/>
      </c>
      <c r="AL7" s="28" t="str">
        <f ca="1">IF(NOTA[[#This Row],[NAMA BARANG]]="","",INDEX(NOTA[SUPPLIER],MATCH(,INDIRECT(ADDRESS(ROW(NOTA[ID]),COLUMN(NOTA[ID]))&amp;":"&amp;ADDRESS(ROW(),COLUMN(NOTA[ID]))),-1)))</f>
        <v/>
      </c>
      <c r="AM7" s="28" t="str">
        <f ca="1">IF(NOTA[[#This Row],[ID_H]]="","",IF(NOTA[[#This Row],[FAKTUR]]="",INDIRECT(ADDRESS(ROW()-1,COLUMN())),NOTA[[#This Row],[FAKTUR]]))</f>
        <v/>
      </c>
      <c r="AN7" s="25" t="str">
        <f ca="1">IF(NOTA[[#This Row],[ID]]="","",COUNTIF(NOTA[ID_H],NOTA[[#This Row],[ID_H]]))</f>
        <v/>
      </c>
      <c r="AO7" s="25" t="str">
        <f ca="1">IF(NOTA[[#This Row],[TGL.NOTA]]="",IF(NOTA[[#This Row],[SUPPLIER_H]]="","",AO6),MONTH(NOTA[[#This Row],[TGL.NOTA]]))</f>
        <v/>
      </c>
      <c r="AP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" s="25" t="s">
        <v>258</v>
      </c>
      <c r="AU7" s="25" t="str">
        <f>IF(NOTA[[#This Row],[CONCAT1]]="","",MATCH(NOTA[[#This Row],[CONCAT1]],[3]!db[NB NOTA_C],0))</f>
        <v/>
      </c>
      <c r="AV7" s="25" t="str">
        <f>IF(NOTA[[#This Row],[QTY/ CTN]]="","",TRUE)</f>
        <v/>
      </c>
      <c r="AW7" s="25" t="str">
        <f ca="1">IF(NOTA[[#This Row],[ID_H]]="","",IF(NOTA[[#This Row],[Column3]]=TRUE,NOTA[[#This Row],[QTY/ CTN]],INDEX([3]!db[QTY/ CTN],NOTA[[#This Row],[//DB]])))</f>
        <v/>
      </c>
      <c r="AX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" s="25" t="str">
        <f ca="1">IF(NOTA[[#This Row],[ID_H]]="","",MATCH(NOTA[[#This Row],[NB NOTA_C_QTY]],[3]!db[NB NOTA_C_QTY+F],0))</f>
        <v/>
      </c>
      <c r="AZ7" s="38" t="str">
        <f ca="1">IF(NOTA[[#This Row],[NB NOTA_C_QTY]]="","",ROW()-2)</f>
        <v/>
      </c>
    </row>
    <row r="8" spans="1:53" ht="20.100000000000001" customHeight="1">
      <c r="A8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DBS_2805_524-16</v>
      </c>
      <c r="C8" s="25" t="e">
        <v>#REF!</v>
      </c>
      <c r="D8" s="25">
        <f ca="1">IF(NOTA[[#This Row],[NAMA BARANG]]="","",INDEX(NOTA[ID],MATCH(,INDIRECT(ADDRESS(ROW(NOTA[ID]),COLUMN(NOTA[ID]))&amp;":"&amp;ADDRESS(ROW(),COLUMN(NOTA[ID]))),-1)))</f>
        <v>4</v>
      </c>
      <c r="E8" s="33">
        <v>45440</v>
      </c>
      <c r="F8" s="25" t="s">
        <v>165</v>
      </c>
      <c r="G8" s="25" t="s">
        <v>109</v>
      </c>
      <c r="H8" s="34" t="s">
        <v>205</v>
      </c>
      <c r="J8" s="26">
        <v>45437</v>
      </c>
      <c r="L8" s="25" t="s">
        <v>206</v>
      </c>
      <c r="M8" s="27">
        <v>2</v>
      </c>
      <c r="N8" s="25">
        <v>240</v>
      </c>
      <c r="O8" s="25" t="s">
        <v>110</v>
      </c>
      <c r="P8" s="28">
        <v>18250</v>
      </c>
      <c r="Q8" s="29"/>
      <c r="R8" s="35" t="s">
        <v>171</v>
      </c>
      <c r="S8" s="36"/>
      <c r="V8" s="37"/>
      <c r="W8" s="32"/>
      <c r="X8" s="37">
        <f>IF(NOTA[[#This Row],[HARGA/ CTN]]="",NOTA[[#This Row],[JUMLAH_H]],NOTA[[#This Row],[HARGA/ CTN]]*IF(NOTA[[#This Row],[C]]="",0,NOTA[[#This Row],[C]]))</f>
        <v>4380000</v>
      </c>
      <c r="Y8" s="37">
        <f>IF(NOTA[[#This Row],[JUMLAH]]="","",NOTA[[#This Row],[JUMLAH]]*NOTA[[#This Row],[DISC 1]])</f>
        <v>0</v>
      </c>
      <c r="Z8" s="37">
        <f>IF(NOTA[[#This Row],[JUMLAH]]="","",(NOTA[[#This Row],[JUMLAH]]-NOTA[[#This Row],[DISC 1-]])*NOTA[[#This Row],[DISC 2]])</f>
        <v>0</v>
      </c>
      <c r="AA8" s="37">
        <f>IF(NOTA[[#This Row],[JUMLAH]]="","",(NOTA[[#This Row],[JUMLAH]]-NOTA[[#This Row],[DISC 1-]]-NOTA[[#This Row],[DISC 2-]])*NOTA[[#This Row],[DISC 3]])</f>
        <v>0</v>
      </c>
      <c r="AB8" s="37">
        <f>IF(NOTA[[#This Row],[JUMLAH]]="","",NOTA[[#This Row],[DISC 1-]]+NOTA[[#This Row],[DISC 2-]]+NOTA[[#This Row],[DISC 3-]])</f>
        <v>0</v>
      </c>
      <c r="AC8" s="37">
        <f>IF(NOTA[[#This Row],[JUMLAH]]="","",NOTA[[#This Row],[JUMLAH]]-NOTA[[#This Row],[DISC]])</f>
        <v>4380000</v>
      </c>
      <c r="AD8" s="37"/>
      <c r="AE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8" s="37">
        <f>IF(OR(NOTA[[#This Row],[QTY]]="",NOTA[[#This Row],[HARGA SATUAN]]="",),"",NOTA[[#This Row],[QTY]]*NOTA[[#This Row],[HARGA SATUAN]])</f>
        <v>4380000</v>
      </c>
      <c r="AI8" s="26">
        <f ca="1">IF(NOTA[[#This Row],[ID_H]]="","",INDEX(NOTA[TANGGAL],MATCH(,INDIRECT(ADDRESS(ROW(NOTA[TANGGAL]),COLUMN(NOTA[TANGGAL]))&amp;":"&amp;ADDRESS(ROW(),COLUMN(NOTA[TANGGAL]))),-1)))</f>
        <v>45440</v>
      </c>
      <c r="AJ8" s="26">
        <f ca="1">IF(NOTA[[#This Row],[ID_H]]="","",INDEX(NOTA[TGL.NOTA],MATCH(,INDIRECT(ADDRESS(ROW(NOTA[TGL.NOTA]),COLUMN(NOTA[TGL.NOTA]))&amp;":"&amp;ADDRESS(ROW(),COLUMN(NOTA[TGL.NOTA]))),-1)))</f>
        <v>45437</v>
      </c>
      <c r="AK8" s="26" t="str">
        <f ca="1">IF(NOTA[[#This Row],[ID_H]]="","",INDEX(NOTA[NO.NOTA],MATCH(NOTA[[#This Row],[ID_H]],NOTA[ID_H],0)))</f>
        <v>JUE605/24</v>
      </c>
      <c r="AL8" s="28" t="str">
        <f ca="1">IF(NOTA[[#This Row],[NAMA BARANG]]="","",INDEX(NOTA[SUPPLIER],MATCH(,INDIRECT(ADDRESS(ROW(NOTA[ID]),COLUMN(NOTA[ID]))&amp;":"&amp;ADDRESS(ROW(),COLUMN(NOTA[ID]))),-1)))</f>
        <v>DB STATIONERY</v>
      </c>
      <c r="AM8" s="28" t="str">
        <f ca="1">IF(NOTA[[#This Row],[ID_H]]="","",IF(NOTA[[#This Row],[FAKTUR]]="",INDIRECT(ADDRESS(ROW()-1,COLUMN())),NOTA[[#This Row],[FAKTUR]]))</f>
        <v>UNTANA</v>
      </c>
      <c r="AN8" s="25">
        <f ca="1">IF(NOTA[[#This Row],[ID]]="","",COUNTIF(NOTA[ID_H],NOTA[[#This Row],[ID_H]]))</f>
        <v>16</v>
      </c>
      <c r="AO8" s="25">
        <f>IF(NOTA[[#This Row],[TGL.NOTA]]="",IF(NOTA[[#This Row],[SUPPLIER_H]]="","",AO7),MONTH(NOTA[[#This Row],[TGL.NOTA]]))</f>
        <v>5</v>
      </c>
      <c r="AP8" s="25" t="str">
        <f>LOWER(SUBSTITUTE(SUBSTITUTE(SUBSTITUTE(SUBSTITUTE(SUBSTITUTE(SUBSTITUTE(SUBSTITUTE(SUBSTITUTE(SUBSTITUTE(NOTA[[#This Row],[NAMA BARANG]]," ",),".",""),"-",""),"(",""),")",""),",",""),"/",""),"""",""),"+",""))</f>
        <v>gelzhixinrefillg3122</v>
      </c>
      <c r="AQ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gelzhixinrefillg31222190000</v>
      </c>
      <c r="AR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gelzhixinrefillg31222190000</v>
      </c>
      <c r="AS8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STATIONERYUNTANAJUE605/2445437gelzhixinrefillg3122</v>
      </c>
      <c r="AT8" s="25" t="e">
        <v>#REF!</v>
      </c>
      <c r="AU8" s="25">
        <f>IF(NOTA[[#This Row],[CONCAT1]]="","",MATCH(NOTA[[#This Row],[CONCAT1]],[3]!db[NB NOTA_C],0))</f>
        <v>1268</v>
      </c>
      <c r="AV8" s="25" t="b">
        <f>IF(NOTA[[#This Row],[QTY/ CTN]]="","",TRUE)</f>
        <v>1</v>
      </c>
      <c r="AW8" s="25" t="str">
        <f ca="1">IF(NOTA[[#This Row],[ID_H]]="","",IF(NOTA[[#This Row],[Column3]]=TRUE,NOTA[[#This Row],[QTY/ CTN]],INDEX([3]!db[QTY/ CTN],NOTA[[#This Row],[//DB]])))</f>
        <v>120 LSN</v>
      </c>
      <c r="AX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gelzhixinrefillg3122120lsnuntana</v>
      </c>
      <c r="AY8" s="25">
        <f ca="1">IF(NOTA[[#This Row],[ID_H]]="","",MATCH(NOTA[[#This Row],[NB NOTA_C_QTY]],[3]!db[NB NOTA_C_QTY+F],0))</f>
        <v>1268</v>
      </c>
      <c r="AZ8" s="38">
        <f ca="1">IF(NOTA[[#This Row],[NB NOTA_C_QTY]]="","",ROW()-2)</f>
        <v>6</v>
      </c>
    </row>
    <row r="9" spans="1:53" ht="20.100000000000001" customHeight="1">
      <c r="A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25" t="s">
        <v>258</v>
      </c>
      <c r="D9" s="25">
        <f ca="1">IF(NOTA[[#This Row],[NAMA BARANG]]="","",INDEX(NOTA[ID],MATCH(,INDIRECT(ADDRESS(ROW(NOTA[ID]),COLUMN(NOTA[ID]))&amp;":"&amp;ADDRESS(ROW(),COLUMN(NOTA[ID]))),-1)))</f>
        <v>4</v>
      </c>
      <c r="E9" s="33"/>
      <c r="H9" s="34"/>
      <c r="L9" s="25" t="s">
        <v>207</v>
      </c>
      <c r="M9" s="27">
        <v>2</v>
      </c>
      <c r="N9" s="25">
        <v>240</v>
      </c>
      <c r="O9" s="25" t="s">
        <v>110</v>
      </c>
      <c r="P9" s="28">
        <v>18250</v>
      </c>
      <c r="Q9" s="29"/>
      <c r="R9" s="35" t="s">
        <v>171</v>
      </c>
      <c r="S9" s="36"/>
      <c r="V9" s="37"/>
      <c r="W9" s="32"/>
      <c r="X9" s="37">
        <f>IF(NOTA[[#This Row],[HARGA/ CTN]]="",NOTA[[#This Row],[JUMLAH_H]],NOTA[[#This Row],[HARGA/ CTN]]*IF(NOTA[[#This Row],[C]]="",0,NOTA[[#This Row],[C]]))</f>
        <v>4380000</v>
      </c>
      <c r="Y9" s="37">
        <f>IF(NOTA[[#This Row],[JUMLAH]]="","",NOTA[[#This Row],[JUMLAH]]*NOTA[[#This Row],[DISC 1]])</f>
        <v>0</v>
      </c>
      <c r="Z9" s="37">
        <f>IF(NOTA[[#This Row],[JUMLAH]]="","",(NOTA[[#This Row],[JUMLAH]]-NOTA[[#This Row],[DISC 1-]])*NOTA[[#This Row],[DISC 2]])</f>
        <v>0</v>
      </c>
      <c r="AA9" s="37">
        <f>IF(NOTA[[#This Row],[JUMLAH]]="","",(NOTA[[#This Row],[JUMLAH]]-NOTA[[#This Row],[DISC 1-]]-NOTA[[#This Row],[DISC 2-]])*NOTA[[#This Row],[DISC 3]])</f>
        <v>0</v>
      </c>
      <c r="AB9" s="37">
        <f>IF(NOTA[[#This Row],[JUMLAH]]="","",NOTA[[#This Row],[DISC 1-]]+NOTA[[#This Row],[DISC 2-]]+NOTA[[#This Row],[DISC 3-]])</f>
        <v>0</v>
      </c>
      <c r="AC9" s="37">
        <f>IF(NOTA[[#This Row],[JUMLAH]]="","",NOTA[[#This Row],[JUMLAH]]-NOTA[[#This Row],[DISC]])</f>
        <v>4380000</v>
      </c>
      <c r="AD9" s="37"/>
      <c r="AE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9" s="37">
        <f>IF(OR(NOTA[[#This Row],[QTY]]="",NOTA[[#This Row],[HARGA SATUAN]]="",),"",NOTA[[#This Row],[QTY]]*NOTA[[#This Row],[HARGA SATUAN]])</f>
        <v>4380000</v>
      </c>
      <c r="AI9" s="26">
        <f ca="1">IF(NOTA[[#This Row],[ID_H]]="","",INDEX(NOTA[TANGGAL],MATCH(,INDIRECT(ADDRESS(ROW(NOTA[TANGGAL]),COLUMN(NOTA[TANGGAL]))&amp;":"&amp;ADDRESS(ROW(),COLUMN(NOTA[TANGGAL]))),-1)))</f>
        <v>45440</v>
      </c>
      <c r="AJ9" s="26">
        <f ca="1">IF(NOTA[[#This Row],[ID_H]]="","",INDEX(NOTA[TGL.NOTA],MATCH(,INDIRECT(ADDRESS(ROW(NOTA[TGL.NOTA]),COLUMN(NOTA[TGL.NOTA]))&amp;":"&amp;ADDRESS(ROW(),COLUMN(NOTA[TGL.NOTA]))),-1)))</f>
        <v>45437</v>
      </c>
      <c r="AK9" s="26" t="str">
        <f ca="1">IF(NOTA[[#This Row],[ID_H]]="","",INDEX(NOTA[NO.NOTA],MATCH(NOTA[[#This Row],[ID_H]],NOTA[ID_H],0)))</f>
        <v>JUE605/24</v>
      </c>
      <c r="AL9" s="28" t="str">
        <f ca="1">IF(NOTA[[#This Row],[NAMA BARANG]]="","",INDEX(NOTA[SUPPLIER],MATCH(,INDIRECT(ADDRESS(ROW(NOTA[ID]),COLUMN(NOTA[ID]))&amp;":"&amp;ADDRESS(ROW(),COLUMN(NOTA[ID]))),-1)))</f>
        <v>DB STATIONERY</v>
      </c>
      <c r="AM9" s="28" t="str">
        <f ca="1">IF(NOTA[[#This Row],[ID_H]]="","",IF(NOTA[[#This Row],[FAKTUR]]="",INDIRECT(ADDRESS(ROW()-1,COLUMN())),NOTA[[#This Row],[FAKTUR]]))</f>
        <v>UNTANA</v>
      </c>
      <c r="AN9" s="25" t="str">
        <f ca="1">IF(NOTA[[#This Row],[ID]]="","",COUNTIF(NOTA[ID_H],NOTA[[#This Row],[ID_H]]))</f>
        <v/>
      </c>
      <c r="AO9" s="25">
        <f ca="1">IF(NOTA[[#This Row],[TGL.NOTA]]="",IF(NOTA[[#This Row],[SUPPLIER_H]]="","",AO8),MONTH(NOTA[[#This Row],[TGL.NOTA]]))</f>
        <v>5</v>
      </c>
      <c r="AP9" s="25" t="str">
        <f>LOWER(SUBSTITUTE(SUBSTITUTE(SUBSTITUTE(SUBSTITUTE(SUBSTITUTE(SUBSTITUTE(SUBSTITUTE(SUBSTITUTE(SUBSTITUTE(NOTA[[#This Row],[NAMA BARANG]]," ",),".",""),"-",""),"(",""),")",""),",",""),"/",""),"""",""),"+",""))</f>
        <v>gelzhixinrefillg3164</v>
      </c>
      <c r="AQ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gelzhixinrefillg31642190000</v>
      </c>
      <c r="AR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gelzhixinrefillg31642190000</v>
      </c>
      <c r="AS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" s="25" t="s">
        <v>258</v>
      </c>
      <c r="AU9" s="25">
        <f>IF(NOTA[[#This Row],[CONCAT1]]="","",MATCH(NOTA[[#This Row],[CONCAT1]],[3]!db[NB NOTA_C],0))</f>
        <v>1269</v>
      </c>
      <c r="AV9" s="25" t="b">
        <f>IF(NOTA[[#This Row],[QTY/ CTN]]="","",TRUE)</f>
        <v>1</v>
      </c>
      <c r="AW9" s="25" t="str">
        <f ca="1">IF(NOTA[[#This Row],[ID_H]]="","",IF(NOTA[[#This Row],[Column3]]=TRUE,NOTA[[#This Row],[QTY/ CTN]],INDEX([3]!db[QTY/ CTN],NOTA[[#This Row],[//DB]])))</f>
        <v>120 LSN</v>
      </c>
      <c r="AX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gelzhixinrefillg3164120lsnuntana</v>
      </c>
      <c r="AY9" s="25">
        <f ca="1">IF(NOTA[[#This Row],[ID_H]]="","",MATCH(NOTA[[#This Row],[NB NOTA_C_QTY]],[3]!db[NB NOTA_C_QTY+F],0))</f>
        <v>1269</v>
      </c>
      <c r="AZ9" s="38">
        <f ca="1">IF(NOTA[[#This Row],[NB NOTA_C_QTY]]="","",ROW()-2)</f>
        <v>7</v>
      </c>
    </row>
    <row r="10" spans="1:53" ht="20.100000000000001" customHeight="1">
      <c r="A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25" t="s">
        <v>258</v>
      </c>
      <c r="D10" s="25">
        <f ca="1">IF(NOTA[[#This Row],[NAMA BARANG]]="","",INDEX(NOTA[ID],MATCH(,INDIRECT(ADDRESS(ROW(NOTA[ID]),COLUMN(NOTA[ID]))&amp;":"&amp;ADDRESS(ROW(),COLUMN(NOTA[ID]))),-1)))</f>
        <v>4</v>
      </c>
      <c r="E10" s="33"/>
      <c r="H10" s="34"/>
      <c r="L10" s="25" t="s">
        <v>208</v>
      </c>
      <c r="M10" s="27">
        <v>2</v>
      </c>
      <c r="N10" s="25">
        <v>240</v>
      </c>
      <c r="O10" s="25" t="s">
        <v>110</v>
      </c>
      <c r="P10" s="28">
        <v>18250</v>
      </c>
      <c r="Q10" s="29"/>
      <c r="R10" s="35" t="s">
        <v>171</v>
      </c>
      <c r="S10" s="36"/>
      <c r="V10" s="37"/>
      <c r="W10" s="32"/>
      <c r="X10" s="37">
        <f>IF(NOTA[[#This Row],[HARGA/ CTN]]="",NOTA[[#This Row],[JUMLAH_H]],NOTA[[#This Row],[HARGA/ CTN]]*IF(NOTA[[#This Row],[C]]="",0,NOTA[[#This Row],[C]]))</f>
        <v>4380000</v>
      </c>
      <c r="Y10" s="37">
        <f>IF(NOTA[[#This Row],[JUMLAH]]="","",NOTA[[#This Row],[JUMLAH]]*NOTA[[#This Row],[DISC 1]])</f>
        <v>0</v>
      </c>
      <c r="Z10" s="37">
        <f>IF(NOTA[[#This Row],[JUMLAH]]="","",(NOTA[[#This Row],[JUMLAH]]-NOTA[[#This Row],[DISC 1-]])*NOTA[[#This Row],[DISC 2]])</f>
        <v>0</v>
      </c>
      <c r="AA10" s="37">
        <f>IF(NOTA[[#This Row],[JUMLAH]]="","",(NOTA[[#This Row],[JUMLAH]]-NOTA[[#This Row],[DISC 1-]]-NOTA[[#This Row],[DISC 2-]])*NOTA[[#This Row],[DISC 3]])</f>
        <v>0</v>
      </c>
      <c r="AB10" s="37">
        <f>IF(NOTA[[#This Row],[JUMLAH]]="","",NOTA[[#This Row],[DISC 1-]]+NOTA[[#This Row],[DISC 2-]]+NOTA[[#This Row],[DISC 3-]])</f>
        <v>0</v>
      </c>
      <c r="AC10" s="37">
        <f>IF(NOTA[[#This Row],[JUMLAH]]="","",NOTA[[#This Row],[JUMLAH]]-NOTA[[#This Row],[DISC]])</f>
        <v>4380000</v>
      </c>
      <c r="AD10" s="37"/>
      <c r="AE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0" s="37">
        <f>IF(OR(NOTA[[#This Row],[QTY]]="",NOTA[[#This Row],[HARGA SATUAN]]="",),"",NOTA[[#This Row],[QTY]]*NOTA[[#This Row],[HARGA SATUAN]])</f>
        <v>4380000</v>
      </c>
      <c r="AI10" s="26">
        <f ca="1">IF(NOTA[[#This Row],[ID_H]]="","",INDEX(NOTA[TANGGAL],MATCH(,INDIRECT(ADDRESS(ROW(NOTA[TANGGAL]),COLUMN(NOTA[TANGGAL]))&amp;":"&amp;ADDRESS(ROW(),COLUMN(NOTA[TANGGAL]))),-1)))</f>
        <v>45440</v>
      </c>
      <c r="AJ10" s="26">
        <f ca="1">IF(NOTA[[#This Row],[ID_H]]="","",INDEX(NOTA[TGL.NOTA],MATCH(,INDIRECT(ADDRESS(ROW(NOTA[TGL.NOTA]),COLUMN(NOTA[TGL.NOTA]))&amp;":"&amp;ADDRESS(ROW(),COLUMN(NOTA[TGL.NOTA]))),-1)))</f>
        <v>45437</v>
      </c>
      <c r="AK10" s="26" t="str">
        <f ca="1">IF(NOTA[[#This Row],[ID_H]]="","",INDEX(NOTA[NO.NOTA],MATCH(NOTA[[#This Row],[ID_H]],NOTA[ID_H],0)))</f>
        <v>JUE605/24</v>
      </c>
      <c r="AL10" s="28" t="str">
        <f ca="1">IF(NOTA[[#This Row],[NAMA BARANG]]="","",INDEX(NOTA[SUPPLIER],MATCH(,INDIRECT(ADDRESS(ROW(NOTA[ID]),COLUMN(NOTA[ID]))&amp;":"&amp;ADDRESS(ROW(),COLUMN(NOTA[ID]))),-1)))</f>
        <v>DB STATIONERY</v>
      </c>
      <c r="AM10" s="28" t="str">
        <f ca="1">IF(NOTA[[#This Row],[ID_H]]="","",IF(NOTA[[#This Row],[FAKTUR]]="",INDIRECT(ADDRESS(ROW()-1,COLUMN())),NOTA[[#This Row],[FAKTUR]]))</f>
        <v>UNTANA</v>
      </c>
      <c r="AN10" s="25" t="str">
        <f ca="1">IF(NOTA[[#This Row],[ID]]="","",COUNTIF(NOTA[ID_H],NOTA[[#This Row],[ID_H]]))</f>
        <v/>
      </c>
      <c r="AO10" s="25">
        <f ca="1">IF(NOTA[[#This Row],[TGL.NOTA]]="",IF(NOTA[[#This Row],[SUPPLIER_H]]="","",AO9),MONTH(NOTA[[#This Row],[TGL.NOTA]]))</f>
        <v>5</v>
      </c>
      <c r="AP10" s="25" t="str">
        <f>LOWER(SUBSTITUTE(SUBSTITUTE(SUBSTITUTE(SUBSTITUTE(SUBSTITUTE(SUBSTITUTE(SUBSTITUTE(SUBSTITUTE(SUBSTITUTE(NOTA[[#This Row],[NAMA BARANG]]," ",),".",""),"-",""),"(",""),")",""),",",""),"/",""),"""",""),"+",""))</f>
        <v>gelzhixinrefillg3165</v>
      </c>
      <c r="AQ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gelzhixinrefillg31652190000</v>
      </c>
      <c r="AR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gelzhixinrefillg31652190000</v>
      </c>
      <c r="AS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" s="25" t="s">
        <v>258</v>
      </c>
      <c r="AU10" s="25">
        <f>IF(NOTA[[#This Row],[CONCAT1]]="","",MATCH(NOTA[[#This Row],[CONCAT1]],[3]!db[NB NOTA_C],0))</f>
        <v>1296</v>
      </c>
      <c r="AV10" s="25" t="b">
        <f>IF(NOTA[[#This Row],[QTY/ CTN]]="","",TRUE)</f>
        <v>1</v>
      </c>
      <c r="AW10" s="25" t="str">
        <f ca="1">IF(NOTA[[#This Row],[ID_H]]="","",IF(NOTA[[#This Row],[Column3]]=TRUE,NOTA[[#This Row],[QTY/ CTN]],INDEX([3]!db[QTY/ CTN],NOTA[[#This Row],[//DB]])))</f>
        <v>120 LSN</v>
      </c>
      <c r="AX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gelzhixinrefillg3165120lsnuntana</v>
      </c>
      <c r="AY10" s="25">
        <f ca="1">IF(NOTA[[#This Row],[ID_H]]="","",MATCH(NOTA[[#This Row],[NB NOTA_C_QTY]],[3]!db[NB NOTA_C_QTY+F],0))</f>
        <v>1296</v>
      </c>
      <c r="AZ10" s="38">
        <f ca="1">IF(NOTA[[#This Row],[NB NOTA_C_QTY]]="","",ROW()-2)</f>
        <v>8</v>
      </c>
    </row>
    <row r="11" spans="1:53" ht="20.100000000000001" customHeight="1">
      <c r="A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25" t="s">
        <v>258</v>
      </c>
      <c r="D11" s="25">
        <f ca="1">IF(NOTA[[#This Row],[NAMA BARANG]]="","",INDEX(NOTA[ID],MATCH(,INDIRECT(ADDRESS(ROW(NOTA[ID]),COLUMN(NOTA[ID]))&amp;":"&amp;ADDRESS(ROW(),COLUMN(NOTA[ID]))),-1)))</f>
        <v>4</v>
      </c>
      <c r="E11" s="33"/>
      <c r="H11" s="34"/>
      <c r="L11" s="25" t="s">
        <v>209</v>
      </c>
      <c r="M11" s="27">
        <v>2</v>
      </c>
      <c r="N11" s="25">
        <v>240</v>
      </c>
      <c r="O11" s="25" t="s">
        <v>110</v>
      </c>
      <c r="P11" s="28">
        <v>18250</v>
      </c>
      <c r="Q11" s="29"/>
      <c r="R11" s="35" t="s">
        <v>171</v>
      </c>
      <c r="S11" s="36"/>
      <c r="V11" s="37"/>
      <c r="W11" s="32"/>
      <c r="X11" s="37">
        <f>IF(NOTA[[#This Row],[HARGA/ CTN]]="",NOTA[[#This Row],[JUMLAH_H]],NOTA[[#This Row],[HARGA/ CTN]]*IF(NOTA[[#This Row],[C]]="",0,NOTA[[#This Row],[C]]))</f>
        <v>4380000</v>
      </c>
      <c r="Y11" s="37">
        <f>IF(NOTA[[#This Row],[JUMLAH]]="","",NOTA[[#This Row],[JUMLAH]]*NOTA[[#This Row],[DISC 1]])</f>
        <v>0</v>
      </c>
      <c r="Z11" s="37">
        <f>IF(NOTA[[#This Row],[JUMLAH]]="","",(NOTA[[#This Row],[JUMLAH]]-NOTA[[#This Row],[DISC 1-]])*NOTA[[#This Row],[DISC 2]])</f>
        <v>0</v>
      </c>
      <c r="AA11" s="37">
        <f>IF(NOTA[[#This Row],[JUMLAH]]="","",(NOTA[[#This Row],[JUMLAH]]-NOTA[[#This Row],[DISC 1-]]-NOTA[[#This Row],[DISC 2-]])*NOTA[[#This Row],[DISC 3]])</f>
        <v>0</v>
      </c>
      <c r="AB11" s="37">
        <f>IF(NOTA[[#This Row],[JUMLAH]]="","",NOTA[[#This Row],[DISC 1-]]+NOTA[[#This Row],[DISC 2-]]+NOTA[[#This Row],[DISC 3-]])</f>
        <v>0</v>
      </c>
      <c r="AC11" s="37">
        <f>IF(NOTA[[#This Row],[JUMLAH]]="","",NOTA[[#This Row],[JUMLAH]]-NOTA[[#This Row],[DISC]])</f>
        <v>4380000</v>
      </c>
      <c r="AD11" s="37"/>
      <c r="AE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1" s="37">
        <f>IF(OR(NOTA[[#This Row],[QTY]]="",NOTA[[#This Row],[HARGA SATUAN]]="",),"",NOTA[[#This Row],[QTY]]*NOTA[[#This Row],[HARGA SATUAN]])</f>
        <v>4380000</v>
      </c>
      <c r="AI11" s="26">
        <f ca="1">IF(NOTA[[#This Row],[ID_H]]="","",INDEX(NOTA[TANGGAL],MATCH(,INDIRECT(ADDRESS(ROW(NOTA[TANGGAL]),COLUMN(NOTA[TANGGAL]))&amp;":"&amp;ADDRESS(ROW(),COLUMN(NOTA[TANGGAL]))),-1)))</f>
        <v>45440</v>
      </c>
      <c r="AJ11" s="26">
        <f ca="1">IF(NOTA[[#This Row],[ID_H]]="","",INDEX(NOTA[TGL.NOTA],MATCH(,INDIRECT(ADDRESS(ROW(NOTA[TGL.NOTA]),COLUMN(NOTA[TGL.NOTA]))&amp;":"&amp;ADDRESS(ROW(),COLUMN(NOTA[TGL.NOTA]))),-1)))</f>
        <v>45437</v>
      </c>
      <c r="AK11" s="26" t="str">
        <f ca="1">IF(NOTA[[#This Row],[ID_H]]="","",INDEX(NOTA[NO.NOTA],MATCH(NOTA[[#This Row],[ID_H]],NOTA[ID_H],0)))</f>
        <v>JUE605/24</v>
      </c>
      <c r="AL11" s="28" t="str">
        <f ca="1">IF(NOTA[[#This Row],[NAMA BARANG]]="","",INDEX(NOTA[SUPPLIER],MATCH(,INDIRECT(ADDRESS(ROW(NOTA[ID]),COLUMN(NOTA[ID]))&amp;":"&amp;ADDRESS(ROW(),COLUMN(NOTA[ID]))),-1)))</f>
        <v>DB STATIONERY</v>
      </c>
      <c r="AM11" s="28" t="str">
        <f ca="1">IF(NOTA[[#This Row],[ID_H]]="","",IF(NOTA[[#This Row],[FAKTUR]]="",INDIRECT(ADDRESS(ROW()-1,COLUMN())),NOTA[[#This Row],[FAKTUR]]))</f>
        <v>UNTANA</v>
      </c>
      <c r="AN11" s="25" t="str">
        <f ca="1">IF(NOTA[[#This Row],[ID]]="","",COUNTIF(NOTA[ID_H],NOTA[[#This Row],[ID_H]]))</f>
        <v/>
      </c>
      <c r="AO11" s="25">
        <f ca="1">IF(NOTA[[#This Row],[TGL.NOTA]]="",IF(NOTA[[#This Row],[SUPPLIER_H]]="","",AO10),MONTH(NOTA[[#This Row],[TGL.NOTA]]))</f>
        <v>5</v>
      </c>
      <c r="AP11" s="25" t="str">
        <f>LOWER(SUBSTITUTE(SUBSTITUTE(SUBSTITUTE(SUBSTITUTE(SUBSTITUTE(SUBSTITUTE(SUBSTITUTE(SUBSTITUTE(SUBSTITUTE(NOTA[[#This Row],[NAMA BARANG]]," ",),".",""),"-",""),"(",""),")",""),",",""),"/",""),"""",""),"+",""))</f>
        <v>gelzhixinrefillg3156</v>
      </c>
      <c r="AQ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gelzhixinrefillg31562190000</v>
      </c>
      <c r="AR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gelzhixinrefillg31562190000</v>
      </c>
      <c r="AS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" s="25" t="s">
        <v>258</v>
      </c>
      <c r="AU11" s="25">
        <f>IF(NOTA[[#This Row],[CONCAT1]]="","",MATCH(NOTA[[#This Row],[CONCAT1]],[3]!db[NB NOTA_C],0))</f>
        <v>1270</v>
      </c>
      <c r="AV11" s="25" t="b">
        <f>IF(NOTA[[#This Row],[QTY/ CTN]]="","",TRUE)</f>
        <v>1</v>
      </c>
      <c r="AW11" s="25" t="str">
        <f ca="1">IF(NOTA[[#This Row],[ID_H]]="","",IF(NOTA[[#This Row],[Column3]]=TRUE,NOTA[[#This Row],[QTY/ CTN]],INDEX([3]!db[QTY/ CTN],NOTA[[#This Row],[//DB]])))</f>
        <v>120 LSN</v>
      </c>
      <c r="AX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gelzhixinrefillg3156120lsnuntana</v>
      </c>
      <c r="AY11" s="25">
        <f ca="1">IF(NOTA[[#This Row],[ID_H]]="","",MATCH(NOTA[[#This Row],[NB NOTA_C_QTY]],[3]!db[NB NOTA_C_QTY+F],0))</f>
        <v>1270</v>
      </c>
      <c r="AZ11" s="38">
        <f ca="1">IF(NOTA[[#This Row],[NB NOTA_C_QTY]]="","",ROW()-2)</f>
        <v>9</v>
      </c>
    </row>
    <row r="12" spans="1:53" ht="20.100000000000001" customHeight="1">
      <c r="A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25" t="s">
        <v>258</v>
      </c>
      <c r="D12" s="25">
        <f ca="1">IF(NOTA[[#This Row],[NAMA BARANG]]="","",INDEX(NOTA[ID],MATCH(,INDIRECT(ADDRESS(ROW(NOTA[ID]),COLUMN(NOTA[ID]))&amp;":"&amp;ADDRESS(ROW(),COLUMN(NOTA[ID]))),-1)))</f>
        <v>4</v>
      </c>
      <c r="E12" s="33"/>
      <c r="H12" s="34"/>
      <c r="L12" s="25" t="s">
        <v>210</v>
      </c>
      <c r="M12" s="27">
        <v>2</v>
      </c>
      <c r="N12" s="25">
        <v>240</v>
      </c>
      <c r="O12" s="25" t="s">
        <v>110</v>
      </c>
      <c r="P12" s="28">
        <v>18250</v>
      </c>
      <c r="Q12" s="29"/>
      <c r="R12" s="35" t="s">
        <v>171</v>
      </c>
      <c r="S12" s="36"/>
      <c r="V12" s="37"/>
      <c r="W12" s="32"/>
      <c r="X12" s="37">
        <f>IF(NOTA[[#This Row],[HARGA/ CTN]]="",NOTA[[#This Row],[JUMLAH_H]],NOTA[[#This Row],[HARGA/ CTN]]*IF(NOTA[[#This Row],[C]]="",0,NOTA[[#This Row],[C]]))</f>
        <v>4380000</v>
      </c>
      <c r="Y12" s="37">
        <f>IF(NOTA[[#This Row],[JUMLAH]]="","",NOTA[[#This Row],[JUMLAH]]*NOTA[[#This Row],[DISC 1]])</f>
        <v>0</v>
      </c>
      <c r="Z12" s="37">
        <f>IF(NOTA[[#This Row],[JUMLAH]]="","",(NOTA[[#This Row],[JUMLAH]]-NOTA[[#This Row],[DISC 1-]])*NOTA[[#This Row],[DISC 2]])</f>
        <v>0</v>
      </c>
      <c r="AA12" s="37">
        <f>IF(NOTA[[#This Row],[JUMLAH]]="","",(NOTA[[#This Row],[JUMLAH]]-NOTA[[#This Row],[DISC 1-]]-NOTA[[#This Row],[DISC 2-]])*NOTA[[#This Row],[DISC 3]])</f>
        <v>0</v>
      </c>
      <c r="AB12" s="37">
        <f>IF(NOTA[[#This Row],[JUMLAH]]="","",NOTA[[#This Row],[DISC 1-]]+NOTA[[#This Row],[DISC 2-]]+NOTA[[#This Row],[DISC 3-]])</f>
        <v>0</v>
      </c>
      <c r="AC12" s="37">
        <f>IF(NOTA[[#This Row],[JUMLAH]]="","",NOTA[[#This Row],[JUMLAH]]-NOTA[[#This Row],[DISC]])</f>
        <v>4380000</v>
      </c>
      <c r="AD12" s="37"/>
      <c r="AE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2" s="37">
        <f>IF(OR(NOTA[[#This Row],[QTY]]="",NOTA[[#This Row],[HARGA SATUAN]]="",),"",NOTA[[#This Row],[QTY]]*NOTA[[#This Row],[HARGA SATUAN]])</f>
        <v>4380000</v>
      </c>
      <c r="AI12" s="26">
        <f ca="1">IF(NOTA[[#This Row],[ID_H]]="","",INDEX(NOTA[TANGGAL],MATCH(,INDIRECT(ADDRESS(ROW(NOTA[TANGGAL]),COLUMN(NOTA[TANGGAL]))&amp;":"&amp;ADDRESS(ROW(),COLUMN(NOTA[TANGGAL]))),-1)))</f>
        <v>45440</v>
      </c>
      <c r="AJ12" s="26">
        <f ca="1">IF(NOTA[[#This Row],[ID_H]]="","",INDEX(NOTA[TGL.NOTA],MATCH(,INDIRECT(ADDRESS(ROW(NOTA[TGL.NOTA]),COLUMN(NOTA[TGL.NOTA]))&amp;":"&amp;ADDRESS(ROW(),COLUMN(NOTA[TGL.NOTA]))),-1)))</f>
        <v>45437</v>
      </c>
      <c r="AK12" s="26" t="str">
        <f ca="1">IF(NOTA[[#This Row],[ID_H]]="","",INDEX(NOTA[NO.NOTA],MATCH(NOTA[[#This Row],[ID_H]],NOTA[ID_H],0)))</f>
        <v>JUE605/24</v>
      </c>
      <c r="AL12" s="28" t="str">
        <f ca="1">IF(NOTA[[#This Row],[NAMA BARANG]]="","",INDEX(NOTA[SUPPLIER],MATCH(,INDIRECT(ADDRESS(ROW(NOTA[ID]),COLUMN(NOTA[ID]))&amp;":"&amp;ADDRESS(ROW(),COLUMN(NOTA[ID]))),-1)))</f>
        <v>DB STATIONERY</v>
      </c>
      <c r="AM12" s="28" t="str">
        <f ca="1">IF(NOTA[[#This Row],[ID_H]]="","",IF(NOTA[[#This Row],[FAKTUR]]="",INDIRECT(ADDRESS(ROW()-1,COLUMN())),NOTA[[#This Row],[FAKTUR]]))</f>
        <v>UNTANA</v>
      </c>
      <c r="AN12" s="25" t="str">
        <f ca="1">IF(NOTA[[#This Row],[ID]]="","",COUNTIF(NOTA[ID_H],NOTA[[#This Row],[ID_H]]))</f>
        <v/>
      </c>
      <c r="AO12" s="25">
        <f ca="1">IF(NOTA[[#This Row],[TGL.NOTA]]="",IF(NOTA[[#This Row],[SUPPLIER_H]]="","",AO11),MONTH(NOTA[[#This Row],[TGL.NOTA]]))</f>
        <v>5</v>
      </c>
      <c r="AP12" s="25" t="str">
        <f>LOWER(SUBSTITUTE(SUBSTITUTE(SUBSTITUTE(SUBSTITUTE(SUBSTITUTE(SUBSTITUTE(SUBSTITUTE(SUBSTITUTE(SUBSTITUTE(NOTA[[#This Row],[NAMA BARANG]]," ",),".",""),"-",""),"(",""),")",""),",",""),"/",""),"""",""),"+",""))</f>
        <v>gelzhixinrefillg3162</v>
      </c>
      <c r="AQ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gelzhixinrefillg31622190000</v>
      </c>
      <c r="AR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gelzhixinrefillg31622190000</v>
      </c>
      <c r="AS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" s="25" t="s">
        <v>258</v>
      </c>
      <c r="AU12" s="25">
        <f>IF(NOTA[[#This Row],[CONCAT1]]="","",MATCH(NOTA[[#This Row],[CONCAT1]],[3]!db[NB NOTA_C],0))</f>
        <v>1271</v>
      </c>
      <c r="AV12" s="25" t="b">
        <f>IF(NOTA[[#This Row],[QTY/ CTN]]="","",TRUE)</f>
        <v>1</v>
      </c>
      <c r="AW12" s="25" t="str">
        <f ca="1">IF(NOTA[[#This Row],[ID_H]]="","",IF(NOTA[[#This Row],[Column3]]=TRUE,NOTA[[#This Row],[QTY/ CTN]],INDEX([3]!db[QTY/ CTN],NOTA[[#This Row],[//DB]])))</f>
        <v>120 LSN</v>
      </c>
      <c r="AX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gelzhixinrefillg3162120lsnuntana</v>
      </c>
      <c r="AY12" s="25">
        <f ca="1">IF(NOTA[[#This Row],[ID_H]]="","",MATCH(NOTA[[#This Row],[NB NOTA_C_QTY]],[3]!db[NB NOTA_C_QTY+F],0))</f>
        <v>1271</v>
      </c>
      <c r="AZ12" s="38">
        <f ca="1">IF(NOTA[[#This Row],[NB NOTA_C_QTY]]="","",ROW()-2)</f>
        <v>10</v>
      </c>
    </row>
    <row r="13" spans="1:53" ht="20.100000000000001" customHeight="1">
      <c r="A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25" t="s">
        <v>258</v>
      </c>
      <c r="D13" s="25">
        <f ca="1">IF(NOTA[[#This Row],[NAMA BARANG]]="","",INDEX(NOTA[ID],MATCH(,INDIRECT(ADDRESS(ROW(NOTA[ID]),COLUMN(NOTA[ID]))&amp;":"&amp;ADDRESS(ROW(),COLUMN(NOTA[ID]))),-1)))</f>
        <v>4</v>
      </c>
      <c r="E13" s="33"/>
      <c r="H13" s="34"/>
      <c r="L13" s="25" t="s">
        <v>211</v>
      </c>
      <c r="M13" s="27">
        <v>2</v>
      </c>
      <c r="N13" s="25">
        <v>240</v>
      </c>
      <c r="O13" s="25" t="s">
        <v>110</v>
      </c>
      <c r="P13" s="28">
        <v>18250</v>
      </c>
      <c r="Q13" s="29"/>
      <c r="R13" s="35" t="s">
        <v>171</v>
      </c>
      <c r="S13" s="36"/>
      <c r="V13" s="37"/>
      <c r="W13" s="32"/>
      <c r="X13" s="37">
        <f>IF(NOTA[[#This Row],[HARGA/ CTN]]="",NOTA[[#This Row],[JUMLAH_H]],NOTA[[#This Row],[HARGA/ CTN]]*IF(NOTA[[#This Row],[C]]="",0,NOTA[[#This Row],[C]]))</f>
        <v>4380000</v>
      </c>
      <c r="Y13" s="37">
        <f>IF(NOTA[[#This Row],[JUMLAH]]="","",NOTA[[#This Row],[JUMLAH]]*NOTA[[#This Row],[DISC 1]])</f>
        <v>0</v>
      </c>
      <c r="Z13" s="37">
        <f>IF(NOTA[[#This Row],[JUMLAH]]="","",(NOTA[[#This Row],[JUMLAH]]-NOTA[[#This Row],[DISC 1-]])*NOTA[[#This Row],[DISC 2]])</f>
        <v>0</v>
      </c>
      <c r="AA13" s="37">
        <f>IF(NOTA[[#This Row],[JUMLAH]]="","",(NOTA[[#This Row],[JUMLAH]]-NOTA[[#This Row],[DISC 1-]]-NOTA[[#This Row],[DISC 2-]])*NOTA[[#This Row],[DISC 3]])</f>
        <v>0</v>
      </c>
      <c r="AB13" s="37">
        <f>IF(NOTA[[#This Row],[JUMLAH]]="","",NOTA[[#This Row],[DISC 1-]]+NOTA[[#This Row],[DISC 2-]]+NOTA[[#This Row],[DISC 3-]])</f>
        <v>0</v>
      </c>
      <c r="AC13" s="37">
        <f>IF(NOTA[[#This Row],[JUMLAH]]="","",NOTA[[#This Row],[JUMLAH]]-NOTA[[#This Row],[DISC]])</f>
        <v>4380000</v>
      </c>
      <c r="AD13" s="37"/>
      <c r="AE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3" s="37">
        <f>IF(OR(NOTA[[#This Row],[QTY]]="",NOTA[[#This Row],[HARGA SATUAN]]="",),"",NOTA[[#This Row],[QTY]]*NOTA[[#This Row],[HARGA SATUAN]])</f>
        <v>4380000</v>
      </c>
      <c r="AI13" s="26">
        <f ca="1">IF(NOTA[[#This Row],[ID_H]]="","",INDEX(NOTA[TANGGAL],MATCH(,INDIRECT(ADDRESS(ROW(NOTA[TANGGAL]),COLUMN(NOTA[TANGGAL]))&amp;":"&amp;ADDRESS(ROW(),COLUMN(NOTA[TANGGAL]))),-1)))</f>
        <v>45440</v>
      </c>
      <c r="AJ13" s="26">
        <f ca="1">IF(NOTA[[#This Row],[ID_H]]="","",INDEX(NOTA[TGL.NOTA],MATCH(,INDIRECT(ADDRESS(ROW(NOTA[TGL.NOTA]),COLUMN(NOTA[TGL.NOTA]))&amp;":"&amp;ADDRESS(ROW(),COLUMN(NOTA[TGL.NOTA]))),-1)))</f>
        <v>45437</v>
      </c>
      <c r="AK13" s="26" t="str">
        <f ca="1">IF(NOTA[[#This Row],[ID_H]]="","",INDEX(NOTA[NO.NOTA],MATCH(NOTA[[#This Row],[ID_H]],NOTA[ID_H],0)))</f>
        <v>JUE605/24</v>
      </c>
      <c r="AL13" s="28" t="str">
        <f ca="1">IF(NOTA[[#This Row],[NAMA BARANG]]="","",INDEX(NOTA[SUPPLIER],MATCH(,INDIRECT(ADDRESS(ROW(NOTA[ID]),COLUMN(NOTA[ID]))&amp;":"&amp;ADDRESS(ROW(),COLUMN(NOTA[ID]))),-1)))</f>
        <v>DB STATIONERY</v>
      </c>
      <c r="AM13" s="28" t="str">
        <f ca="1">IF(NOTA[[#This Row],[ID_H]]="","",IF(NOTA[[#This Row],[FAKTUR]]="",INDIRECT(ADDRESS(ROW()-1,COLUMN())),NOTA[[#This Row],[FAKTUR]]))</f>
        <v>UNTANA</v>
      </c>
      <c r="AN13" s="25" t="str">
        <f ca="1">IF(NOTA[[#This Row],[ID]]="","",COUNTIF(NOTA[ID_H],NOTA[[#This Row],[ID_H]]))</f>
        <v/>
      </c>
      <c r="AO13" s="25">
        <f ca="1">IF(NOTA[[#This Row],[TGL.NOTA]]="",IF(NOTA[[#This Row],[SUPPLIER_H]]="","",AO12),MONTH(NOTA[[#This Row],[TGL.NOTA]]))</f>
        <v>5</v>
      </c>
      <c r="AP13" s="25" t="str">
        <f>LOWER(SUBSTITUTE(SUBSTITUTE(SUBSTITUTE(SUBSTITUTE(SUBSTITUTE(SUBSTITUTE(SUBSTITUTE(SUBSTITUTE(SUBSTITUTE(NOTA[[#This Row],[NAMA BARANG]]," ",),".",""),"-",""),"(",""),")",""),",",""),"/",""),"""",""),"+",""))</f>
        <v>gelzhixinrefillg3119</v>
      </c>
      <c r="AQ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R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S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" s="25" t="s">
        <v>258</v>
      </c>
      <c r="AU13" s="25">
        <f>IF(NOTA[[#This Row],[CONCAT1]]="","",MATCH(NOTA[[#This Row],[CONCAT1]],[3]!db[NB NOTA_C],0))</f>
        <v>1346</v>
      </c>
      <c r="AV13" s="25" t="b">
        <f>IF(NOTA[[#This Row],[QTY/ CTN]]="","",TRUE)</f>
        <v>1</v>
      </c>
      <c r="AW13" s="25" t="str">
        <f ca="1">IF(NOTA[[#This Row],[ID_H]]="","",IF(NOTA[[#This Row],[Column3]]=TRUE,NOTA[[#This Row],[QTY/ CTN]],INDEX([3]!db[QTY/ CTN],NOTA[[#This Row],[//DB]])))</f>
        <v>120 LSN</v>
      </c>
      <c r="AX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Y13" s="25">
        <f ca="1">IF(NOTA[[#This Row],[ID_H]]="","",MATCH(NOTA[[#This Row],[NB NOTA_C_QTY]],[3]!db[NB NOTA_C_QTY+F],0))</f>
        <v>1346</v>
      </c>
      <c r="AZ13" s="38">
        <f ca="1">IF(NOTA[[#This Row],[NB NOTA_C_QTY]]="","",ROW()-2)</f>
        <v>11</v>
      </c>
    </row>
    <row r="14" spans="1:53" ht="20.100000000000001" customHeight="1">
      <c r="A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25" t="s">
        <v>258</v>
      </c>
      <c r="D14" s="25">
        <f ca="1">IF(NOTA[[#This Row],[NAMA BARANG]]="","",INDEX(NOTA[ID],MATCH(,INDIRECT(ADDRESS(ROW(NOTA[ID]),COLUMN(NOTA[ID]))&amp;":"&amp;ADDRESS(ROW(),COLUMN(NOTA[ID]))),-1)))</f>
        <v>4</v>
      </c>
      <c r="E14" s="33"/>
      <c r="H14" s="34"/>
      <c r="L14" s="25" t="s">
        <v>212</v>
      </c>
      <c r="M14" s="27">
        <v>2</v>
      </c>
      <c r="N14" s="25">
        <v>240</v>
      </c>
      <c r="O14" s="25" t="s">
        <v>110</v>
      </c>
      <c r="P14" s="28">
        <v>18250</v>
      </c>
      <c r="Q14" s="29"/>
      <c r="R14" s="35" t="s">
        <v>171</v>
      </c>
      <c r="S14" s="36"/>
      <c r="V14" s="37"/>
      <c r="W14" s="32"/>
      <c r="X14" s="37">
        <f>IF(NOTA[[#This Row],[HARGA/ CTN]]="",NOTA[[#This Row],[JUMLAH_H]],NOTA[[#This Row],[HARGA/ CTN]]*IF(NOTA[[#This Row],[C]]="",0,NOTA[[#This Row],[C]]))</f>
        <v>4380000</v>
      </c>
      <c r="Y14" s="37">
        <f>IF(NOTA[[#This Row],[JUMLAH]]="","",NOTA[[#This Row],[JUMLAH]]*NOTA[[#This Row],[DISC 1]])</f>
        <v>0</v>
      </c>
      <c r="Z14" s="37">
        <f>IF(NOTA[[#This Row],[JUMLAH]]="","",(NOTA[[#This Row],[JUMLAH]]-NOTA[[#This Row],[DISC 1-]])*NOTA[[#This Row],[DISC 2]])</f>
        <v>0</v>
      </c>
      <c r="AA14" s="37">
        <f>IF(NOTA[[#This Row],[JUMLAH]]="","",(NOTA[[#This Row],[JUMLAH]]-NOTA[[#This Row],[DISC 1-]]-NOTA[[#This Row],[DISC 2-]])*NOTA[[#This Row],[DISC 3]])</f>
        <v>0</v>
      </c>
      <c r="AB14" s="37">
        <f>IF(NOTA[[#This Row],[JUMLAH]]="","",NOTA[[#This Row],[DISC 1-]]+NOTA[[#This Row],[DISC 2-]]+NOTA[[#This Row],[DISC 3-]])</f>
        <v>0</v>
      </c>
      <c r="AC14" s="37">
        <f>IF(NOTA[[#This Row],[JUMLAH]]="","",NOTA[[#This Row],[JUMLAH]]-NOTA[[#This Row],[DISC]])</f>
        <v>4380000</v>
      </c>
      <c r="AD14" s="37"/>
      <c r="AE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4" s="37">
        <f>IF(OR(NOTA[[#This Row],[QTY]]="",NOTA[[#This Row],[HARGA SATUAN]]="",),"",NOTA[[#This Row],[QTY]]*NOTA[[#This Row],[HARGA SATUAN]])</f>
        <v>4380000</v>
      </c>
      <c r="AI14" s="26">
        <f ca="1">IF(NOTA[[#This Row],[ID_H]]="","",INDEX(NOTA[TANGGAL],MATCH(,INDIRECT(ADDRESS(ROW(NOTA[TANGGAL]),COLUMN(NOTA[TANGGAL]))&amp;":"&amp;ADDRESS(ROW(),COLUMN(NOTA[TANGGAL]))),-1)))</f>
        <v>45440</v>
      </c>
      <c r="AJ14" s="26">
        <f ca="1">IF(NOTA[[#This Row],[ID_H]]="","",INDEX(NOTA[TGL.NOTA],MATCH(,INDIRECT(ADDRESS(ROW(NOTA[TGL.NOTA]),COLUMN(NOTA[TGL.NOTA]))&amp;":"&amp;ADDRESS(ROW(),COLUMN(NOTA[TGL.NOTA]))),-1)))</f>
        <v>45437</v>
      </c>
      <c r="AK14" s="26" t="str">
        <f ca="1">IF(NOTA[[#This Row],[ID_H]]="","",INDEX(NOTA[NO.NOTA],MATCH(NOTA[[#This Row],[ID_H]],NOTA[ID_H],0)))</f>
        <v>JUE605/24</v>
      </c>
      <c r="AL14" s="28" t="str">
        <f ca="1">IF(NOTA[[#This Row],[NAMA BARANG]]="","",INDEX(NOTA[SUPPLIER],MATCH(,INDIRECT(ADDRESS(ROW(NOTA[ID]),COLUMN(NOTA[ID]))&amp;":"&amp;ADDRESS(ROW(),COLUMN(NOTA[ID]))),-1)))</f>
        <v>DB STATIONERY</v>
      </c>
      <c r="AM14" s="28" t="str">
        <f ca="1">IF(NOTA[[#This Row],[ID_H]]="","",IF(NOTA[[#This Row],[FAKTUR]]="",INDIRECT(ADDRESS(ROW()-1,COLUMN())),NOTA[[#This Row],[FAKTUR]]))</f>
        <v>UNTANA</v>
      </c>
      <c r="AN14" s="25" t="str">
        <f ca="1">IF(NOTA[[#This Row],[ID]]="","",COUNTIF(NOTA[ID_H],NOTA[[#This Row],[ID_H]]))</f>
        <v/>
      </c>
      <c r="AO14" s="25">
        <f ca="1">IF(NOTA[[#This Row],[TGL.NOTA]]="",IF(NOTA[[#This Row],[SUPPLIER_H]]="","",AO13),MONTH(NOTA[[#This Row],[TGL.NOTA]]))</f>
        <v>5</v>
      </c>
      <c r="AP14" s="25" t="str">
        <f>LOWER(SUBSTITUTE(SUBSTITUTE(SUBSTITUTE(SUBSTITUTE(SUBSTITUTE(SUBSTITUTE(SUBSTITUTE(SUBSTITUTE(SUBSTITUTE(NOTA[[#This Row],[NAMA BARANG]]," ",),".",""),"-",""),"(",""),")",""),",",""),"/",""),"""",""),"+",""))</f>
        <v>gelzhixinrefillg5025</v>
      </c>
      <c r="AQ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gelzhixinrefillg50252190000</v>
      </c>
      <c r="AR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gelzhixinrefillg50252190000</v>
      </c>
      <c r="AS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" s="25" t="s">
        <v>258</v>
      </c>
      <c r="AU14" s="25">
        <f>IF(NOTA[[#This Row],[CONCAT1]]="","",MATCH(NOTA[[#This Row],[CONCAT1]],[3]!db[NB NOTA_C],0))</f>
        <v>1297</v>
      </c>
      <c r="AV14" s="25" t="b">
        <f>IF(NOTA[[#This Row],[QTY/ CTN]]="","",TRUE)</f>
        <v>1</v>
      </c>
      <c r="AW14" s="25" t="str">
        <f ca="1">IF(NOTA[[#This Row],[ID_H]]="","",IF(NOTA[[#This Row],[Column3]]=TRUE,NOTA[[#This Row],[QTY/ CTN]],INDEX([3]!db[QTY/ CTN],NOTA[[#This Row],[//DB]])))</f>
        <v>120 LSN</v>
      </c>
      <c r="AX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gelzhixinrefillg5025120lsnuntana</v>
      </c>
      <c r="AY14" s="25">
        <f ca="1">IF(NOTA[[#This Row],[ID_H]]="","",MATCH(NOTA[[#This Row],[NB NOTA_C_QTY]],[3]!db[NB NOTA_C_QTY+F],0))</f>
        <v>1297</v>
      </c>
      <c r="AZ14" s="38">
        <f ca="1">IF(NOTA[[#This Row],[NB NOTA_C_QTY]]="","",ROW()-2)</f>
        <v>12</v>
      </c>
    </row>
    <row r="15" spans="1:53" ht="20.100000000000001" customHeight="1">
      <c r="A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25" t="s">
        <v>258</v>
      </c>
      <c r="D15" s="25">
        <f ca="1">IF(NOTA[[#This Row],[NAMA BARANG]]="","",INDEX(NOTA[ID],MATCH(,INDIRECT(ADDRESS(ROW(NOTA[ID]),COLUMN(NOTA[ID]))&amp;":"&amp;ADDRESS(ROW(),COLUMN(NOTA[ID]))),-1)))</f>
        <v>4</v>
      </c>
      <c r="E15" s="33"/>
      <c r="H15" s="34"/>
      <c r="L15" s="25" t="s">
        <v>213</v>
      </c>
      <c r="M15" s="27">
        <v>2</v>
      </c>
      <c r="N15" s="25">
        <v>240</v>
      </c>
      <c r="O15" s="25" t="s">
        <v>110</v>
      </c>
      <c r="P15" s="28">
        <v>18250</v>
      </c>
      <c r="Q15" s="29"/>
      <c r="R15" s="35" t="s">
        <v>171</v>
      </c>
      <c r="S15" s="36"/>
      <c r="V15" s="37"/>
      <c r="W15" s="32"/>
      <c r="X15" s="37">
        <f>IF(NOTA[[#This Row],[HARGA/ CTN]]="",NOTA[[#This Row],[JUMLAH_H]],NOTA[[#This Row],[HARGA/ CTN]]*IF(NOTA[[#This Row],[C]]="",0,NOTA[[#This Row],[C]]))</f>
        <v>4380000</v>
      </c>
      <c r="Y15" s="37">
        <f>IF(NOTA[[#This Row],[JUMLAH]]="","",NOTA[[#This Row],[JUMLAH]]*NOTA[[#This Row],[DISC 1]])</f>
        <v>0</v>
      </c>
      <c r="Z15" s="37">
        <f>IF(NOTA[[#This Row],[JUMLAH]]="","",(NOTA[[#This Row],[JUMLAH]]-NOTA[[#This Row],[DISC 1-]])*NOTA[[#This Row],[DISC 2]])</f>
        <v>0</v>
      </c>
      <c r="AA15" s="37">
        <f>IF(NOTA[[#This Row],[JUMLAH]]="","",(NOTA[[#This Row],[JUMLAH]]-NOTA[[#This Row],[DISC 1-]]-NOTA[[#This Row],[DISC 2-]])*NOTA[[#This Row],[DISC 3]])</f>
        <v>0</v>
      </c>
      <c r="AB15" s="37">
        <f>IF(NOTA[[#This Row],[JUMLAH]]="","",NOTA[[#This Row],[DISC 1-]]+NOTA[[#This Row],[DISC 2-]]+NOTA[[#This Row],[DISC 3-]])</f>
        <v>0</v>
      </c>
      <c r="AC15" s="37">
        <f>IF(NOTA[[#This Row],[JUMLAH]]="","",NOTA[[#This Row],[JUMLAH]]-NOTA[[#This Row],[DISC]])</f>
        <v>4380000</v>
      </c>
      <c r="AD15" s="37"/>
      <c r="AE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5" s="37">
        <f>IF(OR(NOTA[[#This Row],[QTY]]="",NOTA[[#This Row],[HARGA SATUAN]]="",),"",NOTA[[#This Row],[QTY]]*NOTA[[#This Row],[HARGA SATUAN]])</f>
        <v>4380000</v>
      </c>
      <c r="AI15" s="26">
        <f ca="1">IF(NOTA[[#This Row],[ID_H]]="","",INDEX(NOTA[TANGGAL],MATCH(,INDIRECT(ADDRESS(ROW(NOTA[TANGGAL]),COLUMN(NOTA[TANGGAL]))&amp;":"&amp;ADDRESS(ROW(),COLUMN(NOTA[TANGGAL]))),-1)))</f>
        <v>45440</v>
      </c>
      <c r="AJ15" s="26">
        <f ca="1">IF(NOTA[[#This Row],[ID_H]]="","",INDEX(NOTA[TGL.NOTA],MATCH(,INDIRECT(ADDRESS(ROW(NOTA[TGL.NOTA]),COLUMN(NOTA[TGL.NOTA]))&amp;":"&amp;ADDRESS(ROW(),COLUMN(NOTA[TGL.NOTA]))),-1)))</f>
        <v>45437</v>
      </c>
      <c r="AK15" s="26" t="str">
        <f ca="1">IF(NOTA[[#This Row],[ID_H]]="","",INDEX(NOTA[NO.NOTA],MATCH(NOTA[[#This Row],[ID_H]],NOTA[ID_H],0)))</f>
        <v>JUE605/24</v>
      </c>
      <c r="AL15" s="28" t="str">
        <f ca="1">IF(NOTA[[#This Row],[NAMA BARANG]]="","",INDEX(NOTA[SUPPLIER],MATCH(,INDIRECT(ADDRESS(ROW(NOTA[ID]),COLUMN(NOTA[ID]))&amp;":"&amp;ADDRESS(ROW(),COLUMN(NOTA[ID]))),-1)))</f>
        <v>DB STATIONERY</v>
      </c>
      <c r="AM15" s="28" t="str">
        <f ca="1">IF(NOTA[[#This Row],[ID_H]]="","",IF(NOTA[[#This Row],[FAKTUR]]="",INDIRECT(ADDRESS(ROW()-1,COLUMN())),NOTA[[#This Row],[FAKTUR]]))</f>
        <v>UNTANA</v>
      </c>
      <c r="AN15" s="25" t="str">
        <f ca="1">IF(NOTA[[#This Row],[ID]]="","",COUNTIF(NOTA[ID_H],NOTA[[#This Row],[ID_H]]))</f>
        <v/>
      </c>
      <c r="AO15" s="25">
        <f ca="1">IF(NOTA[[#This Row],[TGL.NOTA]]="",IF(NOTA[[#This Row],[SUPPLIER_H]]="","",AO14),MONTH(NOTA[[#This Row],[TGL.NOTA]]))</f>
        <v>5</v>
      </c>
      <c r="AP15" s="25" t="str">
        <f>LOWER(SUBSTITUTE(SUBSTITUTE(SUBSTITUTE(SUBSTITUTE(SUBSTITUTE(SUBSTITUTE(SUBSTITUTE(SUBSTITUTE(SUBSTITUTE(NOTA[[#This Row],[NAMA BARANG]]," ",),".",""),"-",""),"(",""),")",""),",",""),"/",""),"""",""),"+",""))</f>
        <v>gelzhixinrefillg3118</v>
      </c>
      <c r="AQ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R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S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" s="25" t="s">
        <v>258</v>
      </c>
      <c r="AU15" s="25">
        <f>IF(NOTA[[#This Row],[CONCAT1]]="","",MATCH(NOTA[[#This Row],[CONCAT1]],[3]!db[NB NOTA_C],0))</f>
        <v>1345</v>
      </c>
      <c r="AV15" s="25" t="b">
        <f>IF(NOTA[[#This Row],[QTY/ CTN]]="","",TRUE)</f>
        <v>1</v>
      </c>
      <c r="AW15" s="25" t="str">
        <f ca="1">IF(NOTA[[#This Row],[ID_H]]="","",IF(NOTA[[#This Row],[Column3]]=TRUE,NOTA[[#This Row],[QTY/ CTN]],INDEX([3]!db[QTY/ CTN],NOTA[[#This Row],[//DB]])))</f>
        <v>120 LSN</v>
      </c>
      <c r="AX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Y15" s="25">
        <f ca="1">IF(NOTA[[#This Row],[ID_H]]="","",MATCH(NOTA[[#This Row],[NB NOTA_C_QTY]],[3]!db[NB NOTA_C_QTY+F],0))</f>
        <v>1345</v>
      </c>
      <c r="AZ15" s="38">
        <f ca="1">IF(NOTA[[#This Row],[NB NOTA_C_QTY]]="","",ROW()-2)</f>
        <v>13</v>
      </c>
    </row>
    <row r="16" spans="1:53" ht="20.100000000000001" customHeight="1">
      <c r="A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25" t="s">
        <v>258</v>
      </c>
      <c r="D16" s="25">
        <f ca="1">IF(NOTA[[#This Row],[NAMA BARANG]]="","",INDEX(NOTA[ID],MATCH(,INDIRECT(ADDRESS(ROW(NOTA[ID]),COLUMN(NOTA[ID]))&amp;":"&amp;ADDRESS(ROW(),COLUMN(NOTA[ID]))),-1)))</f>
        <v>4</v>
      </c>
      <c r="E16" s="33"/>
      <c r="H16" s="34"/>
      <c r="L16" s="25" t="s">
        <v>214</v>
      </c>
      <c r="M16" s="27">
        <v>2</v>
      </c>
      <c r="N16" s="25">
        <v>240</v>
      </c>
      <c r="O16" s="25" t="s">
        <v>110</v>
      </c>
      <c r="P16" s="28">
        <v>18250</v>
      </c>
      <c r="Q16" s="29"/>
      <c r="R16" s="35" t="s">
        <v>171</v>
      </c>
      <c r="S16" s="36"/>
      <c r="V16" s="37"/>
      <c r="W16" s="32"/>
      <c r="X16" s="37">
        <f>IF(NOTA[[#This Row],[HARGA/ CTN]]="",NOTA[[#This Row],[JUMLAH_H]],NOTA[[#This Row],[HARGA/ CTN]]*IF(NOTA[[#This Row],[C]]="",0,NOTA[[#This Row],[C]]))</f>
        <v>4380000</v>
      </c>
      <c r="Y16" s="37">
        <f>IF(NOTA[[#This Row],[JUMLAH]]="","",NOTA[[#This Row],[JUMLAH]]*NOTA[[#This Row],[DISC 1]])</f>
        <v>0</v>
      </c>
      <c r="Z16" s="37">
        <f>IF(NOTA[[#This Row],[JUMLAH]]="","",(NOTA[[#This Row],[JUMLAH]]-NOTA[[#This Row],[DISC 1-]])*NOTA[[#This Row],[DISC 2]])</f>
        <v>0</v>
      </c>
      <c r="AA16" s="37">
        <f>IF(NOTA[[#This Row],[JUMLAH]]="","",(NOTA[[#This Row],[JUMLAH]]-NOTA[[#This Row],[DISC 1-]]-NOTA[[#This Row],[DISC 2-]])*NOTA[[#This Row],[DISC 3]])</f>
        <v>0</v>
      </c>
      <c r="AB16" s="37">
        <f>IF(NOTA[[#This Row],[JUMLAH]]="","",NOTA[[#This Row],[DISC 1-]]+NOTA[[#This Row],[DISC 2-]]+NOTA[[#This Row],[DISC 3-]])</f>
        <v>0</v>
      </c>
      <c r="AC16" s="37">
        <f>IF(NOTA[[#This Row],[JUMLAH]]="","",NOTA[[#This Row],[JUMLAH]]-NOTA[[#This Row],[DISC]])</f>
        <v>4380000</v>
      </c>
      <c r="AD16" s="37"/>
      <c r="AE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6" s="37">
        <f>IF(OR(NOTA[[#This Row],[QTY]]="",NOTA[[#This Row],[HARGA SATUAN]]="",),"",NOTA[[#This Row],[QTY]]*NOTA[[#This Row],[HARGA SATUAN]])</f>
        <v>4380000</v>
      </c>
      <c r="AI16" s="26">
        <f ca="1">IF(NOTA[[#This Row],[ID_H]]="","",INDEX(NOTA[TANGGAL],MATCH(,INDIRECT(ADDRESS(ROW(NOTA[TANGGAL]),COLUMN(NOTA[TANGGAL]))&amp;":"&amp;ADDRESS(ROW(),COLUMN(NOTA[TANGGAL]))),-1)))</f>
        <v>45440</v>
      </c>
      <c r="AJ16" s="26">
        <f ca="1">IF(NOTA[[#This Row],[ID_H]]="","",INDEX(NOTA[TGL.NOTA],MATCH(,INDIRECT(ADDRESS(ROW(NOTA[TGL.NOTA]),COLUMN(NOTA[TGL.NOTA]))&amp;":"&amp;ADDRESS(ROW(),COLUMN(NOTA[TGL.NOTA]))),-1)))</f>
        <v>45437</v>
      </c>
      <c r="AK16" s="26" t="str">
        <f ca="1">IF(NOTA[[#This Row],[ID_H]]="","",INDEX(NOTA[NO.NOTA],MATCH(NOTA[[#This Row],[ID_H]],NOTA[ID_H],0)))</f>
        <v>JUE605/24</v>
      </c>
      <c r="AL16" s="28" t="str">
        <f ca="1">IF(NOTA[[#This Row],[NAMA BARANG]]="","",INDEX(NOTA[SUPPLIER],MATCH(,INDIRECT(ADDRESS(ROW(NOTA[ID]),COLUMN(NOTA[ID]))&amp;":"&amp;ADDRESS(ROW(),COLUMN(NOTA[ID]))),-1)))</f>
        <v>DB STATIONERY</v>
      </c>
      <c r="AM16" s="28" t="str">
        <f ca="1">IF(NOTA[[#This Row],[ID_H]]="","",IF(NOTA[[#This Row],[FAKTUR]]="",INDIRECT(ADDRESS(ROW()-1,COLUMN())),NOTA[[#This Row],[FAKTUR]]))</f>
        <v>UNTANA</v>
      </c>
      <c r="AN16" s="25" t="str">
        <f ca="1">IF(NOTA[[#This Row],[ID]]="","",COUNTIF(NOTA[ID_H],NOTA[[#This Row],[ID_H]]))</f>
        <v/>
      </c>
      <c r="AO16" s="25">
        <f ca="1">IF(NOTA[[#This Row],[TGL.NOTA]]="",IF(NOTA[[#This Row],[SUPPLIER_H]]="","",AO15),MONTH(NOTA[[#This Row],[TGL.NOTA]]))</f>
        <v>5</v>
      </c>
      <c r="AP16" s="25" t="str">
        <f>LOWER(SUBSTITUTE(SUBSTITUTE(SUBSTITUTE(SUBSTITUTE(SUBSTITUTE(SUBSTITUTE(SUBSTITUTE(SUBSTITUTE(SUBSTITUTE(NOTA[[#This Row],[NAMA BARANG]]," ",),".",""),"-",""),"(",""),")",""),",",""),"/",""),"""",""),"+",""))</f>
        <v>gelzhixinrefillg3128</v>
      </c>
      <c r="AQ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R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S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" s="25" t="s">
        <v>258</v>
      </c>
      <c r="AU16" s="25">
        <f>IF(NOTA[[#This Row],[CONCAT1]]="","",MATCH(NOTA[[#This Row],[CONCAT1]],[3]!db[NB NOTA_C],0))</f>
        <v>1355</v>
      </c>
      <c r="AV16" s="25" t="b">
        <f>IF(NOTA[[#This Row],[QTY/ CTN]]="","",TRUE)</f>
        <v>1</v>
      </c>
      <c r="AW16" s="25" t="str">
        <f ca="1">IF(NOTA[[#This Row],[ID_H]]="","",IF(NOTA[[#This Row],[Column3]]=TRUE,NOTA[[#This Row],[QTY/ CTN]],INDEX([3]!db[QTY/ CTN],NOTA[[#This Row],[//DB]])))</f>
        <v>120 LSN</v>
      </c>
      <c r="AX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Y16" s="25">
        <f ca="1">IF(NOTA[[#This Row],[ID_H]]="","",MATCH(NOTA[[#This Row],[NB NOTA_C_QTY]],[3]!db[NB NOTA_C_QTY+F],0))</f>
        <v>1355</v>
      </c>
      <c r="AZ16" s="38">
        <f ca="1">IF(NOTA[[#This Row],[NB NOTA_C_QTY]]="","",ROW()-2)</f>
        <v>14</v>
      </c>
    </row>
    <row r="17" spans="1:52" ht="20.100000000000001" customHeight="1">
      <c r="A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25" t="s">
        <v>258</v>
      </c>
      <c r="D17" s="25">
        <f ca="1">IF(NOTA[[#This Row],[NAMA BARANG]]="","",INDEX(NOTA[ID],MATCH(,INDIRECT(ADDRESS(ROW(NOTA[ID]),COLUMN(NOTA[ID]))&amp;":"&amp;ADDRESS(ROW(),COLUMN(NOTA[ID]))),-1)))</f>
        <v>4</v>
      </c>
      <c r="E17" s="33"/>
      <c r="H17" s="34"/>
      <c r="L17" s="25" t="s">
        <v>215</v>
      </c>
      <c r="M17" s="27">
        <v>2</v>
      </c>
      <c r="N17" s="25">
        <v>240</v>
      </c>
      <c r="O17" s="25" t="s">
        <v>110</v>
      </c>
      <c r="P17" s="28">
        <v>18250</v>
      </c>
      <c r="Q17" s="29"/>
      <c r="R17" s="35" t="s">
        <v>171</v>
      </c>
      <c r="S17" s="36"/>
      <c r="V17" s="37"/>
      <c r="W17" s="32"/>
      <c r="X17" s="37">
        <f>IF(NOTA[[#This Row],[HARGA/ CTN]]="",NOTA[[#This Row],[JUMLAH_H]],NOTA[[#This Row],[HARGA/ CTN]]*IF(NOTA[[#This Row],[C]]="",0,NOTA[[#This Row],[C]]))</f>
        <v>4380000</v>
      </c>
      <c r="Y17" s="37">
        <f>IF(NOTA[[#This Row],[JUMLAH]]="","",NOTA[[#This Row],[JUMLAH]]*NOTA[[#This Row],[DISC 1]])</f>
        <v>0</v>
      </c>
      <c r="Z17" s="37">
        <f>IF(NOTA[[#This Row],[JUMLAH]]="","",(NOTA[[#This Row],[JUMLAH]]-NOTA[[#This Row],[DISC 1-]])*NOTA[[#This Row],[DISC 2]])</f>
        <v>0</v>
      </c>
      <c r="AA17" s="37">
        <f>IF(NOTA[[#This Row],[JUMLAH]]="","",(NOTA[[#This Row],[JUMLAH]]-NOTA[[#This Row],[DISC 1-]]-NOTA[[#This Row],[DISC 2-]])*NOTA[[#This Row],[DISC 3]])</f>
        <v>0</v>
      </c>
      <c r="AB17" s="37">
        <f>IF(NOTA[[#This Row],[JUMLAH]]="","",NOTA[[#This Row],[DISC 1-]]+NOTA[[#This Row],[DISC 2-]]+NOTA[[#This Row],[DISC 3-]])</f>
        <v>0</v>
      </c>
      <c r="AC17" s="37">
        <f>IF(NOTA[[#This Row],[JUMLAH]]="","",NOTA[[#This Row],[JUMLAH]]-NOTA[[#This Row],[DISC]])</f>
        <v>4380000</v>
      </c>
      <c r="AD17" s="37"/>
      <c r="AE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7" s="37">
        <f>IF(OR(NOTA[[#This Row],[QTY]]="",NOTA[[#This Row],[HARGA SATUAN]]="",),"",NOTA[[#This Row],[QTY]]*NOTA[[#This Row],[HARGA SATUAN]])</f>
        <v>4380000</v>
      </c>
      <c r="AI17" s="26">
        <f ca="1">IF(NOTA[[#This Row],[ID_H]]="","",INDEX(NOTA[TANGGAL],MATCH(,INDIRECT(ADDRESS(ROW(NOTA[TANGGAL]),COLUMN(NOTA[TANGGAL]))&amp;":"&amp;ADDRESS(ROW(),COLUMN(NOTA[TANGGAL]))),-1)))</f>
        <v>45440</v>
      </c>
      <c r="AJ17" s="26">
        <f ca="1">IF(NOTA[[#This Row],[ID_H]]="","",INDEX(NOTA[TGL.NOTA],MATCH(,INDIRECT(ADDRESS(ROW(NOTA[TGL.NOTA]),COLUMN(NOTA[TGL.NOTA]))&amp;":"&amp;ADDRESS(ROW(),COLUMN(NOTA[TGL.NOTA]))),-1)))</f>
        <v>45437</v>
      </c>
      <c r="AK17" s="26" t="str">
        <f ca="1">IF(NOTA[[#This Row],[ID_H]]="","",INDEX(NOTA[NO.NOTA],MATCH(NOTA[[#This Row],[ID_H]],NOTA[ID_H],0)))</f>
        <v>JUE605/24</v>
      </c>
      <c r="AL17" s="28" t="str">
        <f ca="1">IF(NOTA[[#This Row],[NAMA BARANG]]="","",INDEX(NOTA[SUPPLIER],MATCH(,INDIRECT(ADDRESS(ROW(NOTA[ID]),COLUMN(NOTA[ID]))&amp;":"&amp;ADDRESS(ROW(),COLUMN(NOTA[ID]))),-1)))</f>
        <v>DB STATIONERY</v>
      </c>
      <c r="AM17" s="28" t="str">
        <f ca="1">IF(NOTA[[#This Row],[ID_H]]="","",IF(NOTA[[#This Row],[FAKTUR]]="",INDIRECT(ADDRESS(ROW()-1,COLUMN())),NOTA[[#This Row],[FAKTUR]]))</f>
        <v>UNTANA</v>
      </c>
      <c r="AN17" s="25" t="str">
        <f ca="1">IF(NOTA[[#This Row],[ID]]="","",COUNTIF(NOTA[ID_H],NOTA[[#This Row],[ID_H]]))</f>
        <v/>
      </c>
      <c r="AO17" s="25">
        <f ca="1">IF(NOTA[[#This Row],[TGL.NOTA]]="",IF(NOTA[[#This Row],[SUPPLIER_H]]="","",AO16),MONTH(NOTA[[#This Row],[TGL.NOTA]]))</f>
        <v>5</v>
      </c>
      <c r="AP17" s="25" t="str">
        <f>LOWER(SUBSTITUTE(SUBSTITUTE(SUBSTITUTE(SUBSTITUTE(SUBSTITUTE(SUBSTITUTE(SUBSTITUTE(SUBSTITUTE(SUBSTITUTE(NOTA[[#This Row],[NAMA BARANG]]," ",),".",""),"-",""),"(",""),")",""),",",""),"/",""),"""",""),"+",""))</f>
        <v>gelzhixinrefillg3129</v>
      </c>
      <c r="AQ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R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S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" s="25" t="s">
        <v>258</v>
      </c>
      <c r="AU17" s="25">
        <f>IF(NOTA[[#This Row],[CONCAT1]]="","",MATCH(NOTA[[#This Row],[CONCAT1]],[3]!db[NB NOTA_C],0))</f>
        <v>1356</v>
      </c>
      <c r="AV17" s="25" t="b">
        <f>IF(NOTA[[#This Row],[QTY/ CTN]]="","",TRUE)</f>
        <v>1</v>
      </c>
      <c r="AW17" s="25" t="str">
        <f ca="1">IF(NOTA[[#This Row],[ID_H]]="","",IF(NOTA[[#This Row],[Column3]]=TRUE,NOTA[[#This Row],[QTY/ CTN]],INDEX([3]!db[QTY/ CTN],NOTA[[#This Row],[//DB]])))</f>
        <v>120 LSN</v>
      </c>
      <c r="AX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Y17" s="25">
        <f ca="1">IF(NOTA[[#This Row],[ID_H]]="","",MATCH(NOTA[[#This Row],[NB NOTA_C_QTY]],[3]!db[NB NOTA_C_QTY+F],0))</f>
        <v>1356</v>
      </c>
      <c r="AZ17" s="38">
        <f ca="1">IF(NOTA[[#This Row],[NB NOTA_C_QTY]]="","",ROW()-2)</f>
        <v>15</v>
      </c>
    </row>
    <row r="18" spans="1:52" ht="20.100000000000001" customHeight="1">
      <c r="A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25" t="s">
        <v>258</v>
      </c>
      <c r="D18" s="25">
        <f ca="1">IF(NOTA[[#This Row],[NAMA BARANG]]="","",INDEX(NOTA[ID],MATCH(,INDIRECT(ADDRESS(ROW(NOTA[ID]),COLUMN(NOTA[ID]))&amp;":"&amp;ADDRESS(ROW(),COLUMN(NOTA[ID]))),-1)))</f>
        <v>4</v>
      </c>
      <c r="E18" s="33"/>
      <c r="H18" s="34"/>
      <c r="L18" s="25" t="s">
        <v>216</v>
      </c>
      <c r="M18" s="27">
        <v>2</v>
      </c>
      <c r="N18" s="25">
        <v>240</v>
      </c>
      <c r="O18" s="25" t="s">
        <v>110</v>
      </c>
      <c r="P18" s="28">
        <v>18250</v>
      </c>
      <c r="Q18" s="29"/>
      <c r="R18" s="35" t="s">
        <v>171</v>
      </c>
      <c r="S18" s="36"/>
      <c r="V18" s="37"/>
      <c r="W18" s="32"/>
      <c r="X18" s="37">
        <f>IF(NOTA[[#This Row],[HARGA/ CTN]]="",NOTA[[#This Row],[JUMLAH_H]],NOTA[[#This Row],[HARGA/ CTN]]*IF(NOTA[[#This Row],[C]]="",0,NOTA[[#This Row],[C]]))</f>
        <v>4380000</v>
      </c>
      <c r="Y18" s="37">
        <f>IF(NOTA[[#This Row],[JUMLAH]]="","",NOTA[[#This Row],[JUMLAH]]*NOTA[[#This Row],[DISC 1]])</f>
        <v>0</v>
      </c>
      <c r="Z18" s="37">
        <f>IF(NOTA[[#This Row],[JUMLAH]]="","",(NOTA[[#This Row],[JUMLAH]]-NOTA[[#This Row],[DISC 1-]])*NOTA[[#This Row],[DISC 2]])</f>
        <v>0</v>
      </c>
      <c r="AA18" s="37">
        <f>IF(NOTA[[#This Row],[JUMLAH]]="","",(NOTA[[#This Row],[JUMLAH]]-NOTA[[#This Row],[DISC 1-]]-NOTA[[#This Row],[DISC 2-]])*NOTA[[#This Row],[DISC 3]])</f>
        <v>0</v>
      </c>
      <c r="AB18" s="37">
        <f>IF(NOTA[[#This Row],[JUMLAH]]="","",NOTA[[#This Row],[DISC 1-]]+NOTA[[#This Row],[DISC 2-]]+NOTA[[#This Row],[DISC 3-]])</f>
        <v>0</v>
      </c>
      <c r="AC18" s="37">
        <f>IF(NOTA[[#This Row],[JUMLAH]]="","",NOTA[[#This Row],[JUMLAH]]-NOTA[[#This Row],[DISC]])</f>
        <v>4380000</v>
      </c>
      <c r="AD18" s="37"/>
      <c r="AE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8" s="37">
        <f>IF(OR(NOTA[[#This Row],[QTY]]="",NOTA[[#This Row],[HARGA SATUAN]]="",),"",NOTA[[#This Row],[QTY]]*NOTA[[#This Row],[HARGA SATUAN]])</f>
        <v>4380000</v>
      </c>
      <c r="AI18" s="26">
        <f ca="1">IF(NOTA[[#This Row],[ID_H]]="","",INDEX(NOTA[TANGGAL],MATCH(,INDIRECT(ADDRESS(ROW(NOTA[TANGGAL]),COLUMN(NOTA[TANGGAL]))&amp;":"&amp;ADDRESS(ROW(),COLUMN(NOTA[TANGGAL]))),-1)))</f>
        <v>45440</v>
      </c>
      <c r="AJ18" s="26">
        <f ca="1">IF(NOTA[[#This Row],[ID_H]]="","",INDEX(NOTA[TGL.NOTA],MATCH(,INDIRECT(ADDRESS(ROW(NOTA[TGL.NOTA]),COLUMN(NOTA[TGL.NOTA]))&amp;":"&amp;ADDRESS(ROW(),COLUMN(NOTA[TGL.NOTA]))),-1)))</f>
        <v>45437</v>
      </c>
      <c r="AK18" s="26" t="str">
        <f ca="1">IF(NOTA[[#This Row],[ID_H]]="","",INDEX(NOTA[NO.NOTA],MATCH(NOTA[[#This Row],[ID_H]],NOTA[ID_H],0)))</f>
        <v>JUE605/24</v>
      </c>
      <c r="AL18" s="28" t="str">
        <f ca="1">IF(NOTA[[#This Row],[NAMA BARANG]]="","",INDEX(NOTA[SUPPLIER],MATCH(,INDIRECT(ADDRESS(ROW(NOTA[ID]),COLUMN(NOTA[ID]))&amp;":"&amp;ADDRESS(ROW(),COLUMN(NOTA[ID]))),-1)))</f>
        <v>DB STATIONERY</v>
      </c>
      <c r="AM18" s="28" t="str">
        <f ca="1">IF(NOTA[[#This Row],[ID_H]]="","",IF(NOTA[[#This Row],[FAKTUR]]="",INDIRECT(ADDRESS(ROW()-1,COLUMN())),NOTA[[#This Row],[FAKTUR]]))</f>
        <v>UNTANA</v>
      </c>
      <c r="AN18" s="25" t="str">
        <f ca="1">IF(NOTA[[#This Row],[ID]]="","",COUNTIF(NOTA[ID_H],NOTA[[#This Row],[ID_H]]))</f>
        <v/>
      </c>
      <c r="AO18" s="25">
        <f ca="1">IF(NOTA[[#This Row],[TGL.NOTA]]="",IF(NOTA[[#This Row],[SUPPLIER_H]]="","",AO17),MONTH(NOTA[[#This Row],[TGL.NOTA]]))</f>
        <v>5</v>
      </c>
      <c r="AP18" s="25" t="str">
        <f>LOWER(SUBSTITUTE(SUBSTITUTE(SUBSTITUTE(SUBSTITUTE(SUBSTITUTE(SUBSTITUTE(SUBSTITUTE(SUBSTITUTE(SUBSTITUTE(NOTA[[#This Row],[NAMA BARANG]]," ",),".",""),"-",""),"(",""),")",""),",",""),"/",""),"""",""),"+",""))</f>
        <v>gelzhixinrefillg3125</v>
      </c>
      <c r="AQ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gelzhixinrefillg31252190000</v>
      </c>
      <c r="AR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gelzhixinrefillg31252190000</v>
      </c>
      <c r="AS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" s="25" t="s">
        <v>258</v>
      </c>
      <c r="AU18" s="25">
        <f>IF(NOTA[[#This Row],[CONCAT1]]="","",MATCH(NOTA[[#This Row],[CONCAT1]],[3]!db[NB NOTA_C],0))</f>
        <v>1352</v>
      </c>
      <c r="AV18" s="25" t="b">
        <f>IF(NOTA[[#This Row],[QTY/ CTN]]="","",TRUE)</f>
        <v>1</v>
      </c>
      <c r="AW18" s="25" t="str">
        <f ca="1">IF(NOTA[[#This Row],[ID_H]]="","",IF(NOTA[[#This Row],[Column3]]=TRUE,NOTA[[#This Row],[QTY/ CTN]],INDEX([3]!db[QTY/ CTN],NOTA[[#This Row],[//DB]])))</f>
        <v>120 LSN</v>
      </c>
      <c r="AX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gelzhixinrefillg3125120lsnuntana</v>
      </c>
      <c r="AY18" s="25">
        <f ca="1">IF(NOTA[[#This Row],[ID_H]]="","",MATCH(NOTA[[#This Row],[NB NOTA_C_QTY]],[3]!db[NB NOTA_C_QTY+F],0))</f>
        <v>1352</v>
      </c>
      <c r="AZ18" s="38">
        <f ca="1">IF(NOTA[[#This Row],[NB NOTA_C_QTY]]="","",ROW()-2)</f>
        <v>16</v>
      </c>
    </row>
    <row r="19" spans="1:52" ht="20.100000000000001" customHeight="1">
      <c r="A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25" t="s">
        <v>258</v>
      </c>
      <c r="D19" s="25">
        <f ca="1">IF(NOTA[[#This Row],[NAMA BARANG]]="","",INDEX(NOTA[ID],MATCH(,INDIRECT(ADDRESS(ROW(NOTA[ID]),COLUMN(NOTA[ID]))&amp;":"&amp;ADDRESS(ROW(),COLUMN(NOTA[ID]))),-1)))</f>
        <v>4</v>
      </c>
      <c r="E19" s="33"/>
      <c r="H19" s="34"/>
      <c r="L19" s="25" t="s">
        <v>243</v>
      </c>
      <c r="M19" s="27">
        <v>2</v>
      </c>
      <c r="N19" s="25">
        <v>240</v>
      </c>
      <c r="O19" s="25" t="s">
        <v>110</v>
      </c>
      <c r="P19" s="28">
        <v>18250</v>
      </c>
      <c r="Q19" s="29"/>
      <c r="R19" s="35" t="s">
        <v>171</v>
      </c>
      <c r="S19" s="36"/>
      <c r="V19" s="37"/>
      <c r="W19" s="32"/>
      <c r="X19" s="37">
        <f>IF(NOTA[[#This Row],[HARGA/ CTN]]="",NOTA[[#This Row],[JUMLAH_H]],NOTA[[#This Row],[HARGA/ CTN]]*IF(NOTA[[#This Row],[C]]="",0,NOTA[[#This Row],[C]]))</f>
        <v>4380000</v>
      </c>
      <c r="Y19" s="37">
        <f>IF(NOTA[[#This Row],[JUMLAH]]="","",NOTA[[#This Row],[JUMLAH]]*NOTA[[#This Row],[DISC 1]])</f>
        <v>0</v>
      </c>
      <c r="Z19" s="37">
        <f>IF(NOTA[[#This Row],[JUMLAH]]="","",(NOTA[[#This Row],[JUMLAH]]-NOTA[[#This Row],[DISC 1-]])*NOTA[[#This Row],[DISC 2]])</f>
        <v>0</v>
      </c>
      <c r="AA19" s="37">
        <f>IF(NOTA[[#This Row],[JUMLAH]]="","",(NOTA[[#This Row],[JUMLAH]]-NOTA[[#This Row],[DISC 1-]]-NOTA[[#This Row],[DISC 2-]])*NOTA[[#This Row],[DISC 3]])</f>
        <v>0</v>
      </c>
      <c r="AB19" s="37">
        <f>IF(NOTA[[#This Row],[JUMLAH]]="","",NOTA[[#This Row],[DISC 1-]]+NOTA[[#This Row],[DISC 2-]]+NOTA[[#This Row],[DISC 3-]])</f>
        <v>0</v>
      </c>
      <c r="AC19" s="37">
        <f>IF(NOTA[[#This Row],[JUMLAH]]="","",NOTA[[#This Row],[JUMLAH]]-NOTA[[#This Row],[DISC]])</f>
        <v>4380000</v>
      </c>
      <c r="AD19" s="37"/>
      <c r="AE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9" s="37">
        <f>IF(OR(NOTA[[#This Row],[QTY]]="",NOTA[[#This Row],[HARGA SATUAN]]="",),"",NOTA[[#This Row],[QTY]]*NOTA[[#This Row],[HARGA SATUAN]])</f>
        <v>4380000</v>
      </c>
      <c r="AI19" s="26">
        <f ca="1">IF(NOTA[[#This Row],[ID_H]]="","",INDEX(NOTA[TANGGAL],MATCH(,INDIRECT(ADDRESS(ROW(NOTA[TANGGAL]),COLUMN(NOTA[TANGGAL]))&amp;":"&amp;ADDRESS(ROW(),COLUMN(NOTA[TANGGAL]))),-1)))</f>
        <v>45440</v>
      </c>
      <c r="AJ19" s="26">
        <f ca="1">IF(NOTA[[#This Row],[ID_H]]="","",INDEX(NOTA[TGL.NOTA],MATCH(,INDIRECT(ADDRESS(ROW(NOTA[TGL.NOTA]),COLUMN(NOTA[TGL.NOTA]))&amp;":"&amp;ADDRESS(ROW(),COLUMN(NOTA[TGL.NOTA]))),-1)))</f>
        <v>45437</v>
      </c>
      <c r="AK19" s="26" t="str">
        <f ca="1">IF(NOTA[[#This Row],[ID_H]]="","",INDEX(NOTA[NO.NOTA],MATCH(NOTA[[#This Row],[ID_H]],NOTA[ID_H],0)))</f>
        <v>JUE605/24</v>
      </c>
      <c r="AL19" s="28" t="str">
        <f ca="1">IF(NOTA[[#This Row],[NAMA BARANG]]="","",INDEX(NOTA[SUPPLIER],MATCH(,INDIRECT(ADDRESS(ROW(NOTA[ID]),COLUMN(NOTA[ID]))&amp;":"&amp;ADDRESS(ROW(),COLUMN(NOTA[ID]))),-1)))</f>
        <v>DB STATIONERY</v>
      </c>
      <c r="AM19" s="28" t="str">
        <f ca="1">IF(NOTA[[#This Row],[ID_H]]="","",IF(NOTA[[#This Row],[FAKTUR]]="",INDIRECT(ADDRESS(ROW()-1,COLUMN())),NOTA[[#This Row],[FAKTUR]]))</f>
        <v>UNTANA</v>
      </c>
      <c r="AN19" s="25" t="str">
        <f ca="1">IF(NOTA[[#This Row],[ID]]="","",COUNTIF(NOTA[ID_H],NOTA[[#This Row],[ID_H]]))</f>
        <v/>
      </c>
      <c r="AO19" s="25">
        <f ca="1">IF(NOTA[[#This Row],[TGL.NOTA]]="",IF(NOTA[[#This Row],[SUPPLIER_H]]="","",AO18),MONTH(NOTA[[#This Row],[TGL.NOTA]]))</f>
        <v>5</v>
      </c>
      <c r="AP19" s="25" t="str">
        <f>LOWER(SUBSTITUTE(SUBSTITUTE(SUBSTITUTE(SUBSTITUTE(SUBSTITUTE(SUBSTITUTE(SUBSTITUTE(SUBSTITUTE(SUBSTITUTE(NOTA[[#This Row],[NAMA BARANG]]," ",),".",""),"-",""),"(",""),")",""),",",""),"/",""),"""",""),"+",""))</f>
        <v>gelzhixinrefillg5005</v>
      </c>
      <c r="AQ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gelzhixinrefillg50052190000</v>
      </c>
      <c r="AR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gelzhixinrefillg50052190000</v>
      </c>
      <c r="AS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" s="25" t="s">
        <v>258</v>
      </c>
      <c r="AU19" s="25">
        <f>IF(NOTA[[#This Row],[CONCAT1]]="","",MATCH(NOTA[[#This Row],[CONCAT1]],[3]!db[NB NOTA_C],0))</f>
        <v>1272</v>
      </c>
      <c r="AV19" s="25" t="b">
        <f>IF(NOTA[[#This Row],[QTY/ CTN]]="","",TRUE)</f>
        <v>1</v>
      </c>
      <c r="AW19" s="25" t="str">
        <f ca="1">IF(NOTA[[#This Row],[ID_H]]="","",IF(NOTA[[#This Row],[Column3]]=TRUE,NOTA[[#This Row],[QTY/ CTN]],INDEX([3]!db[QTY/ CTN],NOTA[[#This Row],[//DB]])))</f>
        <v>120 LSN</v>
      </c>
      <c r="AX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gelzhixinrefillg5005120lsnuntana</v>
      </c>
      <c r="AY19" s="25">
        <f ca="1">IF(NOTA[[#This Row],[ID_H]]="","",MATCH(NOTA[[#This Row],[NB NOTA_C_QTY]],[3]!db[NB NOTA_C_QTY+F],0))</f>
        <v>1272</v>
      </c>
      <c r="AZ19" s="38">
        <f ca="1">IF(NOTA[[#This Row],[NB NOTA_C_QTY]]="","",ROW()-2)</f>
        <v>17</v>
      </c>
    </row>
    <row r="20" spans="1:52" ht="20.100000000000001" customHeight="1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5" t="s">
        <v>258</v>
      </c>
      <c r="D20" s="25">
        <f ca="1">IF(NOTA[[#This Row],[NAMA BARANG]]="","",INDEX(NOTA[ID],MATCH(,INDIRECT(ADDRESS(ROW(NOTA[ID]),COLUMN(NOTA[ID]))&amp;":"&amp;ADDRESS(ROW(),COLUMN(NOTA[ID]))),-1)))</f>
        <v>4</v>
      </c>
      <c r="E20" s="33"/>
      <c r="H20" s="34"/>
      <c r="L20" s="25" t="s">
        <v>217</v>
      </c>
      <c r="M20" s="27">
        <v>1</v>
      </c>
      <c r="N20" s="25">
        <v>120</v>
      </c>
      <c r="O20" s="25" t="s">
        <v>110</v>
      </c>
      <c r="P20" s="28">
        <v>18250</v>
      </c>
      <c r="Q20" s="29"/>
      <c r="R20" s="35" t="s">
        <v>171</v>
      </c>
      <c r="S20" s="36"/>
      <c r="V20" s="37"/>
      <c r="W20" s="32"/>
      <c r="X20" s="37">
        <f>IF(NOTA[[#This Row],[HARGA/ CTN]]="",NOTA[[#This Row],[JUMLAH_H]],NOTA[[#This Row],[HARGA/ CTN]]*IF(NOTA[[#This Row],[C]]="",0,NOTA[[#This Row],[C]]))</f>
        <v>2190000</v>
      </c>
      <c r="Y20" s="37">
        <f>IF(NOTA[[#This Row],[JUMLAH]]="","",NOTA[[#This Row],[JUMLAH]]*NOTA[[#This Row],[DISC 1]])</f>
        <v>0</v>
      </c>
      <c r="Z20" s="37">
        <f>IF(NOTA[[#This Row],[JUMLAH]]="","",(NOTA[[#This Row],[JUMLAH]]-NOTA[[#This Row],[DISC 1-]])*NOTA[[#This Row],[DISC 2]])</f>
        <v>0</v>
      </c>
      <c r="AA20" s="37">
        <f>IF(NOTA[[#This Row],[JUMLAH]]="","",(NOTA[[#This Row],[JUMLAH]]-NOTA[[#This Row],[DISC 1-]]-NOTA[[#This Row],[DISC 2-]])*NOTA[[#This Row],[DISC 3]])</f>
        <v>0</v>
      </c>
      <c r="AB20" s="37">
        <f>IF(NOTA[[#This Row],[JUMLAH]]="","",NOTA[[#This Row],[DISC 1-]]+NOTA[[#This Row],[DISC 2-]]+NOTA[[#This Row],[DISC 3-]])</f>
        <v>0</v>
      </c>
      <c r="AC20" s="37">
        <f>IF(NOTA[[#This Row],[JUMLAH]]="","",NOTA[[#This Row],[JUMLAH]]-NOTA[[#This Row],[DISC]])</f>
        <v>2190000</v>
      </c>
      <c r="AD20" s="37"/>
      <c r="AE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0" s="37">
        <f>IF(OR(NOTA[[#This Row],[QTY]]="",NOTA[[#This Row],[HARGA SATUAN]]="",),"",NOTA[[#This Row],[QTY]]*NOTA[[#This Row],[HARGA SATUAN]])</f>
        <v>2190000</v>
      </c>
      <c r="AI20" s="26">
        <f ca="1">IF(NOTA[[#This Row],[ID_H]]="","",INDEX(NOTA[TANGGAL],MATCH(,INDIRECT(ADDRESS(ROW(NOTA[TANGGAL]),COLUMN(NOTA[TANGGAL]))&amp;":"&amp;ADDRESS(ROW(),COLUMN(NOTA[TANGGAL]))),-1)))</f>
        <v>45440</v>
      </c>
      <c r="AJ20" s="26">
        <f ca="1">IF(NOTA[[#This Row],[ID_H]]="","",INDEX(NOTA[TGL.NOTA],MATCH(,INDIRECT(ADDRESS(ROW(NOTA[TGL.NOTA]),COLUMN(NOTA[TGL.NOTA]))&amp;":"&amp;ADDRESS(ROW(),COLUMN(NOTA[TGL.NOTA]))),-1)))</f>
        <v>45437</v>
      </c>
      <c r="AK20" s="26" t="str">
        <f ca="1">IF(NOTA[[#This Row],[ID_H]]="","",INDEX(NOTA[NO.NOTA],MATCH(NOTA[[#This Row],[ID_H]],NOTA[ID_H],0)))</f>
        <v>JUE605/24</v>
      </c>
      <c r="AL20" s="28" t="str">
        <f ca="1">IF(NOTA[[#This Row],[NAMA BARANG]]="","",INDEX(NOTA[SUPPLIER],MATCH(,INDIRECT(ADDRESS(ROW(NOTA[ID]),COLUMN(NOTA[ID]))&amp;":"&amp;ADDRESS(ROW(),COLUMN(NOTA[ID]))),-1)))</f>
        <v>DB STATIONERY</v>
      </c>
      <c r="AM20" s="28" t="str">
        <f ca="1">IF(NOTA[[#This Row],[ID_H]]="","",IF(NOTA[[#This Row],[FAKTUR]]="",INDIRECT(ADDRESS(ROW()-1,COLUMN())),NOTA[[#This Row],[FAKTUR]]))</f>
        <v>UNTANA</v>
      </c>
      <c r="AN20" s="25" t="str">
        <f ca="1">IF(NOTA[[#This Row],[ID]]="","",COUNTIF(NOTA[ID_H],NOTA[[#This Row],[ID_H]]))</f>
        <v/>
      </c>
      <c r="AO20" s="25">
        <f ca="1">IF(NOTA[[#This Row],[TGL.NOTA]]="",IF(NOTA[[#This Row],[SUPPLIER_H]]="","",AO19),MONTH(NOTA[[#This Row],[TGL.NOTA]]))</f>
        <v>5</v>
      </c>
      <c r="AP20" s="25" t="str">
        <f>LOWER(SUBSTITUTE(SUBSTITUTE(SUBSTITUTE(SUBSTITUTE(SUBSTITUTE(SUBSTITUTE(SUBSTITUTE(SUBSTITUTE(SUBSTITUTE(NOTA[[#This Row],[NAMA BARANG]]," ",),".",""),"-",""),"(",""),")",""),",",""),"/",""),"""",""),"+",""))</f>
        <v>gelzhixinrefillg3167</v>
      </c>
      <c r="AQ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gelzhixinrefillg31672190000</v>
      </c>
      <c r="AR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gelzhixinrefillg31672190000</v>
      </c>
      <c r="AS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" s="25" t="s">
        <v>258</v>
      </c>
      <c r="AU20" s="25">
        <f>IF(NOTA[[#This Row],[CONCAT1]]="","",MATCH(NOTA[[#This Row],[CONCAT1]],[3]!db[NB NOTA_C],0))</f>
        <v>1267</v>
      </c>
      <c r="AV20" s="25" t="b">
        <f>IF(NOTA[[#This Row],[QTY/ CTN]]="","",TRUE)</f>
        <v>1</v>
      </c>
      <c r="AW20" s="25" t="str">
        <f ca="1">IF(NOTA[[#This Row],[ID_H]]="","",IF(NOTA[[#This Row],[Column3]]=TRUE,NOTA[[#This Row],[QTY/ CTN]],INDEX([3]!db[QTY/ CTN],NOTA[[#This Row],[//DB]])))</f>
        <v>120 LSN</v>
      </c>
      <c r="AX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gelzhixinrefillg3167120lsnuntana</v>
      </c>
      <c r="AY20" s="25">
        <f ca="1">IF(NOTA[[#This Row],[ID_H]]="","",MATCH(NOTA[[#This Row],[NB NOTA_C_QTY]],[3]!db[NB NOTA_C_QTY+F],0))</f>
        <v>1267</v>
      </c>
      <c r="AZ20" s="38">
        <f ca="1">IF(NOTA[[#This Row],[NB NOTA_C_QTY]]="","",ROW()-2)</f>
        <v>18</v>
      </c>
    </row>
    <row r="21" spans="1:52" ht="20.100000000000001" customHeight="1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5" t="s">
        <v>258</v>
      </c>
      <c r="D21" s="25">
        <f ca="1">IF(NOTA[[#This Row],[NAMA BARANG]]="","",INDEX(NOTA[ID],MATCH(,INDIRECT(ADDRESS(ROW(NOTA[ID]),COLUMN(NOTA[ID]))&amp;":"&amp;ADDRESS(ROW(),COLUMN(NOTA[ID]))),-1)))</f>
        <v>4</v>
      </c>
      <c r="E21" s="33"/>
      <c r="H21" s="34"/>
      <c r="L21" s="25" t="s">
        <v>217</v>
      </c>
      <c r="M21" s="27">
        <v>1</v>
      </c>
      <c r="N21" s="25">
        <v>120</v>
      </c>
      <c r="O21" s="25" t="s">
        <v>110</v>
      </c>
      <c r="P21" s="28">
        <v>0</v>
      </c>
      <c r="Q21" s="29"/>
      <c r="R21" s="35" t="s">
        <v>171</v>
      </c>
      <c r="S21" s="36"/>
      <c r="V21" s="37"/>
      <c r="W21" s="32" t="s">
        <v>170</v>
      </c>
      <c r="X21" s="37">
        <f>IF(NOTA[[#This Row],[HARGA/ CTN]]="",NOTA[[#This Row],[JUMLAH_H]],NOTA[[#This Row],[HARGA/ CTN]]*IF(NOTA[[#This Row],[C]]="",0,NOTA[[#This Row],[C]]))</f>
        <v>0</v>
      </c>
      <c r="Y21" s="37">
        <f>IF(NOTA[[#This Row],[JUMLAH]]="","",NOTA[[#This Row],[JUMLAH]]*NOTA[[#This Row],[DISC 1]])</f>
        <v>0</v>
      </c>
      <c r="Z21" s="37">
        <f>IF(NOTA[[#This Row],[JUMLAH]]="","",(NOTA[[#This Row],[JUMLAH]]-NOTA[[#This Row],[DISC 1-]])*NOTA[[#This Row],[DISC 2]])</f>
        <v>0</v>
      </c>
      <c r="AA21" s="37">
        <f>IF(NOTA[[#This Row],[JUMLAH]]="","",(NOTA[[#This Row],[JUMLAH]]-NOTA[[#This Row],[DISC 1-]]-NOTA[[#This Row],[DISC 2-]])*NOTA[[#This Row],[DISC 3]])</f>
        <v>0</v>
      </c>
      <c r="AB21" s="37">
        <f>IF(NOTA[[#This Row],[JUMLAH]]="","",NOTA[[#This Row],[DISC 1-]]+NOTA[[#This Row],[DISC 2-]]+NOTA[[#This Row],[DISC 3-]])</f>
        <v>0</v>
      </c>
      <c r="AC21" s="37">
        <f>IF(NOTA[[#This Row],[JUMLAH]]="","",NOTA[[#This Row],[JUMLAH]]-NOTA[[#This Row],[DISC]])</f>
        <v>0</v>
      </c>
      <c r="AD21" s="37"/>
      <c r="AE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1" s="37">
        <f>IF(OR(NOTA[[#This Row],[QTY]]="",NOTA[[#This Row],[HARGA SATUAN]]="",),"",NOTA[[#This Row],[QTY]]*NOTA[[#This Row],[HARGA SATUAN]])</f>
        <v>0</v>
      </c>
      <c r="AI21" s="26">
        <f ca="1">IF(NOTA[[#This Row],[ID_H]]="","",INDEX(NOTA[TANGGAL],MATCH(,INDIRECT(ADDRESS(ROW(NOTA[TANGGAL]),COLUMN(NOTA[TANGGAL]))&amp;":"&amp;ADDRESS(ROW(),COLUMN(NOTA[TANGGAL]))),-1)))</f>
        <v>45440</v>
      </c>
      <c r="AJ21" s="26">
        <f ca="1">IF(NOTA[[#This Row],[ID_H]]="","",INDEX(NOTA[TGL.NOTA],MATCH(,INDIRECT(ADDRESS(ROW(NOTA[TGL.NOTA]),COLUMN(NOTA[TGL.NOTA]))&amp;":"&amp;ADDRESS(ROW(),COLUMN(NOTA[TGL.NOTA]))),-1)))</f>
        <v>45437</v>
      </c>
      <c r="AK21" s="26" t="str">
        <f ca="1">IF(NOTA[[#This Row],[ID_H]]="","",INDEX(NOTA[NO.NOTA],MATCH(NOTA[[#This Row],[ID_H]],NOTA[ID_H],0)))</f>
        <v>JUE605/24</v>
      </c>
      <c r="AL21" s="28" t="str">
        <f ca="1">IF(NOTA[[#This Row],[NAMA BARANG]]="","",INDEX(NOTA[SUPPLIER],MATCH(,INDIRECT(ADDRESS(ROW(NOTA[ID]),COLUMN(NOTA[ID]))&amp;":"&amp;ADDRESS(ROW(),COLUMN(NOTA[ID]))),-1)))</f>
        <v>DB STATIONERY</v>
      </c>
      <c r="AM21" s="28" t="str">
        <f ca="1">IF(NOTA[[#This Row],[ID_H]]="","",IF(NOTA[[#This Row],[FAKTUR]]="",INDIRECT(ADDRESS(ROW()-1,COLUMN())),NOTA[[#This Row],[FAKTUR]]))</f>
        <v>UNTANA</v>
      </c>
      <c r="AN21" s="25" t="str">
        <f ca="1">IF(NOTA[[#This Row],[ID]]="","",COUNTIF(NOTA[ID_H],NOTA[[#This Row],[ID_H]]))</f>
        <v/>
      </c>
      <c r="AO21" s="25">
        <f ca="1">IF(NOTA[[#This Row],[TGL.NOTA]]="",IF(NOTA[[#This Row],[SUPPLIER_H]]="","",AO20),MONTH(NOTA[[#This Row],[TGL.NOTA]]))</f>
        <v>5</v>
      </c>
      <c r="AP21" s="25" t="str">
        <f>LOWER(SUBSTITUTE(SUBSTITUTE(SUBSTITUTE(SUBSTITUTE(SUBSTITUTE(SUBSTITUTE(SUBSTITUTE(SUBSTITUTE(SUBSTITUTE(NOTA[[#This Row],[NAMA BARANG]]," ",),".",""),"-",""),"(",""),")",""),",",""),"/",""),"""",""),"+",""))</f>
        <v>gelzhixinrefillg3167</v>
      </c>
      <c r="AQ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gelzhixinrefillg31670</v>
      </c>
      <c r="AR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gelzhixinrefillg31670</v>
      </c>
      <c r="AS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" s="25" t="s">
        <v>258</v>
      </c>
      <c r="AU21" s="25">
        <f>IF(NOTA[[#This Row],[CONCAT1]]="","",MATCH(NOTA[[#This Row],[CONCAT1]],[3]!db[NB NOTA_C],0))</f>
        <v>1267</v>
      </c>
      <c r="AV21" s="25" t="b">
        <f>IF(NOTA[[#This Row],[QTY/ CTN]]="","",TRUE)</f>
        <v>1</v>
      </c>
      <c r="AW21" s="25" t="str">
        <f ca="1">IF(NOTA[[#This Row],[ID_H]]="","",IF(NOTA[[#This Row],[Column3]]=TRUE,NOTA[[#This Row],[QTY/ CTN]],INDEX([3]!db[QTY/ CTN],NOTA[[#This Row],[//DB]])))</f>
        <v>120 LSN</v>
      </c>
      <c r="AX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gelzhixinrefillg3167120lsnuntana</v>
      </c>
      <c r="AY21" s="25">
        <f ca="1">IF(NOTA[[#This Row],[ID_H]]="","",MATCH(NOTA[[#This Row],[NB NOTA_C_QTY]],[3]!db[NB NOTA_C_QTY+F],0))</f>
        <v>1267</v>
      </c>
      <c r="AZ21" s="38">
        <f ca="1">IF(NOTA[[#This Row],[NB NOTA_C_QTY]]="","",ROW()-2)</f>
        <v>19</v>
      </c>
    </row>
    <row r="22" spans="1:52" ht="20.100000000000001" customHeight="1">
      <c r="A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5" t="s">
        <v>258</v>
      </c>
      <c r="D22" s="25">
        <f ca="1">IF(NOTA[[#This Row],[NAMA BARANG]]="","",INDEX(NOTA[ID],MATCH(,INDIRECT(ADDRESS(ROW(NOTA[ID]),COLUMN(NOTA[ID]))&amp;":"&amp;ADDRESS(ROW(),COLUMN(NOTA[ID]))),-1)))</f>
        <v>4</v>
      </c>
      <c r="E22" s="33"/>
      <c r="H22" s="34"/>
      <c r="L22" s="25" t="s">
        <v>218</v>
      </c>
      <c r="M22" s="27">
        <v>1</v>
      </c>
      <c r="N22" s="25">
        <v>120</v>
      </c>
      <c r="O22" s="25" t="s">
        <v>110</v>
      </c>
      <c r="P22" s="28">
        <v>25500</v>
      </c>
      <c r="Q22" s="29"/>
      <c r="R22" s="35" t="s">
        <v>171</v>
      </c>
      <c r="S22" s="36"/>
      <c r="V22" s="37"/>
      <c r="W22" s="32"/>
      <c r="X22" s="37">
        <f>IF(NOTA[[#This Row],[HARGA/ CTN]]="",NOTA[[#This Row],[JUMLAH_H]],NOTA[[#This Row],[HARGA/ CTN]]*IF(NOTA[[#This Row],[C]]="",0,NOTA[[#This Row],[C]]))</f>
        <v>3060000</v>
      </c>
      <c r="Y22" s="37">
        <f>IF(NOTA[[#This Row],[JUMLAH]]="","",NOTA[[#This Row],[JUMLAH]]*NOTA[[#This Row],[DISC 1]])</f>
        <v>0</v>
      </c>
      <c r="Z22" s="37">
        <f>IF(NOTA[[#This Row],[JUMLAH]]="","",(NOTA[[#This Row],[JUMLAH]]-NOTA[[#This Row],[DISC 1-]])*NOTA[[#This Row],[DISC 2]])</f>
        <v>0</v>
      </c>
      <c r="AA22" s="37">
        <f>IF(NOTA[[#This Row],[JUMLAH]]="","",(NOTA[[#This Row],[JUMLAH]]-NOTA[[#This Row],[DISC 1-]]-NOTA[[#This Row],[DISC 2-]])*NOTA[[#This Row],[DISC 3]])</f>
        <v>0</v>
      </c>
      <c r="AB22" s="37">
        <f>IF(NOTA[[#This Row],[JUMLAH]]="","",NOTA[[#This Row],[DISC 1-]]+NOTA[[#This Row],[DISC 2-]]+NOTA[[#This Row],[DISC 3-]])</f>
        <v>0</v>
      </c>
      <c r="AC22" s="37">
        <f>IF(NOTA[[#This Row],[JUMLAH]]="","",NOTA[[#This Row],[JUMLAH]]-NOTA[[#This Row],[DISC]])</f>
        <v>3060000</v>
      </c>
      <c r="AD22" s="37"/>
      <c r="AE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" s="28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H22" s="37">
        <f>IF(OR(NOTA[[#This Row],[QTY]]="",NOTA[[#This Row],[HARGA SATUAN]]="",),"",NOTA[[#This Row],[QTY]]*NOTA[[#This Row],[HARGA SATUAN]])</f>
        <v>3060000</v>
      </c>
      <c r="AI22" s="26">
        <f ca="1">IF(NOTA[[#This Row],[ID_H]]="","",INDEX(NOTA[TANGGAL],MATCH(,INDIRECT(ADDRESS(ROW(NOTA[TANGGAL]),COLUMN(NOTA[TANGGAL]))&amp;":"&amp;ADDRESS(ROW(),COLUMN(NOTA[TANGGAL]))),-1)))</f>
        <v>45440</v>
      </c>
      <c r="AJ22" s="26">
        <f ca="1">IF(NOTA[[#This Row],[ID_H]]="","",INDEX(NOTA[TGL.NOTA],MATCH(,INDIRECT(ADDRESS(ROW(NOTA[TGL.NOTA]),COLUMN(NOTA[TGL.NOTA]))&amp;":"&amp;ADDRESS(ROW(),COLUMN(NOTA[TGL.NOTA]))),-1)))</f>
        <v>45437</v>
      </c>
      <c r="AK22" s="26" t="str">
        <f ca="1">IF(NOTA[[#This Row],[ID_H]]="","",INDEX(NOTA[NO.NOTA],MATCH(NOTA[[#This Row],[ID_H]],NOTA[ID_H],0)))</f>
        <v>JUE605/24</v>
      </c>
      <c r="AL22" s="28" t="str">
        <f ca="1">IF(NOTA[[#This Row],[NAMA BARANG]]="","",INDEX(NOTA[SUPPLIER],MATCH(,INDIRECT(ADDRESS(ROW(NOTA[ID]),COLUMN(NOTA[ID]))&amp;":"&amp;ADDRESS(ROW(),COLUMN(NOTA[ID]))),-1)))</f>
        <v>DB STATIONERY</v>
      </c>
      <c r="AM22" s="28" t="str">
        <f ca="1">IF(NOTA[[#This Row],[ID_H]]="","",IF(NOTA[[#This Row],[FAKTUR]]="",INDIRECT(ADDRESS(ROW()-1,COLUMN())),NOTA[[#This Row],[FAKTUR]]))</f>
        <v>UNTANA</v>
      </c>
      <c r="AN22" s="25" t="str">
        <f ca="1">IF(NOTA[[#This Row],[ID]]="","",COUNTIF(NOTA[ID_H],NOTA[[#This Row],[ID_H]]))</f>
        <v/>
      </c>
      <c r="AO22" s="25">
        <f ca="1">IF(NOTA[[#This Row],[TGL.NOTA]]="",IF(NOTA[[#This Row],[SUPPLIER_H]]="","",AO21),MONTH(NOTA[[#This Row],[TGL.NOTA]]))</f>
        <v>5</v>
      </c>
      <c r="AP22" s="25" t="str">
        <f>LOWER(SUBSTITUTE(SUBSTITUTE(SUBSTITUTE(SUBSTITUTE(SUBSTITUTE(SUBSTITUTE(SUBSTITUTE(SUBSTITUTE(SUBSTITUTE(NOTA[[#This Row],[NAMA BARANG]]," ",),".",""),"-",""),"(",""),")",""),",",""),"/",""),"""",""),"+",""))</f>
        <v>geldebozz05dbg05</v>
      </c>
      <c r="AQ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R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S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" s="25" t="s">
        <v>258</v>
      </c>
      <c r="AU22" s="25">
        <f>IF(NOTA[[#This Row],[CONCAT1]]="","",MATCH(NOTA[[#This Row],[CONCAT1]],[3]!db[NB NOTA_C],0))</f>
        <v>1044</v>
      </c>
      <c r="AV22" s="25" t="b">
        <f>IF(NOTA[[#This Row],[QTY/ CTN]]="","",TRUE)</f>
        <v>1</v>
      </c>
      <c r="AW22" s="25" t="str">
        <f ca="1">IF(NOTA[[#This Row],[ID_H]]="","",IF(NOTA[[#This Row],[Column3]]=TRUE,NOTA[[#This Row],[QTY/ CTN]],INDEX([3]!db[QTY/ CTN],NOTA[[#This Row],[//DB]])))</f>
        <v>120 LSN</v>
      </c>
      <c r="AX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Y22" s="25">
        <f ca="1">IF(NOTA[[#This Row],[ID_H]]="","",MATCH(NOTA[[#This Row],[NB NOTA_C_QTY]],[3]!db[NB NOTA_C_QTY+F],0))</f>
        <v>1044</v>
      </c>
      <c r="AZ22" s="38">
        <f ca="1">IF(NOTA[[#This Row],[NB NOTA_C_QTY]]="","",ROW()-2)</f>
        <v>20</v>
      </c>
    </row>
    <row r="23" spans="1:52" ht="20.100000000000001" customHeight="1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5" t="s">
        <v>258</v>
      </c>
      <c r="D23" s="25">
        <f ca="1">IF(NOTA[[#This Row],[NAMA BARANG]]="","",INDEX(NOTA[ID],MATCH(,INDIRECT(ADDRESS(ROW(NOTA[ID]),COLUMN(NOTA[ID]))&amp;":"&amp;ADDRESS(ROW(),COLUMN(NOTA[ID]))),-1)))</f>
        <v>4</v>
      </c>
      <c r="E23" s="33"/>
      <c r="H23" s="34"/>
      <c r="L23" s="25" t="s">
        <v>219</v>
      </c>
      <c r="M23" s="27">
        <v>1</v>
      </c>
      <c r="N23" s="25">
        <v>144</v>
      </c>
      <c r="O23" s="25" t="s">
        <v>110</v>
      </c>
      <c r="P23" s="28">
        <v>25500</v>
      </c>
      <c r="Q23" s="29"/>
      <c r="R23" s="35" t="s">
        <v>168</v>
      </c>
      <c r="S23" s="36"/>
      <c r="V23" s="37"/>
      <c r="W23" s="32"/>
      <c r="X23" s="37">
        <f>IF(NOTA[[#This Row],[HARGA/ CTN]]="",NOTA[[#This Row],[JUMLAH_H]],NOTA[[#This Row],[HARGA/ CTN]]*IF(NOTA[[#This Row],[C]]="",0,NOTA[[#This Row],[C]]))</f>
        <v>3672000</v>
      </c>
      <c r="Y23" s="37">
        <f>IF(NOTA[[#This Row],[JUMLAH]]="","",NOTA[[#This Row],[JUMLAH]]*NOTA[[#This Row],[DISC 1]])</f>
        <v>0</v>
      </c>
      <c r="Z23" s="37">
        <f>IF(NOTA[[#This Row],[JUMLAH]]="","",(NOTA[[#This Row],[JUMLAH]]-NOTA[[#This Row],[DISC 1-]])*NOTA[[#This Row],[DISC 2]])</f>
        <v>0</v>
      </c>
      <c r="AA23" s="37">
        <f>IF(NOTA[[#This Row],[JUMLAH]]="","",(NOTA[[#This Row],[JUMLAH]]-NOTA[[#This Row],[DISC 1-]]-NOTA[[#This Row],[DISC 2-]])*NOTA[[#This Row],[DISC 3]])</f>
        <v>0</v>
      </c>
      <c r="AB23" s="37">
        <f>IF(NOTA[[#This Row],[JUMLAH]]="","",NOTA[[#This Row],[DISC 1-]]+NOTA[[#This Row],[DISC 2-]]+NOTA[[#This Row],[DISC 3-]])</f>
        <v>0</v>
      </c>
      <c r="AC23" s="37">
        <f>IF(NOTA[[#This Row],[JUMLAH]]="","",NOTA[[#This Row],[JUMLAH]]-NOTA[[#This Row],[DISC]])</f>
        <v>3672000</v>
      </c>
      <c r="AD23" s="37"/>
      <c r="AE2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61482000</v>
      </c>
      <c r="AG23" s="28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H23" s="37">
        <f>IF(OR(NOTA[[#This Row],[QTY]]="",NOTA[[#This Row],[HARGA SATUAN]]="",),"",NOTA[[#This Row],[QTY]]*NOTA[[#This Row],[HARGA SATUAN]])</f>
        <v>3672000</v>
      </c>
      <c r="AI23" s="26">
        <f ca="1">IF(NOTA[[#This Row],[ID_H]]="","",INDEX(NOTA[TANGGAL],MATCH(,INDIRECT(ADDRESS(ROW(NOTA[TANGGAL]),COLUMN(NOTA[TANGGAL]))&amp;":"&amp;ADDRESS(ROW(),COLUMN(NOTA[TANGGAL]))),-1)))</f>
        <v>45440</v>
      </c>
      <c r="AJ23" s="26">
        <f ca="1">IF(NOTA[[#This Row],[ID_H]]="","",INDEX(NOTA[TGL.NOTA],MATCH(,INDIRECT(ADDRESS(ROW(NOTA[TGL.NOTA]),COLUMN(NOTA[TGL.NOTA]))&amp;":"&amp;ADDRESS(ROW(),COLUMN(NOTA[TGL.NOTA]))),-1)))</f>
        <v>45437</v>
      </c>
      <c r="AK23" s="26" t="str">
        <f ca="1">IF(NOTA[[#This Row],[ID_H]]="","",INDEX(NOTA[NO.NOTA],MATCH(NOTA[[#This Row],[ID_H]],NOTA[ID_H],0)))</f>
        <v>JUE605/24</v>
      </c>
      <c r="AL23" s="28" t="str">
        <f ca="1">IF(NOTA[[#This Row],[NAMA BARANG]]="","",INDEX(NOTA[SUPPLIER],MATCH(,INDIRECT(ADDRESS(ROW(NOTA[ID]),COLUMN(NOTA[ID]))&amp;":"&amp;ADDRESS(ROW(),COLUMN(NOTA[ID]))),-1)))</f>
        <v>DB STATIONERY</v>
      </c>
      <c r="AM23" s="28" t="str">
        <f ca="1">IF(NOTA[[#This Row],[ID_H]]="","",IF(NOTA[[#This Row],[FAKTUR]]="",INDIRECT(ADDRESS(ROW()-1,COLUMN())),NOTA[[#This Row],[FAKTUR]]))</f>
        <v>UNTANA</v>
      </c>
      <c r="AN23" s="25" t="str">
        <f ca="1">IF(NOTA[[#This Row],[ID]]="","",COUNTIF(NOTA[ID_H],NOTA[[#This Row],[ID_H]]))</f>
        <v/>
      </c>
      <c r="AO23" s="25">
        <f ca="1">IF(NOTA[[#This Row],[TGL.NOTA]]="",IF(NOTA[[#This Row],[SUPPLIER_H]]="","",AO22),MONTH(NOTA[[#This Row],[TGL.NOTA]]))</f>
        <v>5</v>
      </c>
      <c r="AP23" s="25" t="str">
        <f>LOWER(SUBSTITUTE(SUBSTITUTE(SUBSTITUTE(SUBSTITUTE(SUBSTITUTE(SUBSTITUTE(SUBSTITUTE(SUBSTITUTE(SUBSTITUTE(NOTA[[#This Row],[NAMA BARANG]]," ",),".",""),"-",""),"(",""),")",""),",",""),"/",""),"""",""),"+",""))</f>
        <v>geltechjobtg346b</v>
      </c>
      <c r="AQ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geltechjobtg346b3672000</v>
      </c>
      <c r="AR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geltechjobtg346b3672000</v>
      </c>
      <c r="AS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" s="25" t="s">
        <v>258</v>
      </c>
      <c r="AU23" s="25">
        <f>IF(NOTA[[#This Row],[CONCAT1]]="","",MATCH(NOTA[[#This Row],[CONCAT1]],[3]!db[NB NOTA_C],0))</f>
        <v>1143</v>
      </c>
      <c r="AV23" s="25" t="b">
        <f>IF(NOTA[[#This Row],[QTY/ CTN]]="","",TRUE)</f>
        <v>1</v>
      </c>
      <c r="AW23" s="25" t="str">
        <f ca="1">IF(NOTA[[#This Row],[ID_H]]="","",IF(NOTA[[#This Row],[Column3]]=TRUE,NOTA[[#This Row],[QTY/ CTN]],INDEX([3]!db[QTY/ CTN],NOTA[[#This Row],[//DB]])))</f>
        <v>144 LSN</v>
      </c>
      <c r="AX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geltechjobtg346b144lsnuntana</v>
      </c>
      <c r="AY23" s="25">
        <f ca="1">IF(NOTA[[#This Row],[ID_H]]="","",MATCH(NOTA[[#This Row],[NB NOTA_C_QTY]],[3]!db[NB NOTA_C_QTY+F],0))</f>
        <v>1143</v>
      </c>
      <c r="AZ23" s="38">
        <f ca="1">IF(NOTA[[#This Row],[NB NOTA_C_QTY]]="","",ROW()-2)</f>
        <v>21</v>
      </c>
    </row>
    <row r="24" spans="1:52" ht="20.100000000000001" customHeight="1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5" t="s">
        <v>258</v>
      </c>
      <c r="D24" s="25" t="str">
        <f ca="1">IF(NOTA[[#This Row],[NAMA BARANG]]="","",INDEX(NOTA[ID],MATCH(,INDIRECT(ADDRESS(ROW(NOTA[ID]),COLUMN(NOTA[ID]))&amp;":"&amp;ADDRESS(ROW(),COLUMN(NOTA[ID]))),-1)))</f>
        <v/>
      </c>
      <c r="E24" s="33"/>
      <c r="H24" s="34"/>
      <c r="Q24" s="29"/>
      <c r="R24" s="35"/>
      <c r="S24" s="36"/>
      <c r="V24" s="37"/>
      <c r="W24" s="32"/>
      <c r="X24" s="37" t="str">
        <f>IF(NOTA[[#This Row],[HARGA/ CTN]]="",NOTA[[#This Row],[JUMLAH_H]],NOTA[[#This Row],[HARGA/ CTN]]*IF(NOTA[[#This Row],[C]]="",0,NOTA[[#This Row],[C]]))</f>
        <v/>
      </c>
      <c r="Y24" s="37" t="str">
        <f>IF(NOTA[[#This Row],[JUMLAH]]="","",NOTA[[#This Row],[JUMLAH]]*NOTA[[#This Row],[DISC 1]])</f>
        <v/>
      </c>
      <c r="Z24" s="37" t="str">
        <f>IF(NOTA[[#This Row],[JUMLAH]]="","",(NOTA[[#This Row],[JUMLAH]]-NOTA[[#This Row],[DISC 1-]])*NOTA[[#This Row],[DISC 2]])</f>
        <v/>
      </c>
      <c r="AA24" s="37" t="str">
        <f>IF(NOTA[[#This Row],[JUMLAH]]="","",(NOTA[[#This Row],[JUMLAH]]-NOTA[[#This Row],[DISC 1-]]-NOTA[[#This Row],[DISC 2-]])*NOTA[[#This Row],[DISC 3]])</f>
        <v/>
      </c>
      <c r="AB24" s="37" t="str">
        <f>IF(NOTA[[#This Row],[JUMLAH]]="","",NOTA[[#This Row],[DISC 1-]]+NOTA[[#This Row],[DISC 2-]]+NOTA[[#This Row],[DISC 3-]])</f>
        <v/>
      </c>
      <c r="AC24" s="37" t="str">
        <f>IF(NOTA[[#This Row],[JUMLAH]]="","",NOTA[[#This Row],[JUMLAH]]-NOTA[[#This Row],[DISC]])</f>
        <v/>
      </c>
      <c r="AD24" s="37"/>
      <c r="AE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" s="37" t="str">
        <f>IF(OR(NOTA[[#This Row],[QTY]]="",NOTA[[#This Row],[HARGA SATUAN]]="",),"",NOTA[[#This Row],[QTY]]*NOTA[[#This Row],[HARGA SATUAN]])</f>
        <v/>
      </c>
      <c r="AI24" s="26" t="str">
        <f ca="1">IF(NOTA[[#This Row],[ID_H]]="","",INDEX(NOTA[TANGGAL],MATCH(,INDIRECT(ADDRESS(ROW(NOTA[TANGGAL]),COLUMN(NOTA[TANGGAL]))&amp;":"&amp;ADDRESS(ROW(),COLUMN(NOTA[TANGGAL]))),-1)))</f>
        <v/>
      </c>
      <c r="AJ24" s="26" t="str">
        <f ca="1">IF(NOTA[[#This Row],[ID_H]]="","",INDEX(NOTA[TGL.NOTA],MATCH(,INDIRECT(ADDRESS(ROW(NOTA[TGL.NOTA]),COLUMN(NOTA[TGL.NOTA]))&amp;":"&amp;ADDRESS(ROW(),COLUMN(NOTA[TGL.NOTA]))),-1)))</f>
        <v/>
      </c>
      <c r="AK24" s="26" t="str">
        <f ca="1">IF(NOTA[[#This Row],[ID_H]]="","",INDEX(NOTA[NO.NOTA],MATCH(NOTA[[#This Row],[ID_H]],NOTA[ID_H],0)))</f>
        <v/>
      </c>
      <c r="AL24" s="28" t="str">
        <f ca="1">IF(NOTA[[#This Row],[NAMA BARANG]]="","",INDEX(NOTA[SUPPLIER],MATCH(,INDIRECT(ADDRESS(ROW(NOTA[ID]),COLUMN(NOTA[ID]))&amp;":"&amp;ADDRESS(ROW(),COLUMN(NOTA[ID]))),-1)))</f>
        <v/>
      </c>
      <c r="AM24" s="28" t="str">
        <f ca="1">IF(NOTA[[#This Row],[ID_H]]="","",IF(NOTA[[#This Row],[FAKTUR]]="",INDIRECT(ADDRESS(ROW()-1,COLUMN())),NOTA[[#This Row],[FAKTUR]]))</f>
        <v/>
      </c>
      <c r="AN24" s="25" t="str">
        <f ca="1">IF(NOTA[[#This Row],[ID]]="","",COUNTIF(NOTA[ID_H],NOTA[[#This Row],[ID_H]]))</f>
        <v/>
      </c>
      <c r="AO24" s="25" t="str">
        <f ca="1">IF(NOTA[[#This Row],[TGL.NOTA]]="",IF(NOTA[[#This Row],[SUPPLIER_H]]="","",AO23),MONTH(NOTA[[#This Row],[TGL.NOTA]]))</f>
        <v/>
      </c>
      <c r="AP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" s="25" t="s">
        <v>258</v>
      </c>
      <c r="AU24" s="25" t="str">
        <f>IF(NOTA[[#This Row],[CONCAT1]]="","",MATCH(NOTA[[#This Row],[CONCAT1]],[3]!db[NB NOTA_C],0))</f>
        <v/>
      </c>
      <c r="AV24" s="25" t="str">
        <f>IF(NOTA[[#This Row],[QTY/ CTN]]="","",TRUE)</f>
        <v/>
      </c>
      <c r="AW24" s="25" t="str">
        <f ca="1">IF(NOTA[[#This Row],[ID_H]]="","",IF(NOTA[[#This Row],[Column3]]=TRUE,NOTA[[#This Row],[QTY/ CTN]],INDEX([3]!db[QTY/ CTN],NOTA[[#This Row],[//DB]])))</f>
        <v/>
      </c>
      <c r="AX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" s="25" t="str">
        <f ca="1">IF(NOTA[[#This Row],[ID_H]]="","",MATCH(NOTA[[#This Row],[NB NOTA_C_QTY]],[3]!db[NB NOTA_C_QTY+F],0))</f>
        <v/>
      </c>
      <c r="AZ24" s="38" t="str">
        <f ca="1">IF(NOTA[[#This Row],[NB NOTA_C_QTY]]="","",ROW()-2)</f>
        <v/>
      </c>
    </row>
    <row r="25" spans="1:52" ht="20.100000000000001" customHeight="1">
      <c r="A25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MIR_2905_-2</v>
      </c>
      <c r="C25" s="25" t="e">
        <v>#REF!</v>
      </c>
      <c r="D25" s="25">
        <f ca="1">IF(NOTA[[#This Row],[NAMA BARANG]]="","",INDEX(NOTA[ID],MATCH(,INDIRECT(ADDRESS(ROW(NOTA[ID]),COLUMN(NOTA[ID]))&amp;":"&amp;ADDRESS(ROW(),COLUMN(NOTA[ID]))),-1)))</f>
        <v>5</v>
      </c>
      <c r="E25" s="33">
        <v>45441</v>
      </c>
      <c r="F25" s="25" t="s">
        <v>220</v>
      </c>
      <c r="G25" s="25" t="s">
        <v>109</v>
      </c>
      <c r="H25" s="34"/>
      <c r="J25" s="26">
        <v>45440</v>
      </c>
      <c r="L25" s="25" t="s">
        <v>221</v>
      </c>
      <c r="M25" s="27">
        <v>10</v>
      </c>
      <c r="N25" s="25">
        <v>2350</v>
      </c>
      <c r="O25" s="25" t="s">
        <v>222</v>
      </c>
      <c r="P25" s="28">
        <v>5750</v>
      </c>
      <c r="Q25" s="29"/>
      <c r="R25" s="35" t="s">
        <v>223</v>
      </c>
      <c r="S25" s="36"/>
      <c r="V25" s="37"/>
      <c r="W25" s="32"/>
      <c r="X25" s="37">
        <f>IF(NOTA[[#This Row],[HARGA/ CTN]]="",NOTA[[#This Row],[JUMLAH_H]],NOTA[[#This Row],[HARGA/ CTN]]*IF(NOTA[[#This Row],[C]]="",0,NOTA[[#This Row],[C]]))</f>
        <v>13512500</v>
      </c>
      <c r="Y25" s="37">
        <f>IF(NOTA[[#This Row],[JUMLAH]]="","",NOTA[[#This Row],[JUMLAH]]*NOTA[[#This Row],[DISC 1]])</f>
        <v>0</v>
      </c>
      <c r="Z25" s="37">
        <f>IF(NOTA[[#This Row],[JUMLAH]]="","",(NOTA[[#This Row],[JUMLAH]]-NOTA[[#This Row],[DISC 1-]])*NOTA[[#This Row],[DISC 2]])</f>
        <v>0</v>
      </c>
      <c r="AA25" s="37">
        <f>IF(NOTA[[#This Row],[JUMLAH]]="","",(NOTA[[#This Row],[JUMLAH]]-NOTA[[#This Row],[DISC 1-]]-NOTA[[#This Row],[DISC 2-]])*NOTA[[#This Row],[DISC 3]])</f>
        <v>0</v>
      </c>
      <c r="AB25" s="37">
        <f>IF(NOTA[[#This Row],[JUMLAH]]="","",NOTA[[#This Row],[DISC 1-]]+NOTA[[#This Row],[DISC 2-]]+NOTA[[#This Row],[DISC 3-]])</f>
        <v>0</v>
      </c>
      <c r="AC25" s="37">
        <f>IF(NOTA[[#This Row],[JUMLAH]]="","",NOTA[[#This Row],[JUMLAH]]-NOTA[[#This Row],[DISC]])</f>
        <v>13512500</v>
      </c>
      <c r="AD25" s="37"/>
      <c r="AE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" s="28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H25" s="37">
        <f>IF(OR(NOTA[[#This Row],[QTY]]="",NOTA[[#This Row],[HARGA SATUAN]]="",),"",NOTA[[#This Row],[QTY]]*NOTA[[#This Row],[HARGA SATUAN]])</f>
        <v>13512500</v>
      </c>
      <c r="AI25" s="26">
        <f ca="1">IF(NOTA[[#This Row],[ID_H]]="","",INDEX(NOTA[TANGGAL],MATCH(,INDIRECT(ADDRESS(ROW(NOTA[TANGGAL]),COLUMN(NOTA[TANGGAL]))&amp;":"&amp;ADDRESS(ROW(),COLUMN(NOTA[TANGGAL]))),-1)))</f>
        <v>45441</v>
      </c>
      <c r="AJ25" s="26">
        <f ca="1">IF(NOTA[[#This Row],[ID_H]]="","",INDEX(NOTA[TGL.NOTA],MATCH(,INDIRECT(ADDRESS(ROW(NOTA[TGL.NOTA]),COLUMN(NOTA[TGL.NOTA]))&amp;":"&amp;ADDRESS(ROW(),COLUMN(NOTA[TGL.NOTA]))),-1)))</f>
        <v>45440</v>
      </c>
      <c r="AK25" s="26">
        <f ca="1">IF(NOTA[[#This Row],[ID_H]]="","",INDEX(NOTA[NO.NOTA],MATCH(NOTA[[#This Row],[ID_H]],NOTA[ID_H],0)))</f>
        <v>0</v>
      </c>
      <c r="AL25" s="28" t="str">
        <f ca="1">IF(NOTA[[#This Row],[NAMA BARANG]]="","",INDEX(NOTA[SUPPLIER],MATCH(,INDIRECT(ADDRESS(ROW(NOTA[ID]),COLUMN(NOTA[ID]))&amp;":"&amp;ADDRESS(ROW(),COLUMN(NOTA[ID]))),-1)))</f>
        <v>MIRACLE ABADI</v>
      </c>
      <c r="AM25" s="28" t="str">
        <f ca="1">IF(NOTA[[#This Row],[ID_H]]="","",IF(NOTA[[#This Row],[FAKTUR]]="",INDIRECT(ADDRESS(ROW()-1,COLUMN())),NOTA[[#This Row],[FAKTUR]]))</f>
        <v>UNTANA</v>
      </c>
      <c r="AN25" s="25">
        <f ca="1">IF(NOTA[[#This Row],[ID]]="","",COUNTIF(NOTA[ID_H],NOTA[[#This Row],[ID_H]]))</f>
        <v>2</v>
      </c>
      <c r="AO25" s="25">
        <f>IF(NOTA[[#This Row],[TGL.NOTA]]="",IF(NOTA[[#This Row],[SUPPLIER_H]]="","",AO24),MONTH(NOTA[[#This Row],[TGL.NOTA]]))</f>
        <v>5</v>
      </c>
      <c r="AP25" s="25" t="str">
        <f>LOWER(SUBSTITUTE(SUBSTITUTE(SUBSTITUTE(SUBSTITUTE(SUBSTITUTE(SUBSTITUTE(SUBSTITUTE(SUBSTITUTE(SUBSTITUTE(NOTA[[#This Row],[NAMA BARANG]]," ",),".",""),"-",""),"(",""),")",""),",",""),"/",""),"""",""),"+",""))</f>
        <v>kertascrepesmalljersy</v>
      </c>
      <c r="AQ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kertascrepesmalljersy1351250</v>
      </c>
      <c r="AR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kertascrepesmalljersy1351250</v>
      </c>
      <c r="AS25" s="25" t="str">
        <f>IF(NOTA[[#This Row],[SUPPLIER]]="","",NOTA[[#This Row],[SUPPLIER]]&amp;NOTA[[#This Row],[FAKTUR]]&amp;NOTA[[#This Row],[NO.NOTA]]&amp;NOTA[[#This Row],[NO.SJ]]&amp;NOTA[[#This Row],[TGL.NOTA]]&amp;NOTA[[#This Row],[CONCAT1]])</f>
        <v>MIRACLE ABADIUNTANA45440kertascrepesmalljersy</v>
      </c>
      <c r="AT25" s="25" t="e">
        <v>#REF!</v>
      </c>
      <c r="AU25" s="25">
        <f>IF(NOTA[[#This Row],[CONCAT1]]="","",MATCH(NOTA[[#This Row],[CONCAT1]],[3]!db[NB NOTA_C],0))</f>
        <v>1882</v>
      </c>
      <c r="AV25" s="25" t="b">
        <f>IF(NOTA[[#This Row],[QTY/ CTN]]="","",TRUE)</f>
        <v>1</v>
      </c>
      <c r="AW25" s="25" t="str">
        <f ca="1">IF(NOTA[[#This Row],[ID_H]]="","",IF(NOTA[[#This Row],[Column3]]=TRUE,NOTA[[#This Row],[QTY/ CTN]],INDEX([3]!db[QTY/ CTN],NOTA[[#This Row],[//DB]])))</f>
        <v>235 PAK</v>
      </c>
      <c r="AX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kertascrepesmalljersy235pakuntana</v>
      </c>
      <c r="AY25" s="25">
        <f ca="1">IF(NOTA[[#This Row],[ID_H]]="","",MATCH(NOTA[[#This Row],[NB NOTA_C_QTY]],[3]!db[NB NOTA_C_QTY+F],0))</f>
        <v>1882</v>
      </c>
      <c r="AZ25" s="38">
        <f ca="1">IF(NOTA[[#This Row],[NB NOTA_C_QTY]]="","",ROW()-2)</f>
        <v>23</v>
      </c>
    </row>
    <row r="26" spans="1:52" ht="20.100000000000001" customHeight="1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5" t="s">
        <v>258</v>
      </c>
      <c r="D26" s="25">
        <f ca="1">IF(NOTA[[#This Row],[NAMA BARANG]]="","",INDEX(NOTA[ID],MATCH(,INDIRECT(ADDRESS(ROW(NOTA[ID]),COLUMN(NOTA[ID]))&amp;":"&amp;ADDRESS(ROW(),COLUMN(NOTA[ID]))),-1)))</f>
        <v>5</v>
      </c>
      <c r="E26" s="33"/>
      <c r="H26" s="34"/>
      <c r="L26" s="25" t="s">
        <v>224</v>
      </c>
      <c r="M26" s="27">
        <v>6</v>
      </c>
      <c r="N26" s="25">
        <v>1410</v>
      </c>
      <c r="O26" s="25" t="s">
        <v>222</v>
      </c>
      <c r="P26" s="28">
        <v>5750</v>
      </c>
      <c r="Q26" s="29"/>
      <c r="R26" s="35" t="s">
        <v>223</v>
      </c>
      <c r="S26" s="36"/>
      <c r="V26" s="37"/>
      <c r="W26" s="32"/>
      <c r="X26" s="37">
        <f>IF(NOTA[[#This Row],[HARGA/ CTN]]="",NOTA[[#This Row],[JUMLAH_H]],NOTA[[#This Row],[HARGA/ CTN]]*IF(NOTA[[#This Row],[C]]="",0,NOTA[[#This Row],[C]]))</f>
        <v>8107500</v>
      </c>
      <c r="Y26" s="37">
        <f>IF(NOTA[[#This Row],[JUMLAH]]="","",NOTA[[#This Row],[JUMLAH]]*NOTA[[#This Row],[DISC 1]])</f>
        <v>0</v>
      </c>
      <c r="Z26" s="37">
        <f>IF(NOTA[[#This Row],[JUMLAH]]="","",(NOTA[[#This Row],[JUMLAH]]-NOTA[[#This Row],[DISC 1-]])*NOTA[[#This Row],[DISC 2]])</f>
        <v>0</v>
      </c>
      <c r="AA26" s="37">
        <f>IF(NOTA[[#This Row],[JUMLAH]]="","",(NOTA[[#This Row],[JUMLAH]]-NOTA[[#This Row],[DISC 1-]]-NOTA[[#This Row],[DISC 2-]])*NOTA[[#This Row],[DISC 3]])</f>
        <v>0</v>
      </c>
      <c r="AB26" s="37">
        <f>IF(NOTA[[#This Row],[JUMLAH]]="","",NOTA[[#This Row],[DISC 1-]]+NOTA[[#This Row],[DISC 2-]]+NOTA[[#This Row],[DISC 3-]])</f>
        <v>0</v>
      </c>
      <c r="AC26" s="37">
        <f>IF(NOTA[[#This Row],[JUMLAH]]="","",NOTA[[#This Row],[JUMLAH]]-NOTA[[#This Row],[DISC]])</f>
        <v>8107500</v>
      </c>
      <c r="AD26" s="37"/>
      <c r="AE2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21620000</v>
      </c>
      <c r="AG26" s="28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H26" s="37">
        <f>IF(OR(NOTA[[#This Row],[QTY]]="",NOTA[[#This Row],[HARGA SATUAN]]="",),"",NOTA[[#This Row],[QTY]]*NOTA[[#This Row],[HARGA SATUAN]])</f>
        <v>8107500</v>
      </c>
      <c r="AI26" s="26">
        <f ca="1">IF(NOTA[[#This Row],[ID_H]]="","",INDEX(NOTA[TANGGAL],MATCH(,INDIRECT(ADDRESS(ROW(NOTA[TANGGAL]),COLUMN(NOTA[TANGGAL]))&amp;":"&amp;ADDRESS(ROW(),COLUMN(NOTA[TANGGAL]))),-1)))</f>
        <v>45441</v>
      </c>
      <c r="AJ26" s="26">
        <f ca="1">IF(NOTA[[#This Row],[ID_H]]="","",INDEX(NOTA[TGL.NOTA],MATCH(,INDIRECT(ADDRESS(ROW(NOTA[TGL.NOTA]),COLUMN(NOTA[TGL.NOTA]))&amp;":"&amp;ADDRESS(ROW(),COLUMN(NOTA[TGL.NOTA]))),-1)))</f>
        <v>45440</v>
      </c>
      <c r="AK26" s="26">
        <f ca="1">IF(NOTA[[#This Row],[ID_H]]="","",INDEX(NOTA[NO.NOTA],MATCH(NOTA[[#This Row],[ID_H]],NOTA[ID_H],0)))</f>
        <v>0</v>
      </c>
      <c r="AL26" s="28" t="str">
        <f ca="1">IF(NOTA[[#This Row],[NAMA BARANG]]="","",INDEX(NOTA[SUPPLIER],MATCH(,INDIRECT(ADDRESS(ROW(NOTA[ID]),COLUMN(NOTA[ID]))&amp;":"&amp;ADDRESS(ROW(),COLUMN(NOTA[ID]))),-1)))</f>
        <v>MIRACLE ABADI</v>
      </c>
      <c r="AM26" s="28" t="str">
        <f ca="1">IF(NOTA[[#This Row],[ID_H]]="","",IF(NOTA[[#This Row],[FAKTUR]]="",INDIRECT(ADDRESS(ROW()-1,COLUMN())),NOTA[[#This Row],[FAKTUR]]))</f>
        <v>UNTANA</v>
      </c>
      <c r="AN26" s="25" t="str">
        <f ca="1">IF(NOTA[[#This Row],[ID]]="","",COUNTIF(NOTA[ID_H],NOTA[[#This Row],[ID_H]]))</f>
        <v/>
      </c>
      <c r="AO26" s="25">
        <f ca="1">IF(NOTA[[#This Row],[TGL.NOTA]]="",IF(NOTA[[#This Row],[SUPPLIER_H]]="","",AO25),MONTH(NOTA[[#This Row],[TGL.NOTA]]))</f>
        <v>5</v>
      </c>
      <c r="AP26" s="25" t="str">
        <f>LOWER(SUBSTITUTE(SUBSTITUTE(SUBSTITUTE(SUBSTITUTE(SUBSTITUTE(SUBSTITUTE(SUBSTITUTE(SUBSTITUTE(SUBSTITUTE(NOTA[[#This Row],[NAMA BARANG]]," ",),".",""),"-",""),"(",""),")",""),",",""),"/",""),"""",""),"+",""))</f>
        <v>kertascrepesmalljersymp</v>
      </c>
      <c r="AQ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kertascrepesmalljersymp1351250</v>
      </c>
      <c r="AR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kertascrepesmalljersymp1351250</v>
      </c>
      <c r="AS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" s="25" t="s">
        <v>258</v>
      </c>
      <c r="AU26" s="25">
        <f>IF(NOTA[[#This Row],[CONCAT1]]="","",MATCH(NOTA[[#This Row],[CONCAT1]],[3]!db[NB NOTA_C],0))</f>
        <v>1883</v>
      </c>
      <c r="AV26" s="25" t="b">
        <f>IF(NOTA[[#This Row],[QTY/ CTN]]="","",TRUE)</f>
        <v>1</v>
      </c>
      <c r="AW26" s="25" t="str">
        <f ca="1">IF(NOTA[[#This Row],[ID_H]]="","",IF(NOTA[[#This Row],[Column3]]=TRUE,NOTA[[#This Row],[QTY/ CTN]],INDEX([3]!db[QTY/ CTN],NOTA[[#This Row],[//DB]])))</f>
        <v>235 PAK</v>
      </c>
      <c r="AX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kertascrepesmalljersymp235pakuntana</v>
      </c>
      <c r="AY26" s="25">
        <f ca="1">IF(NOTA[[#This Row],[ID_H]]="","",MATCH(NOTA[[#This Row],[NB NOTA_C_QTY]],[3]!db[NB NOTA_C_QTY+F],0))</f>
        <v>1883</v>
      </c>
      <c r="AZ26" s="38">
        <f ca="1">IF(NOTA[[#This Row],[NB NOTA_C_QTY]]="","",ROW()-2)</f>
        <v>24</v>
      </c>
    </row>
    <row r="27" spans="1:52" ht="20.100000000000001" customHeight="1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5" t="s">
        <v>258</v>
      </c>
      <c r="D27" s="25" t="str">
        <f ca="1">IF(NOTA[[#This Row],[NAMA BARANG]]="","",INDEX(NOTA[ID],MATCH(,INDIRECT(ADDRESS(ROW(NOTA[ID]),COLUMN(NOTA[ID]))&amp;":"&amp;ADDRESS(ROW(),COLUMN(NOTA[ID]))),-1)))</f>
        <v/>
      </c>
      <c r="E27" s="33"/>
      <c r="H27" s="34"/>
      <c r="Q27" s="29"/>
      <c r="R27" s="35"/>
      <c r="S27" s="36"/>
      <c r="V27" s="37"/>
      <c r="W27" s="32"/>
      <c r="X27" s="37" t="str">
        <f>IF(NOTA[[#This Row],[HARGA/ CTN]]="",NOTA[[#This Row],[JUMLAH_H]],NOTA[[#This Row],[HARGA/ CTN]]*IF(NOTA[[#This Row],[C]]="",0,NOTA[[#This Row],[C]]))</f>
        <v/>
      </c>
      <c r="Y27" s="37" t="str">
        <f>IF(NOTA[[#This Row],[JUMLAH]]="","",NOTA[[#This Row],[JUMLAH]]*NOTA[[#This Row],[DISC 1]])</f>
        <v/>
      </c>
      <c r="Z27" s="37" t="str">
        <f>IF(NOTA[[#This Row],[JUMLAH]]="","",(NOTA[[#This Row],[JUMLAH]]-NOTA[[#This Row],[DISC 1-]])*NOTA[[#This Row],[DISC 2]])</f>
        <v/>
      </c>
      <c r="AA27" s="37" t="str">
        <f>IF(NOTA[[#This Row],[JUMLAH]]="","",(NOTA[[#This Row],[JUMLAH]]-NOTA[[#This Row],[DISC 1-]]-NOTA[[#This Row],[DISC 2-]])*NOTA[[#This Row],[DISC 3]])</f>
        <v/>
      </c>
      <c r="AB27" s="37" t="str">
        <f>IF(NOTA[[#This Row],[JUMLAH]]="","",NOTA[[#This Row],[DISC 1-]]+NOTA[[#This Row],[DISC 2-]]+NOTA[[#This Row],[DISC 3-]])</f>
        <v/>
      </c>
      <c r="AC27" s="37" t="str">
        <f>IF(NOTA[[#This Row],[JUMLAH]]="","",NOTA[[#This Row],[JUMLAH]]-NOTA[[#This Row],[DISC]])</f>
        <v/>
      </c>
      <c r="AD27" s="37"/>
      <c r="AE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" s="37" t="str">
        <f>IF(OR(NOTA[[#This Row],[QTY]]="",NOTA[[#This Row],[HARGA SATUAN]]="",),"",NOTA[[#This Row],[QTY]]*NOTA[[#This Row],[HARGA SATUAN]])</f>
        <v/>
      </c>
      <c r="AI27" s="26" t="str">
        <f ca="1">IF(NOTA[[#This Row],[ID_H]]="","",INDEX(NOTA[TANGGAL],MATCH(,INDIRECT(ADDRESS(ROW(NOTA[TANGGAL]),COLUMN(NOTA[TANGGAL]))&amp;":"&amp;ADDRESS(ROW(),COLUMN(NOTA[TANGGAL]))),-1)))</f>
        <v/>
      </c>
      <c r="AJ27" s="26" t="str">
        <f ca="1">IF(NOTA[[#This Row],[ID_H]]="","",INDEX(NOTA[TGL.NOTA],MATCH(,INDIRECT(ADDRESS(ROW(NOTA[TGL.NOTA]),COLUMN(NOTA[TGL.NOTA]))&amp;":"&amp;ADDRESS(ROW(),COLUMN(NOTA[TGL.NOTA]))),-1)))</f>
        <v/>
      </c>
      <c r="AK27" s="26" t="str">
        <f ca="1">IF(NOTA[[#This Row],[ID_H]]="","",INDEX(NOTA[NO.NOTA],MATCH(NOTA[[#This Row],[ID_H]],NOTA[ID_H],0)))</f>
        <v/>
      </c>
      <c r="AL27" s="28" t="str">
        <f ca="1">IF(NOTA[[#This Row],[NAMA BARANG]]="","",INDEX(NOTA[SUPPLIER],MATCH(,INDIRECT(ADDRESS(ROW(NOTA[ID]),COLUMN(NOTA[ID]))&amp;":"&amp;ADDRESS(ROW(),COLUMN(NOTA[ID]))),-1)))</f>
        <v/>
      </c>
      <c r="AM27" s="28" t="str">
        <f ca="1">IF(NOTA[[#This Row],[ID_H]]="","",IF(NOTA[[#This Row],[FAKTUR]]="",INDIRECT(ADDRESS(ROW()-1,COLUMN())),NOTA[[#This Row],[FAKTUR]]))</f>
        <v/>
      </c>
      <c r="AN27" s="25" t="str">
        <f ca="1">IF(NOTA[[#This Row],[ID]]="","",COUNTIF(NOTA[ID_H],NOTA[[#This Row],[ID_H]]))</f>
        <v/>
      </c>
      <c r="AO27" s="25" t="str">
        <f ca="1">IF(NOTA[[#This Row],[TGL.NOTA]]="",IF(NOTA[[#This Row],[SUPPLIER_H]]="","",AO26),MONTH(NOTA[[#This Row],[TGL.NOTA]]))</f>
        <v/>
      </c>
      <c r="AP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" s="25" t="s">
        <v>258</v>
      </c>
      <c r="AU27" s="25" t="str">
        <f>IF(NOTA[[#This Row],[CONCAT1]]="","",MATCH(NOTA[[#This Row],[CONCAT1]],[3]!db[NB NOTA_C],0))</f>
        <v/>
      </c>
      <c r="AV27" s="25" t="str">
        <f>IF(NOTA[[#This Row],[QTY/ CTN]]="","",TRUE)</f>
        <v/>
      </c>
      <c r="AW27" s="25" t="str">
        <f ca="1">IF(NOTA[[#This Row],[ID_H]]="","",IF(NOTA[[#This Row],[Column3]]=TRUE,NOTA[[#This Row],[QTY/ CTN]],INDEX([3]!db[QTY/ CTN],NOTA[[#This Row],[//DB]])))</f>
        <v/>
      </c>
      <c r="AX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" s="25" t="str">
        <f ca="1">IF(NOTA[[#This Row],[ID_H]]="","",MATCH(NOTA[[#This Row],[NB NOTA_C_QTY]],[3]!db[NB NOTA_C_QTY+F],0))</f>
        <v/>
      </c>
      <c r="AZ27" s="38" t="str">
        <f ca="1">IF(NOTA[[#This Row],[NB NOTA_C_QTY]]="","",ROW()-2)</f>
        <v/>
      </c>
    </row>
    <row r="28" spans="1:52" ht="19.5" customHeight="1">
      <c r="A28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2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SBS_2705_5B1-2</v>
      </c>
      <c r="C28" s="25" t="e">
        <v>#REF!</v>
      </c>
      <c r="D28" s="25">
        <f ca="1">IF(NOTA[[#This Row],[NAMA BARANG]]="","",INDEX(NOTA[ID],MATCH(,INDIRECT(ADDRESS(ROW(NOTA[ID]),COLUMN(NOTA[ID]))&amp;":"&amp;ADDRESS(ROW(),COLUMN(NOTA[ID]))),-1)))</f>
        <v>6</v>
      </c>
      <c r="E28" s="33">
        <v>45439</v>
      </c>
      <c r="F28" s="25" t="s">
        <v>186</v>
      </c>
      <c r="G28" s="25" t="s">
        <v>109</v>
      </c>
      <c r="H28" s="34" t="s">
        <v>228</v>
      </c>
      <c r="J28" s="26">
        <v>45434</v>
      </c>
      <c r="L28" s="61" t="s">
        <v>225</v>
      </c>
      <c r="M28" s="27">
        <v>5</v>
      </c>
      <c r="N28" s="25">
        <v>480</v>
      </c>
      <c r="O28" s="25" t="s">
        <v>111</v>
      </c>
      <c r="P28" s="28">
        <v>15200</v>
      </c>
      <c r="Q28" s="29"/>
      <c r="R28" s="35" t="s">
        <v>196</v>
      </c>
      <c r="S28" s="36"/>
      <c r="V28" s="37"/>
      <c r="W28" s="32"/>
      <c r="X28" s="37">
        <f>IF(NOTA[[#This Row],[HARGA/ CTN]]="",NOTA[[#This Row],[JUMLAH_H]],NOTA[[#This Row],[HARGA/ CTN]]*IF(NOTA[[#This Row],[C]]="",0,NOTA[[#This Row],[C]]))</f>
        <v>7296000</v>
      </c>
      <c r="Y28" s="37">
        <f>IF(NOTA[[#This Row],[JUMLAH]]="","",NOTA[[#This Row],[JUMLAH]]*NOTA[[#This Row],[DISC 1]])</f>
        <v>0</v>
      </c>
      <c r="Z28" s="37">
        <f>IF(NOTA[[#This Row],[JUMLAH]]="","",(NOTA[[#This Row],[JUMLAH]]-NOTA[[#This Row],[DISC 1-]])*NOTA[[#This Row],[DISC 2]])</f>
        <v>0</v>
      </c>
      <c r="AA28" s="37">
        <f>IF(NOTA[[#This Row],[JUMLAH]]="","",(NOTA[[#This Row],[JUMLAH]]-NOTA[[#This Row],[DISC 1-]]-NOTA[[#This Row],[DISC 2-]])*NOTA[[#This Row],[DISC 3]])</f>
        <v>0</v>
      </c>
      <c r="AB28" s="37">
        <f>IF(NOTA[[#This Row],[JUMLAH]]="","",NOTA[[#This Row],[DISC 1-]]+NOTA[[#This Row],[DISC 2-]]+NOTA[[#This Row],[DISC 3-]])</f>
        <v>0</v>
      </c>
      <c r="AC28" s="37">
        <f>IF(NOTA[[#This Row],[JUMLAH]]="","",NOTA[[#This Row],[JUMLAH]]-NOTA[[#This Row],[DISC]])</f>
        <v>7296000</v>
      </c>
      <c r="AD28" s="37"/>
      <c r="AE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" s="28">
        <f>IF(NOTA[[#This Row],[NAMA BARANG]]="","",IF(NOTA[[#This Row],[JUMLAH_H]]="",NOTA[[#This Row],[HARGA/ CTN]],NOTA[[#This Row],[QTY]]*NOTA[[#This Row],[HARGA SATUAN]]/IF(ISNUMBER(NOTA[[#This Row],[C]]),NOTA[[#This Row],[C]],1)))</f>
        <v>1459200</v>
      </c>
      <c r="AH28" s="37">
        <f>IF(OR(NOTA[[#This Row],[QTY]]="",NOTA[[#This Row],[HARGA SATUAN]]="",),"",NOTA[[#This Row],[QTY]]*NOTA[[#This Row],[HARGA SATUAN]])</f>
        <v>7296000</v>
      </c>
      <c r="AI28" s="26">
        <f ca="1">IF(NOTA[[#This Row],[ID_H]]="","",INDEX(NOTA[TANGGAL],MATCH(,INDIRECT(ADDRESS(ROW(NOTA[TANGGAL]),COLUMN(NOTA[TANGGAL]))&amp;":"&amp;ADDRESS(ROW(),COLUMN(NOTA[TANGGAL]))),-1)))</f>
        <v>45439</v>
      </c>
      <c r="AJ28" s="26">
        <f ca="1">IF(NOTA[[#This Row],[ID_H]]="","",INDEX(NOTA[TGL.NOTA],MATCH(,INDIRECT(ADDRESS(ROW(NOTA[TGL.NOTA]),COLUMN(NOTA[TGL.NOTA]))&amp;":"&amp;ADDRESS(ROW(),COLUMN(NOTA[TGL.NOTA]))),-1)))</f>
        <v>45434</v>
      </c>
      <c r="AK28" s="26" t="str">
        <f ca="1">IF(NOTA[[#This Row],[ID_H]]="","",INDEX(NOTA[NO.NOTA],MATCH(NOTA[[#This Row],[ID_H]],NOTA[ID_H],0)))</f>
        <v>WE0535B1</v>
      </c>
      <c r="AL28" s="28" t="str">
        <f ca="1">IF(NOTA[[#This Row],[NAMA BARANG]]="","",INDEX(NOTA[SUPPLIER],MATCH(,INDIRECT(ADDRESS(ROW(NOTA[ID]),COLUMN(NOTA[ID]))&amp;":"&amp;ADDRESS(ROW(),COLUMN(NOTA[ID]))),-1)))</f>
        <v>SBS</v>
      </c>
      <c r="AM28" s="28" t="str">
        <f ca="1">IF(NOTA[[#This Row],[ID_H]]="","",IF(NOTA[[#This Row],[FAKTUR]]="",INDIRECT(ADDRESS(ROW()-1,COLUMN())),NOTA[[#This Row],[FAKTUR]]))</f>
        <v>UNTANA</v>
      </c>
      <c r="AN28" s="25">
        <f ca="1">IF(NOTA[[#This Row],[ID]]="","",COUNTIF(NOTA[ID_H],NOTA[[#This Row],[ID_H]]))</f>
        <v>2</v>
      </c>
      <c r="AO28" s="25">
        <f>IF(NOTA[[#This Row],[TGL.NOTA]]="",IF(NOTA[[#This Row],[SUPPLIER_H]]="","",AO27),MONTH(NOTA[[#This Row],[TGL.NOTA]]))</f>
        <v>5</v>
      </c>
      <c r="AP28" s="25" t="str">
        <f>LOWER(SUBSTITUTE(SUBSTITUTE(SUBSTITUTE(SUBSTITUTE(SUBSTITUTE(SUBSTITUTE(SUBSTITUTE(SUBSTITUTE(SUBSTITUTE(NOTA[[#This Row],[NAMA BARANG]]," ",),".",""),"-",""),"(",""),")",""),",",""),"/",""),"""",""),"+",""))</f>
        <v>whiteboardxgpolos2s20x30</v>
      </c>
      <c r="AQ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whiteboardxgpolos2s20x301459200</v>
      </c>
      <c r="AR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whiteboardxgpolos2s20x301459200</v>
      </c>
      <c r="AS28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SBSUNTANAWE0535B145434whiteboardxgpolos2s20x30</v>
      </c>
      <c r="AT28" s="25" t="e">
        <v>#REF!</v>
      </c>
      <c r="AU28" s="25">
        <f>IF(NOTA[[#This Row],[CONCAT1]]="","",MATCH(NOTA[[#This Row],[CONCAT1]],[3]!db[NB NOTA_C],0))</f>
        <v>3169</v>
      </c>
      <c r="AV28" s="25" t="b">
        <f>IF(NOTA[[#This Row],[QTY/ CTN]]="","",TRUE)</f>
        <v>1</v>
      </c>
      <c r="AW28" s="25" t="str">
        <f ca="1">IF(NOTA[[#This Row],[ID_H]]="","",IF(NOTA[[#This Row],[Column3]]=TRUE,NOTA[[#This Row],[QTY/ CTN]],INDEX([3]!db[QTY/ CTN],NOTA[[#This Row],[//DB]])))</f>
        <v>96 PCS</v>
      </c>
      <c r="AX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whiteboardxgpolos2s20x3096pcsuntana</v>
      </c>
      <c r="AY28" s="25">
        <f ca="1">IF(NOTA[[#This Row],[ID_H]]="","",MATCH(NOTA[[#This Row],[NB NOTA_C_QTY]],[3]!db[NB NOTA_C_QTY+F],0))</f>
        <v>3169</v>
      </c>
      <c r="AZ28" s="38">
        <f ca="1">IF(NOTA[[#This Row],[NB NOTA_C_QTY]]="","",ROW()-2)</f>
        <v>26</v>
      </c>
    </row>
    <row r="29" spans="1:52" ht="20.100000000000001" customHeight="1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5" t="s">
        <v>258</v>
      </c>
      <c r="D29" s="25">
        <f ca="1">IF(NOTA[[#This Row],[NAMA BARANG]]="","",INDEX(NOTA[ID],MATCH(,INDIRECT(ADDRESS(ROW(NOTA[ID]),COLUMN(NOTA[ID]))&amp;":"&amp;ADDRESS(ROW(),COLUMN(NOTA[ID]))),-1)))</f>
        <v>6</v>
      </c>
      <c r="E29" s="33"/>
      <c r="H29" s="34"/>
      <c r="L29" s="61" t="s">
        <v>226</v>
      </c>
      <c r="M29" s="27">
        <v>5</v>
      </c>
      <c r="N29" s="25">
        <v>360</v>
      </c>
      <c r="O29" s="25" t="s">
        <v>111</v>
      </c>
      <c r="P29" s="28">
        <v>19000</v>
      </c>
      <c r="Q29" s="29"/>
      <c r="R29" s="35" t="s">
        <v>194</v>
      </c>
      <c r="S29" s="36"/>
      <c r="V29" s="37"/>
      <c r="W29" s="32"/>
      <c r="X29" s="37">
        <f>IF(NOTA[[#This Row],[HARGA/ CTN]]="",NOTA[[#This Row],[JUMLAH_H]],NOTA[[#This Row],[HARGA/ CTN]]*IF(NOTA[[#This Row],[C]]="",0,NOTA[[#This Row],[C]]))</f>
        <v>6840000</v>
      </c>
      <c r="Y29" s="37">
        <f>IF(NOTA[[#This Row],[JUMLAH]]="","",NOTA[[#This Row],[JUMLAH]]*NOTA[[#This Row],[DISC 1]])</f>
        <v>0</v>
      </c>
      <c r="Z29" s="37">
        <f>IF(NOTA[[#This Row],[JUMLAH]]="","",(NOTA[[#This Row],[JUMLAH]]-NOTA[[#This Row],[DISC 1-]])*NOTA[[#This Row],[DISC 2]])</f>
        <v>0</v>
      </c>
      <c r="AA29" s="37">
        <f>IF(NOTA[[#This Row],[JUMLAH]]="","",(NOTA[[#This Row],[JUMLAH]]-NOTA[[#This Row],[DISC 1-]]-NOTA[[#This Row],[DISC 2-]])*NOTA[[#This Row],[DISC 3]])</f>
        <v>0</v>
      </c>
      <c r="AB29" s="37">
        <f>IF(NOTA[[#This Row],[JUMLAH]]="","",NOTA[[#This Row],[DISC 1-]]+NOTA[[#This Row],[DISC 2-]]+NOTA[[#This Row],[DISC 3-]])</f>
        <v>0</v>
      </c>
      <c r="AC29" s="37">
        <f>IF(NOTA[[#This Row],[JUMLAH]]="","",NOTA[[#This Row],[JUMLAH]]-NOTA[[#This Row],[DISC]])</f>
        <v>6840000</v>
      </c>
      <c r="AD29" s="37"/>
      <c r="AE2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14136000</v>
      </c>
      <c r="AG29" s="28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H29" s="37">
        <f>IF(OR(NOTA[[#This Row],[QTY]]="",NOTA[[#This Row],[HARGA SATUAN]]="",),"",NOTA[[#This Row],[QTY]]*NOTA[[#This Row],[HARGA SATUAN]])</f>
        <v>6840000</v>
      </c>
      <c r="AI29" s="26">
        <f ca="1">IF(NOTA[[#This Row],[ID_H]]="","",INDEX(NOTA[TANGGAL],MATCH(,INDIRECT(ADDRESS(ROW(NOTA[TANGGAL]),COLUMN(NOTA[TANGGAL]))&amp;":"&amp;ADDRESS(ROW(),COLUMN(NOTA[TANGGAL]))),-1)))</f>
        <v>45439</v>
      </c>
      <c r="AJ29" s="26">
        <f ca="1">IF(NOTA[[#This Row],[ID_H]]="","",INDEX(NOTA[TGL.NOTA],MATCH(,INDIRECT(ADDRESS(ROW(NOTA[TGL.NOTA]),COLUMN(NOTA[TGL.NOTA]))&amp;":"&amp;ADDRESS(ROW(),COLUMN(NOTA[TGL.NOTA]))),-1)))</f>
        <v>45434</v>
      </c>
      <c r="AK29" s="26" t="str">
        <f ca="1">IF(NOTA[[#This Row],[ID_H]]="","",INDEX(NOTA[NO.NOTA],MATCH(NOTA[[#This Row],[ID_H]],NOTA[ID_H],0)))</f>
        <v>WE0535B1</v>
      </c>
      <c r="AL29" s="28" t="str">
        <f ca="1">IF(NOTA[[#This Row],[NAMA BARANG]]="","",INDEX(NOTA[SUPPLIER],MATCH(,INDIRECT(ADDRESS(ROW(NOTA[ID]),COLUMN(NOTA[ID]))&amp;":"&amp;ADDRESS(ROW(),COLUMN(NOTA[ID]))),-1)))</f>
        <v>SBS</v>
      </c>
      <c r="AM29" s="28" t="str">
        <f ca="1">IF(NOTA[[#This Row],[ID_H]]="","",IF(NOTA[[#This Row],[FAKTUR]]="",INDIRECT(ADDRESS(ROW()-1,COLUMN())),NOTA[[#This Row],[FAKTUR]]))</f>
        <v>UNTANA</v>
      </c>
      <c r="AN29" s="25" t="str">
        <f ca="1">IF(NOTA[[#This Row],[ID]]="","",COUNTIF(NOTA[ID_H],NOTA[[#This Row],[ID_H]]))</f>
        <v/>
      </c>
      <c r="AO29" s="25">
        <f ca="1">IF(NOTA[[#This Row],[TGL.NOTA]]="",IF(NOTA[[#This Row],[SUPPLIER_H]]="","",AO28),MONTH(NOTA[[#This Row],[TGL.NOTA]]))</f>
        <v>5</v>
      </c>
      <c r="AP29" s="25" t="str">
        <f>LOWER(SUBSTITUTE(SUBSTITUTE(SUBSTITUTE(SUBSTITUTE(SUBSTITUTE(SUBSTITUTE(SUBSTITUTE(SUBSTITUTE(SUBSTITUTE(NOTA[[#This Row],[NAMA BARANG]]," ",),".",""),"-",""),"(",""),")",""),",",""),"/",""),"""",""),"+",""))</f>
        <v>whiteboardxgpolos2s25x35</v>
      </c>
      <c r="AQ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whiteboardxgpolos2s25x351368000</v>
      </c>
      <c r="AR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whiteboardxgpolos2s25x351368000</v>
      </c>
      <c r="AS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" s="25" t="s">
        <v>258</v>
      </c>
      <c r="AU29" s="25">
        <f>IF(NOTA[[#This Row],[CONCAT1]]="","",MATCH(NOTA[[#This Row],[CONCAT1]],[3]!db[NB NOTA_C],0))</f>
        <v>3170</v>
      </c>
      <c r="AV29" s="25" t="b">
        <f>IF(NOTA[[#This Row],[QTY/ CTN]]="","",TRUE)</f>
        <v>1</v>
      </c>
      <c r="AW29" s="25" t="str">
        <f ca="1">IF(NOTA[[#This Row],[ID_H]]="","",IF(NOTA[[#This Row],[Column3]]=TRUE,NOTA[[#This Row],[QTY/ CTN]],INDEX([3]!db[QTY/ CTN],NOTA[[#This Row],[//DB]])))</f>
        <v>72 PCS</v>
      </c>
      <c r="AX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whiteboardxgpolos2s25x3572pcsuntana</v>
      </c>
      <c r="AY29" s="25">
        <f ca="1">IF(NOTA[[#This Row],[ID_H]]="","",MATCH(NOTA[[#This Row],[NB NOTA_C_QTY]],[3]!db[NB NOTA_C_QTY+F],0))</f>
        <v>3170</v>
      </c>
      <c r="AZ29" s="38">
        <f ca="1">IF(NOTA[[#This Row],[NB NOTA_C_QTY]]="","",ROW()-2)</f>
        <v>27</v>
      </c>
    </row>
    <row r="30" spans="1:52" ht="20.100000000000001" customHeight="1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5" t="s">
        <v>258</v>
      </c>
      <c r="D30" s="25" t="str">
        <f ca="1">IF(NOTA[[#This Row],[NAMA BARANG]]="","",INDEX(NOTA[ID],MATCH(,INDIRECT(ADDRESS(ROW(NOTA[ID]),COLUMN(NOTA[ID]))&amp;":"&amp;ADDRESS(ROW(),COLUMN(NOTA[ID]))),-1)))</f>
        <v/>
      </c>
      <c r="E30" s="33"/>
      <c r="H30" s="34"/>
      <c r="Q30" s="29"/>
      <c r="R30" s="35"/>
      <c r="S30" s="36"/>
      <c r="V30" s="37"/>
      <c r="W30" s="32"/>
      <c r="X30" s="37" t="str">
        <f>IF(NOTA[[#This Row],[HARGA/ CTN]]="",NOTA[[#This Row],[JUMLAH_H]],NOTA[[#This Row],[HARGA/ CTN]]*IF(NOTA[[#This Row],[C]]="",0,NOTA[[#This Row],[C]]))</f>
        <v/>
      </c>
      <c r="Y30" s="37" t="str">
        <f>IF(NOTA[[#This Row],[JUMLAH]]="","",NOTA[[#This Row],[JUMLAH]]*NOTA[[#This Row],[DISC 1]])</f>
        <v/>
      </c>
      <c r="Z30" s="37" t="str">
        <f>IF(NOTA[[#This Row],[JUMLAH]]="","",(NOTA[[#This Row],[JUMLAH]]-NOTA[[#This Row],[DISC 1-]])*NOTA[[#This Row],[DISC 2]])</f>
        <v/>
      </c>
      <c r="AA30" s="37" t="str">
        <f>IF(NOTA[[#This Row],[JUMLAH]]="","",(NOTA[[#This Row],[JUMLAH]]-NOTA[[#This Row],[DISC 1-]]-NOTA[[#This Row],[DISC 2-]])*NOTA[[#This Row],[DISC 3]])</f>
        <v/>
      </c>
      <c r="AB30" s="37" t="str">
        <f>IF(NOTA[[#This Row],[JUMLAH]]="","",NOTA[[#This Row],[DISC 1-]]+NOTA[[#This Row],[DISC 2-]]+NOTA[[#This Row],[DISC 3-]])</f>
        <v/>
      </c>
      <c r="AC30" s="37" t="str">
        <f>IF(NOTA[[#This Row],[JUMLAH]]="","",NOTA[[#This Row],[JUMLAH]]-NOTA[[#This Row],[DISC]])</f>
        <v/>
      </c>
      <c r="AD30" s="37"/>
      <c r="AE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" s="37" t="str">
        <f>IF(OR(NOTA[[#This Row],[QTY]]="",NOTA[[#This Row],[HARGA SATUAN]]="",),"",NOTA[[#This Row],[QTY]]*NOTA[[#This Row],[HARGA SATUAN]])</f>
        <v/>
      </c>
      <c r="AI30" s="26" t="str">
        <f ca="1">IF(NOTA[[#This Row],[ID_H]]="","",INDEX(NOTA[TANGGAL],MATCH(,INDIRECT(ADDRESS(ROW(NOTA[TANGGAL]),COLUMN(NOTA[TANGGAL]))&amp;":"&amp;ADDRESS(ROW(),COLUMN(NOTA[TANGGAL]))),-1)))</f>
        <v/>
      </c>
      <c r="AJ30" s="26" t="str">
        <f ca="1">IF(NOTA[[#This Row],[ID_H]]="","",INDEX(NOTA[TGL.NOTA],MATCH(,INDIRECT(ADDRESS(ROW(NOTA[TGL.NOTA]),COLUMN(NOTA[TGL.NOTA]))&amp;":"&amp;ADDRESS(ROW(),COLUMN(NOTA[TGL.NOTA]))),-1)))</f>
        <v/>
      </c>
      <c r="AK30" s="26" t="str">
        <f ca="1">IF(NOTA[[#This Row],[ID_H]]="","",INDEX(NOTA[NO.NOTA],MATCH(NOTA[[#This Row],[ID_H]],NOTA[ID_H],0)))</f>
        <v/>
      </c>
      <c r="AL30" s="28" t="str">
        <f ca="1">IF(NOTA[[#This Row],[NAMA BARANG]]="","",INDEX(NOTA[SUPPLIER],MATCH(,INDIRECT(ADDRESS(ROW(NOTA[ID]),COLUMN(NOTA[ID]))&amp;":"&amp;ADDRESS(ROW(),COLUMN(NOTA[ID]))),-1)))</f>
        <v/>
      </c>
      <c r="AM30" s="28" t="str">
        <f ca="1">IF(NOTA[[#This Row],[ID_H]]="","",IF(NOTA[[#This Row],[FAKTUR]]="",INDIRECT(ADDRESS(ROW()-1,COLUMN())),NOTA[[#This Row],[FAKTUR]]))</f>
        <v/>
      </c>
      <c r="AN30" s="25" t="str">
        <f ca="1">IF(NOTA[[#This Row],[ID]]="","",COUNTIF(NOTA[ID_H],NOTA[[#This Row],[ID_H]]))</f>
        <v/>
      </c>
      <c r="AO30" s="25" t="str">
        <f ca="1">IF(NOTA[[#This Row],[TGL.NOTA]]="",IF(NOTA[[#This Row],[SUPPLIER_H]]="","",AO29),MONTH(NOTA[[#This Row],[TGL.NOTA]]))</f>
        <v/>
      </c>
      <c r="AP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" s="25" t="s">
        <v>258</v>
      </c>
      <c r="AU30" s="25" t="str">
        <f>IF(NOTA[[#This Row],[CONCAT1]]="","",MATCH(NOTA[[#This Row],[CONCAT1]],[3]!db[NB NOTA_C],0))</f>
        <v/>
      </c>
      <c r="AV30" s="25" t="str">
        <f>IF(NOTA[[#This Row],[QTY/ CTN]]="","",TRUE)</f>
        <v/>
      </c>
      <c r="AW30" s="25" t="str">
        <f ca="1">IF(NOTA[[#This Row],[ID_H]]="","",IF(NOTA[[#This Row],[Column3]]=TRUE,NOTA[[#This Row],[QTY/ CTN]],INDEX([3]!db[QTY/ CTN],NOTA[[#This Row],[//DB]])))</f>
        <v/>
      </c>
      <c r="AX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" s="25" t="str">
        <f ca="1">IF(NOTA[[#This Row],[ID_H]]="","",MATCH(NOTA[[#This Row],[NB NOTA_C_QTY]],[3]!db[NB NOTA_C_QTY+F],0))</f>
        <v/>
      </c>
      <c r="AZ30" s="38" t="str">
        <f ca="1">IF(NOTA[[#This Row],[NB NOTA_C_QTY]]="","",ROW()-2)</f>
        <v/>
      </c>
    </row>
    <row r="31" spans="1:52" ht="20.100000000000001" customHeight="1">
      <c r="A31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3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SBS_2705_90B-6</v>
      </c>
      <c r="C31" s="25" t="e">
        <v>#REF!</v>
      </c>
      <c r="D31" s="25">
        <f ca="1">IF(NOTA[[#This Row],[NAMA BARANG]]="","",INDEX(NOTA[ID],MATCH(,INDIRECT(ADDRESS(ROW(NOTA[ID]),COLUMN(NOTA[ID]))&amp;":"&amp;ADDRESS(ROW(),COLUMN(NOTA[ID]))),-1)))</f>
        <v>7</v>
      </c>
      <c r="E31" s="33"/>
      <c r="F31" s="25" t="s">
        <v>186</v>
      </c>
      <c r="G31" s="25" t="s">
        <v>109</v>
      </c>
      <c r="H31" s="34" t="s">
        <v>227</v>
      </c>
      <c r="J31" s="26">
        <v>45436</v>
      </c>
      <c r="L31" s="25" t="s">
        <v>229</v>
      </c>
      <c r="M31" s="27">
        <v>2</v>
      </c>
      <c r="N31" s="25">
        <v>240</v>
      </c>
      <c r="O31" s="25" t="s">
        <v>111</v>
      </c>
      <c r="P31" s="28">
        <v>9500</v>
      </c>
      <c r="Q31" s="29"/>
      <c r="R31" s="35" t="s">
        <v>199</v>
      </c>
      <c r="S31" s="36"/>
      <c r="V31" s="37"/>
      <c r="W31" s="32"/>
      <c r="X31" s="37">
        <f>IF(NOTA[[#This Row],[HARGA/ CTN]]="",NOTA[[#This Row],[JUMLAH_H]],NOTA[[#This Row],[HARGA/ CTN]]*IF(NOTA[[#This Row],[C]]="",0,NOTA[[#This Row],[C]]))</f>
        <v>2280000</v>
      </c>
      <c r="Y31" s="37">
        <f>IF(NOTA[[#This Row],[JUMLAH]]="","",NOTA[[#This Row],[JUMLAH]]*NOTA[[#This Row],[DISC 1]])</f>
        <v>0</v>
      </c>
      <c r="Z31" s="37">
        <f>IF(NOTA[[#This Row],[JUMLAH]]="","",(NOTA[[#This Row],[JUMLAH]]-NOTA[[#This Row],[DISC 1-]])*NOTA[[#This Row],[DISC 2]])</f>
        <v>0</v>
      </c>
      <c r="AA31" s="37">
        <f>IF(NOTA[[#This Row],[JUMLAH]]="","",(NOTA[[#This Row],[JUMLAH]]-NOTA[[#This Row],[DISC 1-]]-NOTA[[#This Row],[DISC 2-]])*NOTA[[#This Row],[DISC 3]])</f>
        <v>0</v>
      </c>
      <c r="AB31" s="37">
        <f>IF(NOTA[[#This Row],[JUMLAH]]="","",NOTA[[#This Row],[DISC 1-]]+NOTA[[#This Row],[DISC 2-]]+NOTA[[#This Row],[DISC 3-]])</f>
        <v>0</v>
      </c>
      <c r="AC31" s="37">
        <f>IF(NOTA[[#This Row],[JUMLAH]]="","",NOTA[[#This Row],[JUMLAH]]-NOTA[[#This Row],[DISC]])</f>
        <v>2280000</v>
      </c>
      <c r="AD31" s="37"/>
      <c r="AE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31" s="37">
        <f>IF(OR(NOTA[[#This Row],[QTY]]="",NOTA[[#This Row],[HARGA SATUAN]]="",),"",NOTA[[#This Row],[QTY]]*NOTA[[#This Row],[HARGA SATUAN]])</f>
        <v>2280000</v>
      </c>
      <c r="AI31" s="26">
        <f ca="1">IF(NOTA[[#This Row],[ID_H]]="","",INDEX(NOTA[TANGGAL],MATCH(,INDIRECT(ADDRESS(ROW(NOTA[TANGGAL]),COLUMN(NOTA[TANGGAL]))&amp;":"&amp;ADDRESS(ROW(),COLUMN(NOTA[TANGGAL]))),-1)))</f>
        <v>45439</v>
      </c>
      <c r="AJ31" s="26">
        <f ca="1">IF(NOTA[[#This Row],[ID_H]]="","",INDEX(NOTA[TGL.NOTA],MATCH(,INDIRECT(ADDRESS(ROW(NOTA[TGL.NOTA]),COLUMN(NOTA[TGL.NOTA]))&amp;":"&amp;ADDRESS(ROW(),COLUMN(NOTA[TGL.NOTA]))),-1)))</f>
        <v>45436</v>
      </c>
      <c r="AK31" s="26" t="str">
        <f ca="1">IF(NOTA[[#This Row],[ID_H]]="","",INDEX(NOTA[NO.NOTA],MATCH(NOTA[[#This Row],[ID_H]],NOTA[ID_H],0)))</f>
        <v>WE0590B</v>
      </c>
      <c r="AL31" s="28" t="str">
        <f ca="1">IF(NOTA[[#This Row],[NAMA BARANG]]="","",INDEX(NOTA[SUPPLIER],MATCH(,INDIRECT(ADDRESS(ROW(NOTA[ID]),COLUMN(NOTA[ID]))&amp;":"&amp;ADDRESS(ROW(),COLUMN(NOTA[ID]))),-1)))</f>
        <v>SBS</v>
      </c>
      <c r="AM31" s="28" t="str">
        <f ca="1">IF(NOTA[[#This Row],[ID_H]]="","",IF(NOTA[[#This Row],[FAKTUR]]="",INDIRECT(ADDRESS(ROW()-1,COLUMN())),NOTA[[#This Row],[FAKTUR]]))</f>
        <v>UNTANA</v>
      </c>
      <c r="AN31" s="25">
        <f ca="1">IF(NOTA[[#This Row],[ID]]="","",COUNTIF(NOTA[ID_H],NOTA[[#This Row],[ID_H]]))</f>
        <v>6</v>
      </c>
      <c r="AO31" s="25">
        <f>IF(NOTA[[#This Row],[TGL.NOTA]]="",IF(NOTA[[#This Row],[SUPPLIER_H]]="","",AO30),MONTH(NOTA[[#This Row],[TGL.NOTA]]))</f>
        <v>5</v>
      </c>
      <c r="AP31" s="25" t="str">
        <f>LOWER(SUBSTITUTE(SUBSTITUTE(SUBSTITUTE(SUBSTITUTE(SUBSTITUTE(SUBSTITUTE(SUBSTITUTE(SUBSTITUTE(SUBSTITUTE(NOTA[[#This Row],[NAMA BARANG]]," ",),".",""),"-",""),"(",""),")",""),",",""),"/",""),"""",""),"+",""))</f>
        <v>bindernotefancyslipa51903ctvintage</v>
      </c>
      <c r="AQ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bindernotefancyslipa51903ctvintage1140000</v>
      </c>
      <c r="AR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bindernotefancyslipa51903ctvintage1140000</v>
      </c>
      <c r="AS31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SBSUNTANAWE0590B45436bindernotefancyslipa51903ctvintage</v>
      </c>
      <c r="AT31" s="25" t="e">
        <v>#REF!</v>
      </c>
      <c r="AU31" s="25">
        <f>IF(NOTA[[#This Row],[CONCAT1]]="","",MATCH(NOTA[[#This Row],[CONCAT1]],[3]!db[NB NOTA_C],0))</f>
        <v>3406</v>
      </c>
      <c r="AV31" s="25" t="b">
        <f>IF(NOTA[[#This Row],[QTY/ CTN]]="","",TRUE)</f>
        <v>1</v>
      </c>
      <c r="AW31" s="25" t="str">
        <f ca="1">IF(NOTA[[#This Row],[ID_H]]="","",IF(NOTA[[#This Row],[Column3]]=TRUE,NOTA[[#This Row],[QTY/ CTN]],INDEX([3]!db[QTY/ CTN],NOTA[[#This Row],[//DB]])))</f>
        <v>120 PCS</v>
      </c>
      <c r="AX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bindernotefancyslipa51903ctvintage120pcsuntana</v>
      </c>
      <c r="AY31" s="25">
        <f ca="1">IF(NOTA[[#This Row],[ID_H]]="","",MATCH(NOTA[[#This Row],[NB NOTA_C_QTY]],[3]!db[NB NOTA_C_QTY+F],0))</f>
        <v>3406</v>
      </c>
      <c r="AZ31" s="38">
        <f ca="1">IF(NOTA[[#This Row],[NB NOTA_C_QTY]]="","",ROW()-2)</f>
        <v>29</v>
      </c>
    </row>
    <row r="32" spans="1:52" ht="20.100000000000001" customHeight="1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5" t="s">
        <v>258</v>
      </c>
      <c r="D32" s="25">
        <f ca="1">IF(NOTA[[#This Row],[NAMA BARANG]]="","",INDEX(NOTA[ID],MATCH(,INDIRECT(ADDRESS(ROW(NOTA[ID]),COLUMN(NOTA[ID]))&amp;":"&amp;ADDRESS(ROW(),COLUMN(NOTA[ID]))),-1)))</f>
        <v>7</v>
      </c>
      <c r="E32" s="33"/>
      <c r="H32" s="34"/>
      <c r="L32" s="25" t="s">
        <v>230</v>
      </c>
      <c r="M32" s="27">
        <v>2</v>
      </c>
      <c r="N32" s="25">
        <v>240</v>
      </c>
      <c r="O32" s="25" t="s">
        <v>111</v>
      </c>
      <c r="P32" s="28">
        <v>9500</v>
      </c>
      <c r="Q32" s="29"/>
      <c r="R32" s="35" t="s">
        <v>199</v>
      </c>
      <c r="S32" s="36"/>
      <c r="V32" s="37"/>
      <c r="W32" s="32"/>
      <c r="X32" s="37">
        <f>IF(NOTA[[#This Row],[HARGA/ CTN]]="",NOTA[[#This Row],[JUMLAH_H]],NOTA[[#This Row],[HARGA/ CTN]]*IF(NOTA[[#This Row],[C]]="",0,NOTA[[#This Row],[C]]))</f>
        <v>2280000</v>
      </c>
      <c r="Y32" s="37">
        <f>IF(NOTA[[#This Row],[JUMLAH]]="","",NOTA[[#This Row],[JUMLAH]]*NOTA[[#This Row],[DISC 1]])</f>
        <v>0</v>
      </c>
      <c r="Z32" s="37">
        <f>IF(NOTA[[#This Row],[JUMLAH]]="","",(NOTA[[#This Row],[JUMLAH]]-NOTA[[#This Row],[DISC 1-]])*NOTA[[#This Row],[DISC 2]])</f>
        <v>0</v>
      </c>
      <c r="AA32" s="37">
        <f>IF(NOTA[[#This Row],[JUMLAH]]="","",(NOTA[[#This Row],[JUMLAH]]-NOTA[[#This Row],[DISC 1-]]-NOTA[[#This Row],[DISC 2-]])*NOTA[[#This Row],[DISC 3]])</f>
        <v>0</v>
      </c>
      <c r="AB32" s="37">
        <f>IF(NOTA[[#This Row],[JUMLAH]]="","",NOTA[[#This Row],[DISC 1-]]+NOTA[[#This Row],[DISC 2-]]+NOTA[[#This Row],[DISC 3-]])</f>
        <v>0</v>
      </c>
      <c r="AC32" s="37">
        <f>IF(NOTA[[#This Row],[JUMLAH]]="","",NOTA[[#This Row],[JUMLAH]]-NOTA[[#This Row],[DISC]])</f>
        <v>2280000</v>
      </c>
      <c r="AD32" s="37"/>
      <c r="AE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32" s="37">
        <f>IF(OR(NOTA[[#This Row],[QTY]]="",NOTA[[#This Row],[HARGA SATUAN]]="",),"",NOTA[[#This Row],[QTY]]*NOTA[[#This Row],[HARGA SATUAN]])</f>
        <v>2280000</v>
      </c>
      <c r="AI32" s="26">
        <f ca="1">IF(NOTA[[#This Row],[ID_H]]="","",INDEX(NOTA[TANGGAL],MATCH(,INDIRECT(ADDRESS(ROW(NOTA[TANGGAL]),COLUMN(NOTA[TANGGAL]))&amp;":"&amp;ADDRESS(ROW(),COLUMN(NOTA[TANGGAL]))),-1)))</f>
        <v>45439</v>
      </c>
      <c r="AJ32" s="26">
        <f ca="1">IF(NOTA[[#This Row],[ID_H]]="","",INDEX(NOTA[TGL.NOTA],MATCH(,INDIRECT(ADDRESS(ROW(NOTA[TGL.NOTA]),COLUMN(NOTA[TGL.NOTA]))&amp;":"&amp;ADDRESS(ROW(),COLUMN(NOTA[TGL.NOTA]))),-1)))</f>
        <v>45436</v>
      </c>
      <c r="AK32" s="26" t="str">
        <f ca="1">IF(NOTA[[#This Row],[ID_H]]="","",INDEX(NOTA[NO.NOTA],MATCH(NOTA[[#This Row],[ID_H]],NOTA[ID_H],0)))</f>
        <v>WE0590B</v>
      </c>
      <c r="AL32" s="28" t="str">
        <f ca="1">IF(NOTA[[#This Row],[NAMA BARANG]]="","",INDEX(NOTA[SUPPLIER],MATCH(,INDIRECT(ADDRESS(ROW(NOTA[ID]),COLUMN(NOTA[ID]))&amp;":"&amp;ADDRESS(ROW(),COLUMN(NOTA[ID]))),-1)))</f>
        <v>SBS</v>
      </c>
      <c r="AM32" s="28" t="str">
        <f ca="1">IF(NOTA[[#This Row],[ID_H]]="","",IF(NOTA[[#This Row],[FAKTUR]]="",INDIRECT(ADDRESS(ROW()-1,COLUMN())),NOTA[[#This Row],[FAKTUR]]))</f>
        <v>UNTANA</v>
      </c>
      <c r="AN32" s="25" t="str">
        <f ca="1">IF(NOTA[[#This Row],[ID]]="","",COUNTIF(NOTA[ID_H],NOTA[[#This Row],[ID_H]]))</f>
        <v/>
      </c>
      <c r="AO32" s="25">
        <f ca="1">IF(NOTA[[#This Row],[TGL.NOTA]]="",IF(NOTA[[#This Row],[SUPPLIER_H]]="","",AO31),MONTH(NOTA[[#This Row],[TGL.NOTA]]))</f>
        <v>5</v>
      </c>
      <c r="AP32" s="25" t="str">
        <f>LOWER(SUBSTITUTE(SUBSTITUTE(SUBSTITUTE(SUBSTITUTE(SUBSTITUTE(SUBSTITUTE(SUBSTITUTE(SUBSTITUTE(SUBSTITUTE(NOTA[[#This Row],[NAMA BARANG]]," ",),".",""),"-",""),"(",""),")",""),",",""),"/",""),"""",""),"+",""))</f>
        <v>bindernotefancyslipa519030coldcity</v>
      </c>
      <c r="AQ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bindernotefancyslipa519030coldcity1140000</v>
      </c>
      <c r="AR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bindernotefancyslipa519030coldcity1140000</v>
      </c>
      <c r="AS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" s="25" t="s">
        <v>258</v>
      </c>
      <c r="AU32" s="25">
        <f>IF(NOTA[[#This Row],[CONCAT1]]="","",MATCH(NOTA[[#This Row],[CONCAT1]],[3]!db[NB NOTA_C],0))</f>
        <v>3407</v>
      </c>
      <c r="AV32" s="25" t="b">
        <f>IF(NOTA[[#This Row],[QTY/ CTN]]="","",TRUE)</f>
        <v>1</v>
      </c>
      <c r="AW32" s="25" t="str">
        <f ca="1">IF(NOTA[[#This Row],[ID_H]]="","",IF(NOTA[[#This Row],[Column3]]=TRUE,NOTA[[#This Row],[QTY/ CTN]],INDEX([3]!db[QTY/ CTN],NOTA[[#This Row],[//DB]])))</f>
        <v>120 PCS</v>
      </c>
      <c r="AX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bindernotefancyslipa519030coldcity120pcsuntana</v>
      </c>
      <c r="AY32" s="25">
        <f ca="1">IF(NOTA[[#This Row],[ID_H]]="","",MATCH(NOTA[[#This Row],[NB NOTA_C_QTY]],[3]!db[NB NOTA_C_QTY+F],0))</f>
        <v>3407</v>
      </c>
      <c r="AZ32" s="38">
        <f ca="1">IF(NOTA[[#This Row],[NB NOTA_C_QTY]]="","",ROW()-2)</f>
        <v>30</v>
      </c>
    </row>
    <row r="33" spans="1:52" ht="20.100000000000001" customHeight="1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5" t="s">
        <v>258</v>
      </c>
      <c r="D33" s="25">
        <f ca="1">IF(NOTA[[#This Row],[NAMA BARANG]]="","",INDEX(NOTA[ID],MATCH(,INDIRECT(ADDRESS(ROW(NOTA[ID]),COLUMN(NOTA[ID]))&amp;":"&amp;ADDRESS(ROW(),COLUMN(NOTA[ID]))),-1)))</f>
        <v>7</v>
      </c>
      <c r="E33" s="33"/>
      <c r="H33" s="34"/>
      <c r="L33" s="25" t="s">
        <v>231</v>
      </c>
      <c r="M33" s="27">
        <v>2</v>
      </c>
      <c r="N33" s="25">
        <v>240</v>
      </c>
      <c r="O33" s="25" t="s">
        <v>111</v>
      </c>
      <c r="P33" s="28">
        <v>9500</v>
      </c>
      <c r="Q33" s="29"/>
      <c r="R33" s="35" t="s">
        <v>199</v>
      </c>
      <c r="S33" s="36"/>
      <c r="V33" s="37"/>
      <c r="W33" s="32"/>
      <c r="X33" s="37">
        <f>IF(NOTA[[#This Row],[HARGA/ CTN]]="",NOTA[[#This Row],[JUMLAH_H]],NOTA[[#This Row],[HARGA/ CTN]]*IF(NOTA[[#This Row],[C]]="",0,NOTA[[#This Row],[C]]))</f>
        <v>2280000</v>
      </c>
      <c r="Y33" s="37">
        <f>IF(NOTA[[#This Row],[JUMLAH]]="","",NOTA[[#This Row],[JUMLAH]]*NOTA[[#This Row],[DISC 1]])</f>
        <v>0</v>
      </c>
      <c r="Z33" s="37">
        <f>IF(NOTA[[#This Row],[JUMLAH]]="","",(NOTA[[#This Row],[JUMLAH]]-NOTA[[#This Row],[DISC 1-]])*NOTA[[#This Row],[DISC 2]])</f>
        <v>0</v>
      </c>
      <c r="AA33" s="37">
        <f>IF(NOTA[[#This Row],[JUMLAH]]="","",(NOTA[[#This Row],[JUMLAH]]-NOTA[[#This Row],[DISC 1-]]-NOTA[[#This Row],[DISC 2-]])*NOTA[[#This Row],[DISC 3]])</f>
        <v>0</v>
      </c>
      <c r="AB33" s="37">
        <f>IF(NOTA[[#This Row],[JUMLAH]]="","",NOTA[[#This Row],[DISC 1-]]+NOTA[[#This Row],[DISC 2-]]+NOTA[[#This Row],[DISC 3-]])</f>
        <v>0</v>
      </c>
      <c r="AC33" s="37">
        <f>IF(NOTA[[#This Row],[JUMLAH]]="","",NOTA[[#This Row],[JUMLAH]]-NOTA[[#This Row],[DISC]])</f>
        <v>2280000</v>
      </c>
      <c r="AD33" s="37"/>
      <c r="AE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33" s="37">
        <f>IF(OR(NOTA[[#This Row],[QTY]]="",NOTA[[#This Row],[HARGA SATUAN]]="",),"",NOTA[[#This Row],[QTY]]*NOTA[[#This Row],[HARGA SATUAN]])</f>
        <v>2280000</v>
      </c>
      <c r="AI33" s="26">
        <f ca="1">IF(NOTA[[#This Row],[ID_H]]="","",INDEX(NOTA[TANGGAL],MATCH(,INDIRECT(ADDRESS(ROW(NOTA[TANGGAL]),COLUMN(NOTA[TANGGAL]))&amp;":"&amp;ADDRESS(ROW(),COLUMN(NOTA[TANGGAL]))),-1)))</f>
        <v>45439</v>
      </c>
      <c r="AJ33" s="26">
        <f ca="1">IF(NOTA[[#This Row],[ID_H]]="","",INDEX(NOTA[TGL.NOTA],MATCH(,INDIRECT(ADDRESS(ROW(NOTA[TGL.NOTA]),COLUMN(NOTA[TGL.NOTA]))&amp;":"&amp;ADDRESS(ROW(),COLUMN(NOTA[TGL.NOTA]))),-1)))</f>
        <v>45436</v>
      </c>
      <c r="AK33" s="26" t="str">
        <f ca="1">IF(NOTA[[#This Row],[ID_H]]="","",INDEX(NOTA[NO.NOTA],MATCH(NOTA[[#This Row],[ID_H]],NOTA[ID_H],0)))</f>
        <v>WE0590B</v>
      </c>
      <c r="AL33" s="28" t="str">
        <f ca="1">IF(NOTA[[#This Row],[NAMA BARANG]]="","",INDEX(NOTA[SUPPLIER],MATCH(,INDIRECT(ADDRESS(ROW(NOTA[ID]),COLUMN(NOTA[ID]))&amp;":"&amp;ADDRESS(ROW(),COLUMN(NOTA[ID]))),-1)))</f>
        <v>SBS</v>
      </c>
      <c r="AM33" s="28" t="str">
        <f ca="1">IF(NOTA[[#This Row],[ID_H]]="","",IF(NOTA[[#This Row],[FAKTUR]]="",INDIRECT(ADDRESS(ROW()-1,COLUMN())),NOTA[[#This Row],[FAKTUR]]))</f>
        <v>UNTANA</v>
      </c>
      <c r="AN33" s="25" t="str">
        <f ca="1">IF(NOTA[[#This Row],[ID]]="","",COUNTIF(NOTA[ID_H],NOTA[[#This Row],[ID_H]]))</f>
        <v/>
      </c>
      <c r="AO33" s="25">
        <f ca="1">IF(NOTA[[#This Row],[TGL.NOTA]]="",IF(NOTA[[#This Row],[SUPPLIER_H]]="","",AO32),MONTH(NOTA[[#This Row],[TGL.NOTA]]))</f>
        <v>5</v>
      </c>
      <c r="AP33" s="25" t="str">
        <f>LOWER(SUBSTITUTE(SUBSTITUTE(SUBSTITUTE(SUBSTITUTE(SUBSTITUTE(SUBSTITUTE(SUBSTITUTE(SUBSTITUTE(SUBSTITUTE(NOTA[[#This Row],[NAMA BARANG]]," ",),".",""),"-",""),"(",""),")",""),",",""),"/",""),"""",""),"+",""))</f>
        <v>bindernotefancyslipa51903sssky</v>
      </c>
      <c r="AQ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bindernotefancyslipa51903sssky1140000</v>
      </c>
      <c r="AR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bindernotefancyslipa51903sssky1140000</v>
      </c>
      <c r="AS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" s="25" t="s">
        <v>258</v>
      </c>
      <c r="AU33" s="25">
        <f>IF(NOTA[[#This Row],[CONCAT1]]="","",MATCH(NOTA[[#This Row],[CONCAT1]],[3]!db[NB NOTA_C],0))</f>
        <v>3408</v>
      </c>
      <c r="AV33" s="25" t="b">
        <f>IF(NOTA[[#This Row],[QTY/ CTN]]="","",TRUE)</f>
        <v>1</v>
      </c>
      <c r="AW33" s="25" t="str">
        <f ca="1">IF(NOTA[[#This Row],[ID_H]]="","",IF(NOTA[[#This Row],[Column3]]=TRUE,NOTA[[#This Row],[QTY/ CTN]],INDEX([3]!db[QTY/ CTN],NOTA[[#This Row],[//DB]])))</f>
        <v>120 PCS</v>
      </c>
      <c r="AX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bindernotefancyslipa51903sssky120pcsuntana</v>
      </c>
      <c r="AY33" s="25">
        <f ca="1">IF(NOTA[[#This Row],[ID_H]]="","",MATCH(NOTA[[#This Row],[NB NOTA_C_QTY]],[3]!db[NB NOTA_C_QTY+F],0))</f>
        <v>3408</v>
      </c>
      <c r="AZ33" s="38">
        <f ca="1">IF(NOTA[[#This Row],[NB NOTA_C_QTY]]="","",ROW()-2)</f>
        <v>31</v>
      </c>
    </row>
    <row r="34" spans="1:52" ht="20.100000000000001" customHeight="1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5" t="s">
        <v>258</v>
      </c>
      <c r="D34" s="25">
        <f ca="1">IF(NOTA[[#This Row],[NAMA BARANG]]="","",INDEX(NOTA[ID],MATCH(,INDIRECT(ADDRESS(ROW(NOTA[ID]),COLUMN(NOTA[ID]))&amp;":"&amp;ADDRESS(ROW(),COLUMN(NOTA[ID]))),-1)))</f>
        <v>7</v>
      </c>
      <c r="E34" s="33"/>
      <c r="H34" s="34"/>
      <c r="L34" s="25" t="s">
        <v>233</v>
      </c>
      <c r="M34" s="27">
        <v>2</v>
      </c>
      <c r="N34" s="25">
        <v>240</v>
      </c>
      <c r="O34" s="25" t="s">
        <v>111</v>
      </c>
      <c r="P34" s="28">
        <v>9500</v>
      </c>
      <c r="Q34" s="29"/>
      <c r="R34" s="35" t="s">
        <v>199</v>
      </c>
      <c r="S34" s="36"/>
      <c r="V34" s="37"/>
      <c r="W34" s="32"/>
      <c r="X34" s="37">
        <f>IF(NOTA[[#This Row],[HARGA/ CTN]]="",NOTA[[#This Row],[JUMLAH_H]],NOTA[[#This Row],[HARGA/ CTN]]*IF(NOTA[[#This Row],[C]]="",0,NOTA[[#This Row],[C]]))</f>
        <v>2280000</v>
      </c>
      <c r="Y34" s="37">
        <f>IF(NOTA[[#This Row],[JUMLAH]]="","",NOTA[[#This Row],[JUMLAH]]*NOTA[[#This Row],[DISC 1]])</f>
        <v>0</v>
      </c>
      <c r="Z34" s="37">
        <f>IF(NOTA[[#This Row],[JUMLAH]]="","",(NOTA[[#This Row],[JUMLAH]]-NOTA[[#This Row],[DISC 1-]])*NOTA[[#This Row],[DISC 2]])</f>
        <v>0</v>
      </c>
      <c r="AA34" s="37">
        <f>IF(NOTA[[#This Row],[JUMLAH]]="","",(NOTA[[#This Row],[JUMLAH]]-NOTA[[#This Row],[DISC 1-]]-NOTA[[#This Row],[DISC 2-]])*NOTA[[#This Row],[DISC 3]])</f>
        <v>0</v>
      </c>
      <c r="AB34" s="37">
        <f>IF(NOTA[[#This Row],[JUMLAH]]="","",NOTA[[#This Row],[DISC 1-]]+NOTA[[#This Row],[DISC 2-]]+NOTA[[#This Row],[DISC 3-]])</f>
        <v>0</v>
      </c>
      <c r="AC34" s="37">
        <f>IF(NOTA[[#This Row],[JUMLAH]]="","",NOTA[[#This Row],[JUMLAH]]-NOTA[[#This Row],[DISC]])</f>
        <v>2280000</v>
      </c>
      <c r="AD34" s="37"/>
      <c r="AE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34" s="37">
        <f>IF(OR(NOTA[[#This Row],[QTY]]="",NOTA[[#This Row],[HARGA SATUAN]]="",),"",NOTA[[#This Row],[QTY]]*NOTA[[#This Row],[HARGA SATUAN]])</f>
        <v>2280000</v>
      </c>
      <c r="AI34" s="26">
        <f ca="1">IF(NOTA[[#This Row],[ID_H]]="","",INDEX(NOTA[TANGGAL],MATCH(,INDIRECT(ADDRESS(ROW(NOTA[TANGGAL]),COLUMN(NOTA[TANGGAL]))&amp;":"&amp;ADDRESS(ROW(),COLUMN(NOTA[TANGGAL]))),-1)))</f>
        <v>45439</v>
      </c>
      <c r="AJ34" s="26">
        <f ca="1">IF(NOTA[[#This Row],[ID_H]]="","",INDEX(NOTA[TGL.NOTA],MATCH(,INDIRECT(ADDRESS(ROW(NOTA[TGL.NOTA]),COLUMN(NOTA[TGL.NOTA]))&amp;":"&amp;ADDRESS(ROW(),COLUMN(NOTA[TGL.NOTA]))),-1)))</f>
        <v>45436</v>
      </c>
      <c r="AK34" s="26" t="str">
        <f ca="1">IF(NOTA[[#This Row],[ID_H]]="","",INDEX(NOTA[NO.NOTA],MATCH(NOTA[[#This Row],[ID_H]],NOTA[ID_H],0)))</f>
        <v>WE0590B</v>
      </c>
      <c r="AL34" s="28" t="str">
        <f ca="1">IF(NOTA[[#This Row],[NAMA BARANG]]="","",INDEX(NOTA[SUPPLIER],MATCH(,INDIRECT(ADDRESS(ROW(NOTA[ID]),COLUMN(NOTA[ID]))&amp;":"&amp;ADDRESS(ROW(),COLUMN(NOTA[ID]))),-1)))</f>
        <v>SBS</v>
      </c>
      <c r="AM34" s="28" t="str">
        <f ca="1">IF(NOTA[[#This Row],[ID_H]]="","",IF(NOTA[[#This Row],[FAKTUR]]="",INDIRECT(ADDRESS(ROW()-1,COLUMN())),NOTA[[#This Row],[FAKTUR]]))</f>
        <v>UNTANA</v>
      </c>
      <c r="AN34" s="25" t="str">
        <f ca="1">IF(NOTA[[#This Row],[ID]]="","",COUNTIF(NOTA[ID_H],NOTA[[#This Row],[ID_H]]))</f>
        <v/>
      </c>
      <c r="AO34" s="25">
        <f ca="1">IF(NOTA[[#This Row],[TGL.NOTA]]="",IF(NOTA[[#This Row],[SUPPLIER_H]]="","",AO33),MONTH(NOTA[[#This Row],[TGL.NOTA]]))</f>
        <v>5</v>
      </c>
      <c r="AP34" s="25" t="str">
        <f>LOWER(SUBSTITUTE(SUBSTITUTE(SUBSTITUTE(SUBSTITUTE(SUBSTITUTE(SUBSTITUTE(SUBSTITUTE(SUBSTITUTE(SUBSTITUTE(NOTA[[#This Row],[NAMA BARANG]]," ",),".",""),"-",""),"(",""),")",""),",",""),"/",""),"""",""),"+",""))</f>
        <v>bindernotefancyslipa5sf1925cute</v>
      </c>
      <c r="AQ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bindernotefancyslipa5sf1925cute1140000</v>
      </c>
      <c r="AR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bindernotefancyslipa5sf1925cute1140000</v>
      </c>
      <c r="AS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" s="25" t="s">
        <v>258</v>
      </c>
      <c r="AU34" s="25">
        <f>IF(NOTA[[#This Row],[CONCAT1]]="","",MATCH(NOTA[[#This Row],[CONCAT1]],[3]!db[NB NOTA_C],0))</f>
        <v>3409</v>
      </c>
      <c r="AV34" s="25" t="b">
        <f>IF(NOTA[[#This Row],[QTY/ CTN]]="","",TRUE)</f>
        <v>1</v>
      </c>
      <c r="AW34" s="25" t="str">
        <f ca="1">IF(NOTA[[#This Row],[ID_H]]="","",IF(NOTA[[#This Row],[Column3]]=TRUE,NOTA[[#This Row],[QTY/ CTN]],INDEX([3]!db[QTY/ CTN],NOTA[[#This Row],[//DB]])))</f>
        <v>120 PCS</v>
      </c>
      <c r="AX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bindernotefancyslipa5sf1925cute120pcsuntana</v>
      </c>
      <c r="AY34" s="25">
        <f ca="1">IF(NOTA[[#This Row],[ID_H]]="","",MATCH(NOTA[[#This Row],[NB NOTA_C_QTY]],[3]!db[NB NOTA_C_QTY+F],0))</f>
        <v>3409</v>
      </c>
      <c r="AZ34" s="38">
        <f ca="1">IF(NOTA[[#This Row],[NB NOTA_C_QTY]]="","",ROW()-2)</f>
        <v>32</v>
      </c>
    </row>
    <row r="35" spans="1:52" ht="20.100000000000001" customHeight="1">
      <c r="A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5" t="s">
        <v>258</v>
      </c>
      <c r="D35" s="25">
        <f ca="1">IF(NOTA[[#This Row],[NAMA BARANG]]="","",INDEX(NOTA[ID],MATCH(,INDIRECT(ADDRESS(ROW(NOTA[ID]),COLUMN(NOTA[ID]))&amp;":"&amp;ADDRESS(ROW(),COLUMN(NOTA[ID]))),-1)))</f>
        <v>7</v>
      </c>
      <c r="E35" s="33"/>
      <c r="H35" s="34"/>
      <c r="L35" s="25" t="s">
        <v>232</v>
      </c>
      <c r="M35" s="27">
        <v>5</v>
      </c>
      <c r="N35" s="25">
        <v>600</v>
      </c>
      <c r="O35" s="25" t="s">
        <v>111</v>
      </c>
      <c r="P35" s="28">
        <v>9500</v>
      </c>
      <c r="Q35" s="29"/>
      <c r="R35" s="35" t="s">
        <v>199</v>
      </c>
      <c r="S35" s="36"/>
      <c r="V35" s="37"/>
      <c r="W35" s="32"/>
      <c r="X35" s="37">
        <f>IF(NOTA[[#This Row],[HARGA/ CTN]]="",NOTA[[#This Row],[JUMLAH_H]],NOTA[[#This Row],[HARGA/ CTN]]*IF(NOTA[[#This Row],[C]]="",0,NOTA[[#This Row],[C]]))</f>
        <v>5700000</v>
      </c>
      <c r="Y35" s="37">
        <f>IF(NOTA[[#This Row],[JUMLAH]]="","",NOTA[[#This Row],[JUMLAH]]*NOTA[[#This Row],[DISC 1]])</f>
        <v>0</v>
      </c>
      <c r="Z35" s="37">
        <f>IF(NOTA[[#This Row],[JUMLAH]]="","",(NOTA[[#This Row],[JUMLAH]]-NOTA[[#This Row],[DISC 1-]])*NOTA[[#This Row],[DISC 2]])</f>
        <v>0</v>
      </c>
      <c r="AA35" s="37">
        <f>IF(NOTA[[#This Row],[JUMLAH]]="","",(NOTA[[#This Row],[JUMLAH]]-NOTA[[#This Row],[DISC 1-]]-NOTA[[#This Row],[DISC 2-]])*NOTA[[#This Row],[DISC 3]])</f>
        <v>0</v>
      </c>
      <c r="AB35" s="37">
        <f>IF(NOTA[[#This Row],[JUMLAH]]="","",NOTA[[#This Row],[DISC 1-]]+NOTA[[#This Row],[DISC 2-]]+NOTA[[#This Row],[DISC 3-]])</f>
        <v>0</v>
      </c>
      <c r="AC35" s="37">
        <f>IF(NOTA[[#This Row],[JUMLAH]]="","",NOTA[[#This Row],[JUMLAH]]-NOTA[[#This Row],[DISC]])</f>
        <v>5700000</v>
      </c>
      <c r="AD35" s="37"/>
      <c r="AE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35" s="37">
        <f>IF(OR(NOTA[[#This Row],[QTY]]="",NOTA[[#This Row],[HARGA SATUAN]]="",),"",NOTA[[#This Row],[QTY]]*NOTA[[#This Row],[HARGA SATUAN]])</f>
        <v>5700000</v>
      </c>
      <c r="AI35" s="26">
        <f ca="1">IF(NOTA[[#This Row],[ID_H]]="","",INDEX(NOTA[TANGGAL],MATCH(,INDIRECT(ADDRESS(ROW(NOTA[TANGGAL]),COLUMN(NOTA[TANGGAL]))&amp;":"&amp;ADDRESS(ROW(),COLUMN(NOTA[TANGGAL]))),-1)))</f>
        <v>45439</v>
      </c>
      <c r="AJ35" s="26">
        <f ca="1">IF(NOTA[[#This Row],[ID_H]]="","",INDEX(NOTA[TGL.NOTA],MATCH(,INDIRECT(ADDRESS(ROW(NOTA[TGL.NOTA]),COLUMN(NOTA[TGL.NOTA]))&amp;":"&amp;ADDRESS(ROW(),COLUMN(NOTA[TGL.NOTA]))),-1)))</f>
        <v>45436</v>
      </c>
      <c r="AK35" s="26" t="str">
        <f ca="1">IF(NOTA[[#This Row],[ID_H]]="","",INDEX(NOTA[NO.NOTA],MATCH(NOTA[[#This Row],[ID_H]],NOTA[ID_H],0)))</f>
        <v>WE0590B</v>
      </c>
      <c r="AL35" s="28" t="str">
        <f ca="1">IF(NOTA[[#This Row],[NAMA BARANG]]="","",INDEX(NOTA[SUPPLIER],MATCH(,INDIRECT(ADDRESS(ROW(NOTA[ID]),COLUMN(NOTA[ID]))&amp;":"&amp;ADDRESS(ROW(),COLUMN(NOTA[ID]))),-1)))</f>
        <v>SBS</v>
      </c>
      <c r="AM35" s="28" t="str">
        <f ca="1">IF(NOTA[[#This Row],[ID_H]]="","",IF(NOTA[[#This Row],[FAKTUR]]="",INDIRECT(ADDRESS(ROW()-1,COLUMN())),NOTA[[#This Row],[FAKTUR]]))</f>
        <v>UNTANA</v>
      </c>
      <c r="AN35" s="25" t="str">
        <f ca="1">IF(NOTA[[#This Row],[ID]]="","",COUNTIF(NOTA[ID_H],NOTA[[#This Row],[ID_H]]))</f>
        <v/>
      </c>
      <c r="AO35" s="25">
        <f ca="1">IF(NOTA[[#This Row],[TGL.NOTA]]="",IF(NOTA[[#This Row],[SUPPLIER_H]]="","",AO34),MONTH(NOTA[[#This Row],[TGL.NOTA]]))</f>
        <v>5</v>
      </c>
      <c r="AP35" s="25" t="str">
        <f>LOWER(SUBSTITUTE(SUBSTITUTE(SUBSTITUTE(SUBSTITUTE(SUBSTITUTE(SUBSTITUTE(SUBSTITUTE(SUBSTITUTE(SUBSTITUTE(NOTA[[#This Row],[NAMA BARANG]]," ",),".",""),"-",""),"(",""),")",""),",",""),"/",""),"""",""),"+",""))</f>
        <v>bindernotefancyslipa5sf1925kmsr</v>
      </c>
      <c r="AQ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bindernotefancyslipa5sf1925kmsr1140000</v>
      </c>
      <c r="AR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bindernotefancyslipa5sf1925kmsr1140000</v>
      </c>
      <c r="AS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" s="25" t="s">
        <v>258</v>
      </c>
      <c r="AU35" s="25">
        <f>IF(NOTA[[#This Row],[CONCAT1]]="","",MATCH(NOTA[[#This Row],[CONCAT1]],[3]!db[NB NOTA_C],0))</f>
        <v>3410</v>
      </c>
      <c r="AV35" s="25" t="b">
        <f>IF(NOTA[[#This Row],[QTY/ CTN]]="","",TRUE)</f>
        <v>1</v>
      </c>
      <c r="AW35" s="25" t="str">
        <f ca="1">IF(NOTA[[#This Row],[ID_H]]="","",IF(NOTA[[#This Row],[Column3]]=TRUE,NOTA[[#This Row],[QTY/ CTN]],INDEX([3]!db[QTY/ CTN],NOTA[[#This Row],[//DB]])))</f>
        <v>120 PCS</v>
      </c>
      <c r="AX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bindernotefancyslipa5sf1925kmsr120pcsuntana</v>
      </c>
      <c r="AY35" s="25">
        <f ca="1">IF(NOTA[[#This Row],[ID_H]]="","",MATCH(NOTA[[#This Row],[NB NOTA_C_QTY]],[3]!db[NB NOTA_C_QTY+F],0))</f>
        <v>3410</v>
      </c>
      <c r="AZ35" s="38">
        <f ca="1">IF(NOTA[[#This Row],[NB NOTA_C_QTY]]="","",ROW()-2)</f>
        <v>33</v>
      </c>
    </row>
    <row r="36" spans="1:52" ht="20.100000000000001" customHeight="1">
      <c r="A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25" t="s">
        <v>258</v>
      </c>
      <c r="D36" s="25">
        <f ca="1">IF(NOTA[[#This Row],[NAMA BARANG]]="","",INDEX(NOTA[ID],MATCH(,INDIRECT(ADDRESS(ROW(NOTA[ID]),COLUMN(NOTA[ID]))&amp;":"&amp;ADDRESS(ROW(),COLUMN(NOTA[ID]))),-1)))</f>
        <v>7</v>
      </c>
      <c r="E36" s="33"/>
      <c r="H36" s="34"/>
      <c r="L36" s="25" t="s">
        <v>234</v>
      </c>
      <c r="M36" s="27">
        <v>2</v>
      </c>
      <c r="N36" s="25">
        <v>240</v>
      </c>
      <c r="O36" s="25" t="s">
        <v>111</v>
      </c>
      <c r="P36" s="28">
        <v>9500</v>
      </c>
      <c r="Q36" s="29"/>
      <c r="R36" s="35" t="s">
        <v>199</v>
      </c>
      <c r="S36" s="36"/>
      <c r="V36" s="37"/>
      <c r="W36" s="32"/>
      <c r="X36" s="37">
        <f>IF(NOTA[[#This Row],[HARGA/ CTN]]="",NOTA[[#This Row],[JUMLAH_H]],NOTA[[#This Row],[HARGA/ CTN]]*IF(NOTA[[#This Row],[C]]="",0,NOTA[[#This Row],[C]]))</f>
        <v>2280000</v>
      </c>
      <c r="Y36" s="37">
        <f>IF(NOTA[[#This Row],[JUMLAH]]="","",NOTA[[#This Row],[JUMLAH]]*NOTA[[#This Row],[DISC 1]])</f>
        <v>0</v>
      </c>
      <c r="Z36" s="37">
        <f>IF(NOTA[[#This Row],[JUMLAH]]="","",(NOTA[[#This Row],[JUMLAH]]-NOTA[[#This Row],[DISC 1-]])*NOTA[[#This Row],[DISC 2]])</f>
        <v>0</v>
      </c>
      <c r="AA36" s="37">
        <f>IF(NOTA[[#This Row],[JUMLAH]]="","",(NOTA[[#This Row],[JUMLAH]]-NOTA[[#This Row],[DISC 1-]]-NOTA[[#This Row],[DISC 2-]])*NOTA[[#This Row],[DISC 3]])</f>
        <v>0</v>
      </c>
      <c r="AB36" s="37">
        <f>IF(NOTA[[#This Row],[JUMLAH]]="","",NOTA[[#This Row],[DISC 1-]]+NOTA[[#This Row],[DISC 2-]]+NOTA[[#This Row],[DISC 3-]])</f>
        <v>0</v>
      </c>
      <c r="AC36" s="37">
        <f>IF(NOTA[[#This Row],[JUMLAH]]="","",NOTA[[#This Row],[JUMLAH]]-NOTA[[#This Row],[DISC]])</f>
        <v>2280000</v>
      </c>
      <c r="AD36" s="37"/>
      <c r="AE3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17100000</v>
      </c>
      <c r="AG36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36" s="37">
        <f>IF(OR(NOTA[[#This Row],[QTY]]="",NOTA[[#This Row],[HARGA SATUAN]]="",),"",NOTA[[#This Row],[QTY]]*NOTA[[#This Row],[HARGA SATUAN]])</f>
        <v>2280000</v>
      </c>
      <c r="AI36" s="26">
        <f ca="1">IF(NOTA[[#This Row],[ID_H]]="","",INDEX(NOTA[TANGGAL],MATCH(,INDIRECT(ADDRESS(ROW(NOTA[TANGGAL]),COLUMN(NOTA[TANGGAL]))&amp;":"&amp;ADDRESS(ROW(),COLUMN(NOTA[TANGGAL]))),-1)))</f>
        <v>45439</v>
      </c>
      <c r="AJ36" s="26">
        <f ca="1">IF(NOTA[[#This Row],[ID_H]]="","",INDEX(NOTA[TGL.NOTA],MATCH(,INDIRECT(ADDRESS(ROW(NOTA[TGL.NOTA]),COLUMN(NOTA[TGL.NOTA]))&amp;":"&amp;ADDRESS(ROW(),COLUMN(NOTA[TGL.NOTA]))),-1)))</f>
        <v>45436</v>
      </c>
      <c r="AK36" s="26" t="str">
        <f ca="1">IF(NOTA[[#This Row],[ID_H]]="","",INDEX(NOTA[NO.NOTA],MATCH(NOTA[[#This Row],[ID_H]],NOTA[ID_H],0)))</f>
        <v>WE0590B</v>
      </c>
      <c r="AL36" s="28" t="str">
        <f ca="1">IF(NOTA[[#This Row],[NAMA BARANG]]="","",INDEX(NOTA[SUPPLIER],MATCH(,INDIRECT(ADDRESS(ROW(NOTA[ID]),COLUMN(NOTA[ID]))&amp;":"&amp;ADDRESS(ROW(),COLUMN(NOTA[ID]))),-1)))</f>
        <v>SBS</v>
      </c>
      <c r="AM36" s="28" t="str">
        <f ca="1">IF(NOTA[[#This Row],[ID_H]]="","",IF(NOTA[[#This Row],[FAKTUR]]="",INDIRECT(ADDRESS(ROW()-1,COLUMN())),NOTA[[#This Row],[FAKTUR]]))</f>
        <v>UNTANA</v>
      </c>
      <c r="AN36" s="25" t="str">
        <f ca="1">IF(NOTA[[#This Row],[ID]]="","",COUNTIF(NOTA[ID_H],NOTA[[#This Row],[ID_H]]))</f>
        <v/>
      </c>
      <c r="AO36" s="25">
        <f ca="1">IF(NOTA[[#This Row],[TGL.NOTA]]="",IF(NOTA[[#This Row],[SUPPLIER_H]]="","",AO35),MONTH(NOTA[[#This Row],[TGL.NOTA]]))</f>
        <v>5</v>
      </c>
      <c r="AP36" s="25" t="str">
        <f>LOWER(SUBSTITUTE(SUBSTITUTE(SUBSTITUTE(SUBSTITUTE(SUBSTITUTE(SUBSTITUTE(SUBSTITUTE(SUBSTITUTE(SUBSTITUTE(NOTA[[#This Row],[NAMA BARANG]]," ",),".",""),"-",""),"(",""),")",""),",",""),"/",""),"""",""),"+",""))</f>
        <v>bindernotefancyslipa5sf1926d</v>
      </c>
      <c r="AQ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bindernotefancyslipa5sf1926d1140000</v>
      </c>
      <c r="AR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bindernotefancyslipa5sf1926d1140000</v>
      </c>
      <c r="AS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" s="25" t="s">
        <v>258</v>
      </c>
      <c r="AU36" s="25">
        <f>IF(NOTA[[#This Row],[CONCAT1]]="","",MATCH(NOTA[[#This Row],[CONCAT1]],[3]!db[NB NOTA_C],0))</f>
        <v>3411</v>
      </c>
      <c r="AV36" s="25" t="b">
        <f>IF(NOTA[[#This Row],[QTY/ CTN]]="","",TRUE)</f>
        <v>1</v>
      </c>
      <c r="AW36" s="25" t="str">
        <f ca="1">IF(NOTA[[#This Row],[ID_H]]="","",IF(NOTA[[#This Row],[Column3]]=TRUE,NOTA[[#This Row],[QTY/ CTN]],INDEX([3]!db[QTY/ CTN],NOTA[[#This Row],[//DB]])))</f>
        <v>120 PCS</v>
      </c>
      <c r="AX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bindernotefancyslipa5sf1926d120pcsuntana</v>
      </c>
      <c r="AY36" s="25">
        <f ca="1">IF(NOTA[[#This Row],[ID_H]]="","",MATCH(NOTA[[#This Row],[NB NOTA_C_QTY]],[3]!db[NB NOTA_C_QTY+F],0))</f>
        <v>3411</v>
      </c>
      <c r="AZ36" s="38">
        <f ca="1">IF(NOTA[[#This Row],[NB NOTA_C_QTY]]="","",ROW()-2)</f>
        <v>34</v>
      </c>
    </row>
    <row r="37" spans="1:52" ht="20.100000000000001" customHeight="1">
      <c r="A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5" t="s">
        <v>258</v>
      </c>
      <c r="D37" s="25" t="str">
        <f ca="1">IF(NOTA[[#This Row],[NAMA BARANG]]="","",INDEX(NOTA[ID],MATCH(,INDIRECT(ADDRESS(ROW(NOTA[ID]),COLUMN(NOTA[ID]))&amp;":"&amp;ADDRESS(ROW(),COLUMN(NOTA[ID]))),-1)))</f>
        <v/>
      </c>
      <c r="E37" s="33"/>
      <c r="H37" s="34"/>
      <c r="Q37" s="29"/>
      <c r="R37" s="35"/>
      <c r="S37" s="36"/>
      <c r="V37" s="37"/>
      <c r="W37" s="32"/>
      <c r="X37" s="37" t="str">
        <f>IF(NOTA[[#This Row],[HARGA/ CTN]]="",NOTA[[#This Row],[JUMLAH_H]],NOTA[[#This Row],[HARGA/ CTN]]*IF(NOTA[[#This Row],[C]]="",0,NOTA[[#This Row],[C]]))</f>
        <v/>
      </c>
      <c r="Y37" s="37" t="str">
        <f>IF(NOTA[[#This Row],[JUMLAH]]="","",NOTA[[#This Row],[JUMLAH]]*NOTA[[#This Row],[DISC 1]])</f>
        <v/>
      </c>
      <c r="Z37" s="37" t="str">
        <f>IF(NOTA[[#This Row],[JUMLAH]]="","",(NOTA[[#This Row],[JUMLAH]]-NOTA[[#This Row],[DISC 1-]])*NOTA[[#This Row],[DISC 2]])</f>
        <v/>
      </c>
      <c r="AA37" s="37" t="str">
        <f>IF(NOTA[[#This Row],[JUMLAH]]="","",(NOTA[[#This Row],[JUMLAH]]-NOTA[[#This Row],[DISC 1-]]-NOTA[[#This Row],[DISC 2-]])*NOTA[[#This Row],[DISC 3]])</f>
        <v/>
      </c>
      <c r="AB37" s="37" t="str">
        <f>IF(NOTA[[#This Row],[JUMLAH]]="","",NOTA[[#This Row],[DISC 1-]]+NOTA[[#This Row],[DISC 2-]]+NOTA[[#This Row],[DISC 3-]])</f>
        <v/>
      </c>
      <c r="AC37" s="37" t="str">
        <f>IF(NOTA[[#This Row],[JUMLAH]]="","",NOTA[[#This Row],[JUMLAH]]-NOTA[[#This Row],[DISC]])</f>
        <v/>
      </c>
      <c r="AD37" s="37"/>
      <c r="AE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" s="37" t="str">
        <f>IF(OR(NOTA[[#This Row],[QTY]]="",NOTA[[#This Row],[HARGA SATUAN]]="",),"",NOTA[[#This Row],[QTY]]*NOTA[[#This Row],[HARGA SATUAN]])</f>
        <v/>
      </c>
      <c r="AI37" s="26" t="str">
        <f ca="1">IF(NOTA[[#This Row],[ID_H]]="","",INDEX(NOTA[TANGGAL],MATCH(,INDIRECT(ADDRESS(ROW(NOTA[TANGGAL]),COLUMN(NOTA[TANGGAL]))&amp;":"&amp;ADDRESS(ROW(),COLUMN(NOTA[TANGGAL]))),-1)))</f>
        <v/>
      </c>
      <c r="AJ37" s="26" t="str">
        <f ca="1">IF(NOTA[[#This Row],[ID_H]]="","",INDEX(NOTA[TGL.NOTA],MATCH(,INDIRECT(ADDRESS(ROW(NOTA[TGL.NOTA]),COLUMN(NOTA[TGL.NOTA]))&amp;":"&amp;ADDRESS(ROW(),COLUMN(NOTA[TGL.NOTA]))),-1)))</f>
        <v/>
      </c>
      <c r="AK37" s="26" t="str">
        <f ca="1">IF(NOTA[[#This Row],[ID_H]]="","",INDEX(NOTA[NO.NOTA],MATCH(NOTA[[#This Row],[ID_H]],NOTA[ID_H],0)))</f>
        <v/>
      </c>
      <c r="AL37" s="28" t="str">
        <f ca="1">IF(NOTA[[#This Row],[NAMA BARANG]]="","",INDEX(NOTA[SUPPLIER],MATCH(,INDIRECT(ADDRESS(ROW(NOTA[ID]),COLUMN(NOTA[ID]))&amp;":"&amp;ADDRESS(ROW(),COLUMN(NOTA[ID]))),-1)))</f>
        <v/>
      </c>
      <c r="AM37" s="28" t="str">
        <f ca="1">IF(NOTA[[#This Row],[ID_H]]="","",IF(NOTA[[#This Row],[FAKTUR]]="",INDIRECT(ADDRESS(ROW()-1,COLUMN())),NOTA[[#This Row],[FAKTUR]]))</f>
        <v/>
      </c>
      <c r="AN37" s="25" t="str">
        <f ca="1">IF(NOTA[[#This Row],[ID]]="","",COUNTIF(NOTA[ID_H],NOTA[[#This Row],[ID_H]]))</f>
        <v/>
      </c>
      <c r="AO37" s="25" t="str">
        <f ca="1">IF(NOTA[[#This Row],[TGL.NOTA]]="",IF(NOTA[[#This Row],[SUPPLIER_H]]="","",AO36),MONTH(NOTA[[#This Row],[TGL.NOTA]]))</f>
        <v/>
      </c>
      <c r="AP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" s="25" t="s">
        <v>258</v>
      </c>
      <c r="AU37" s="25" t="str">
        <f>IF(NOTA[[#This Row],[CONCAT1]]="","",MATCH(NOTA[[#This Row],[CONCAT1]],[3]!db[NB NOTA_C],0))</f>
        <v/>
      </c>
      <c r="AV37" s="25" t="str">
        <f>IF(NOTA[[#This Row],[QTY/ CTN]]="","",TRUE)</f>
        <v/>
      </c>
      <c r="AW37" s="25" t="str">
        <f ca="1">IF(NOTA[[#This Row],[ID_H]]="","",IF(NOTA[[#This Row],[Column3]]=TRUE,NOTA[[#This Row],[QTY/ CTN]],INDEX([3]!db[QTY/ CTN],NOTA[[#This Row],[//DB]])))</f>
        <v/>
      </c>
      <c r="AX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" s="25" t="str">
        <f ca="1">IF(NOTA[[#This Row],[ID_H]]="","",MATCH(NOTA[[#This Row],[NB NOTA_C_QTY]],[3]!db[NB NOTA_C_QTY+F],0))</f>
        <v/>
      </c>
      <c r="AZ37" s="38" t="str">
        <f ca="1">IF(NOTA[[#This Row],[NB NOTA_C_QTY]]="","",ROW()-2)</f>
        <v/>
      </c>
    </row>
    <row r="38" spans="1:52" ht="20.100000000000001" customHeight="1">
      <c r="A38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3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SBS_2705_024-7</v>
      </c>
      <c r="C38" s="25" t="e">
        <v>#REF!</v>
      </c>
      <c r="D38" s="25">
        <f ca="1">IF(NOTA[[#This Row],[NAMA BARANG]]="","",INDEX(NOTA[ID],MATCH(,INDIRECT(ADDRESS(ROW(NOTA[ID]),COLUMN(NOTA[ID]))&amp;":"&amp;ADDRESS(ROW(),COLUMN(NOTA[ID]))),-1)))</f>
        <v>8</v>
      </c>
      <c r="E38" s="33"/>
      <c r="F38" s="25" t="s">
        <v>186</v>
      </c>
      <c r="G38" s="25" t="s">
        <v>109</v>
      </c>
      <c r="H38" s="34" t="s">
        <v>235</v>
      </c>
      <c r="J38" s="26">
        <v>45436</v>
      </c>
      <c r="L38" s="25" t="s">
        <v>236</v>
      </c>
      <c r="M38" s="27">
        <v>2</v>
      </c>
      <c r="N38" s="25">
        <v>720</v>
      </c>
      <c r="O38" s="25" t="s">
        <v>222</v>
      </c>
      <c r="Q38" s="29"/>
      <c r="R38" s="35" t="s">
        <v>244</v>
      </c>
      <c r="S38" s="36"/>
      <c r="V38" s="37"/>
      <c r="W38" s="32" t="s">
        <v>245</v>
      </c>
      <c r="X38" s="37" t="str">
        <f>IF(NOTA[[#This Row],[HARGA/ CTN]]="",NOTA[[#This Row],[JUMLAH_H]],NOTA[[#This Row],[HARGA/ CTN]]*IF(NOTA[[#This Row],[C]]="",0,NOTA[[#This Row],[C]]))</f>
        <v/>
      </c>
      <c r="Y38" s="37" t="str">
        <f>IF(NOTA[[#This Row],[JUMLAH]]="","",NOTA[[#This Row],[JUMLAH]]*NOTA[[#This Row],[DISC 1]])</f>
        <v/>
      </c>
      <c r="Z38" s="37" t="str">
        <f>IF(NOTA[[#This Row],[JUMLAH]]="","",(NOTA[[#This Row],[JUMLAH]]-NOTA[[#This Row],[DISC 1-]])*NOTA[[#This Row],[DISC 2]])</f>
        <v/>
      </c>
      <c r="AA38" s="37" t="str">
        <f>IF(NOTA[[#This Row],[JUMLAH]]="","",(NOTA[[#This Row],[JUMLAH]]-NOTA[[#This Row],[DISC 1-]]-NOTA[[#This Row],[DISC 2-]])*NOTA[[#This Row],[DISC 3]])</f>
        <v/>
      </c>
      <c r="AB38" s="37" t="str">
        <f>IF(NOTA[[#This Row],[JUMLAH]]="","",NOTA[[#This Row],[DISC 1-]]+NOTA[[#This Row],[DISC 2-]]+NOTA[[#This Row],[DISC 3-]])</f>
        <v/>
      </c>
      <c r="AC38" s="37" t="str">
        <f>IF(NOTA[[#This Row],[JUMLAH]]="","",NOTA[[#This Row],[JUMLAH]]-NOTA[[#This Row],[DISC]])</f>
        <v/>
      </c>
      <c r="AD38" s="37"/>
      <c r="AE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38" s="37" t="str">
        <f>IF(OR(NOTA[[#This Row],[QTY]]="",NOTA[[#This Row],[HARGA SATUAN]]="",),"",NOTA[[#This Row],[QTY]]*NOTA[[#This Row],[HARGA SATUAN]])</f>
        <v/>
      </c>
      <c r="AI38" s="26">
        <f ca="1">IF(NOTA[[#This Row],[ID_H]]="","",INDEX(NOTA[TANGGAL],MATCH(,INDIRECT(ADDRESS(ROW(NOTA[TANGGAL]),COLUMN(NOTA[TANGGAL]))&amp;":"&amp;ADDRESS(ROW(),COLUMN(NOTA[TANGGAL]))),-1)))</f>
        <v>45439</v>
      </c>
      <c r="AJ38" s="26">
        <f ca="1">IF(NOTA[[#This Row],[ID_H]]="","",INDEX(NOTA[TGL.NOTA],MATCH(,INDIRECT(ADDRESS(ROW(NOTA[TGL.NOTA]),COLUMN(NOTA[TGL.NOTA]))&amp;":"&amp;ADDRESS(ROW(),COLUMN(NOTA[TGL.NOTA]))),-1)))</f>
        <v>45436</v>
      </c>
      <c r="AK38" s="26" t="str">
        <f ca="1">IF(NOTA[[#This Row],[ID_H]]="","",INDEX(NOTA[NO.NOTA],MATCH(NOTA[[#This Row],[ID_H]],NOTA[ID_H],0)))</f>
        <v>SURAT JALAN TH031/5/2024</v>
      </c>
      <c r="AL38" s="28" t="str">
        <f ca="1">IF(NOTA[[#This Row],[NAMA BARANG]]="","",INDEX(NOTA[SUPPLIER],MATCH(,INDIRECT(ADDRESS(ROW(NOTA[ID]),COLUMN(NOTA[ID]))&amp;":"&amp;ADDRESS(ROW(),COLUMN(NOTA[ID]))),-1)))</f>
        <v>SBS</v>
      </c>
      <c r="AM38" s="28" t="str">
        <f ca="1">IF(NOTA[[#This Row],[ID_H]]="","",IF(NOTA[[#This Row],[FAKTUR]]="",INDIRECT(ADDRESS(ROW()-1,COLUMN())),NOTA[[#This Row],[FAKTUR]]))</f>
        <v>UNTANA</v>
      </c>
      <c r="AN38" s="25">
        <f ca="1">IF(NOTA[[#This Row],[ID]]="","",COUNTIF(NOTA[ID_H],NOTA[[#This Row],[ID_H]]))</f>
        <v>7</v>
      </c>
      <c r="AO38" s="25">
        <f>IF(NOTA[[#This Row],[TGL.NOTA]]="",IF(NOTA[[#This Row],[SUPPLIER_H]]="","",AO37),MONTH(NOTA[[#This Row],[TGL.NOTA]]))</f>
        <v>5</v>
      </c>
      <c r="AP38" s="25" t="str">
        <f>LOWER(SUBSTITUTE(SUBSTITUTE(SUBSTITUTE(SUBSTITUTE(SUBSTITUTE(SUBSTITUTE(SUBSTITUTE(SUBSTITUTE(SUBSTITUTE(NOTA[[#This Row],[NAMA BARANG]]," ",),".",""),"-",""),"(",""),")",""),",",""),"/",""),"""",""),"+",""))</f>
        <v>llgastaa5100gramvintage</v>
      </c>
      <c r="AQ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llgastaa5100gramvintage0</v>
      </c>
      <c r="AR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llgastaa5100gramvintage0</v>
      </c>
      <c r="AS38" s="25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 TH031/5/202445436llgastaa5100gramvintage</v>
      </c>
      <c r="AT38" s="25" t="e">
        <v>#REF!</v>
      </c>
      <c r="AU38" s="25">
        <f>IF(NOTA[[#This Row],[CONCAT1]]="","",MATCH(NOTA[[#This Row],[CONCAT1]],[3]!db[NB NOTA_C],0))</f>
        <v>3412</v>
      </c>
      <c r="AV38" s="25" t="b">
        <f>IF(NOTA[[#This Row],[QTY/ CTN]]="","",TRUE)</f>
        <v>1</v>
      </c>
      <c r="AW38" s="25" t="str">
        <f ca="1">IF(NOTA[[#This Row],[ID_H]]="","",IF(NOTA[[#This Row],[Column3]]=TRUE,NOTA[[#This Row],[QTY/ CTN]],INDEX([3]!db[QTY/ CTN],NOTA[[#This Row],[//DB]])))</f>
        <v>360 PAK</v>
      </c>
      <c r="AX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llgastaa5100gramvintage360pakuntana</v>
      </c>
      <c r="AY38" s="25">
        <f ca="1">IF(NOTA[[#This Row],[ID_H]]="","",MATCH(NOTA[[#This Row],[NB NOTA_C_QTY]],[3]!db[NB NOTA_C_QTY+F],0))</f>
        <v>3412</v>
      </c>
      <c r="AZ38" s="38">
        <f ca="1">IF(NOTA[[#This Row],[NB NOTA_C_QTY]]="","",ROW()-2)</f>
        <v>36</v>
      </c>
    </row>
    <row r="39" spans="1:52" ht="20.100000000000001" customHeight="1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5" t="s">
        <v>258</v>
      </c>
      <c r="D39" s="25">
        <f ca="1">IF(NOTA[[#This Row],[NAMA BARANG]]="","",INDEX(NOTA[ID],MATCH(,INDIRECT(ADDRESS(ROW(NOTA[ID]),COLUMN(NOTA[ID]))&amp;":"&amp;ADDRESS(ROW(),COLUMN(NOTA[ID]))),-1)))</f>
        <v>8</v>
      </c>
      <c r="E39" s="33"/>
      <c r="H39" s="25"/>
      <c r="I39" s="26"/>
      <c r="L39" s="25" t="s">
        <v>237</v>
      </c>
      <c r="M39" s="27">
        <v>2</v>
      </c>
      <c r="N39" s="25">
        <v>720</v>
      </c>
      <c r="O39" s="25" t="s">
        <v>222</v>
      </c>
      <c r="Q39" s="29"/>
      <c r="R39" s="35" t="s">
        <v>244</v>
      </c>
      <c r="S39" s="36"/>
      <c r="V39" s="37"/>
      <c r="W39" s="32" t="s">
        <v>245</v>
      </c>
      <c r="X39" s="37" t="str">
        <f>IF(NOTA[[#This Row],[HARGA/ CTN]]="",NOTA[[#This Row],[JUMLAH_H]],NOTA[[#This Row],[HARGA/ CTN]]*IF(NOTA[[#This Row],[C]]="",0,NOTA[[#This Row],[C]]))</f>
        <v/>
      </c>
      <c r="Y39" s="37" t="str">
        <f>IF(NOTA[[#This Row],[JUMLAH]]="","",NOTA[[#This Row],[JUMLAH]]*NOTA[[#This Row],[DISC 1]])</f>
        <v/>
      </c>
      <c r="Z39" s="37" t="str">
        <f>IF(NOTA[[#This Row],[JUMLAH]]="","",(NOTA[[#This Row],[JUMLAH]]-NOTA[[#This Row],[DISC 1-]])*NOTA[[#This Row],[DISC 2]])</f>
        <v/>
      </c>
      <c r="AA39" s="37" t="str">
        <f>IF(NOTA[[#This Row],[JUMLAH]]="","",(NOTA[[#This Row],[JUMLAH]]-NOTA[[#This Row],[DISC 1-]]-NOTA[[#This Row],[DISC 2-]])*NOTA[[#This Row],[DISC 3]])</f>
        <v/>
      </c>
      <c r="AB39" s="37" t="str">
        <f>IF(NOTA[[#This Row],[JUMLAH]]="","",NOTA[[#This Row],[DISC 1-]]+NOTA[[#This Row],[DISC 2-]]+NOTA[[#This Row],[DISC 3-]])</f>
        <v/>
      </c>
      <c r="AC39" s="37" t="str">
        <f>IF(NOTA[[#This Row],[JUMLAH]]="","",NOTA[[#This Row],[JUMLAH]]-NOTA[[#This Row],[DISC]])</f>
        <v/>
      </c>
      <c r="AD39" s="37"/>
      <c r="AE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39" s="37" t="str">
        <f>IF(OR(NOTA[[#This Row],[QTY]]="",NOTA[[#This Row],[HARGA SATUAN]]="",),"",NOTA[[#This Row],[QTY]]*NOTA[[#This Row],[HARGA SATUAN]])</f>
        <v/>
      </c>
      <c r="AI39" s="26">
        <f ca="1">IF(NOTA[[#This Row],[ID_H]]="","",INDEX(NOTA[TANGGAL],MATCH(,INDIRECT(ADDRESS(ROW(NOTA[TANGGAL]),COLUMN(NOTA[TANGGAL]))&amp;":"&amp;ADDRESS(ROW(),COLUMN(NOTA[TANGGAL]))),-1)))</f>
        <v>45439</v>
      </c>
      <c r="AJ39" s="26">
        <f ca="1">IF(NOTA[[#This Row],[ID_H]]="","",INDEX(NOTA[TGL.NOTA],MATCH(,INDIRECT(ADDRESS(ROW(NOTA[TGL.NOTA]),COLUMN(NOTA[TGL.NOTA]))&amp;":"&amp;ADDRESS(ROW(),COLUMN(NOTA[TGL.NOTA]))),-1)))</f>
        <v>45436</v>
      </c>
      <c r="AK39" s="26" t="str">
        <f ca="1">IF(NOTA[[#This Row],[ID_H]]="","",INDEX(NOTA[NO.NOTA],MATCH(NOTA[[#This Row],[ID_H]],NOTA[ID_H],0)))</f>
        <v>SURAT JALAN TH031/5/2024</v>
      </c>
      <c r="AL39" s="28" t="str">
        <f ca="1">IF(NOTA[[#This Row],[NAMA BARANG]]="","",INDEX(NOTA[SUPPLIER],MATCH(,INDIRECT(ADDRESS(ROW(NOTA[ID]),COLUMN(NOTA[ID]))&amp;":"&amp;ADDRESS(ROW(),COLUMN(NOTA[ID]))),-1)))</f>
        <v>SBS</v>
      </c>
      <c r="AM39" s="28" t="str">
        <f ca="1">IF(NOTA[[#This Row],[ID_H]]="","",IF(NOTA[[#This Row],[FAKTUR]]="",INDIRECT(ADDRESS(ROW()-1,COLUMN())),NOTA[[#This Row],[FAKTUR]]))</f>
        <v>UNTANA</v>
      </c>
      <c r="AN39" s="25" t="str">
        <f ca="1">IF(NOTA[[#This Row],[ID]]="","",COUNTIF(NOTA[ID_H],NOTA[[#This Row],[ID_H]]))</f>
        <v/>
      </c>
      <c r="AO39" s="25">
        <f ca="1">IF(NOTA[[#This Row],[TGL.NOTA]]="",IF(NOTA[[#This Row],[SUPPLIER_H]]="","",AO38),MONTH(NOTA[[#This Row],[TGL.NOTA]]))</f>
        <v>5</v>
      </c>
      <c r="AP39" s="25" t="str">
        <f>LOWER(SUBSTITUTE(SUBSTITUTE(SUBSTITUTE(SUBSTITUTE(SUBSTITUTE(SUBSTITUTE(SUBSTITUTE(SUBSTITUTE(SUBSTITUTE(NOTA[[#This Row],[NAMA BARANG]]," ",),".",""),"-",""),"(",""),")",""),",",""),"/",""),"""",""),"+",""))</f>
        <v>llgastaa5100gramfr</v>
      </c>
      <c r="AQ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llgastaa5100gramfr0</v>
      </c>
      <c r="AR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llgastaa5100gramfr0</v>
      </c>
      <c r="AS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" s="25" t="s">
        <v>258</v>
      </c>
      <c r="AU39" s="25">
        <f>IF(NOTA[[#This Row],[CONCAT1]]="","",MATCH(NOTA[[#This Row],[CONCAT1]],[3]!db[NB NOTA_C],0))</f>
        <v>3413</v>
      </c>
      <c r="AV39" s="25" t="b">
        <f>IF(NOTA[[#This Row],[QTY/ CTN]]="","",TRUE)</f>
        <v>1</v>
      </c>
      <c r="AW39" s="25" t="str">
        <f ca="1">IF(NOTA[[#This Row],[ID_H]]="","",IF(NOTA[[#This Row],[Column3]]=TRUE,NOTA[[#This Row],[QTY/ CTN]],INDEX([3]!db[QTY/ CTN],NOTA[[#This Row],[//DB]])))</f>
        <v>360 PAK</v>
      </c>
      <c r="AX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llgastaa5100gramfr360pakuntana</v>
      </c>
      <c r="AY39" s="25">
        <f ca="1">IF(NOTA[[#This Row],[ID_H]]="","",MATCH(NOTA[[#This Row],[NB NOTA_C_QTY]],[3]!db[NB NOTA_C_QTY+F],0))</f>
        <v>3413</v>
      </c>
      <c r="AZ39" s="38">
        <f ca="1">IF(NOTA[[#This Row],[NB NOTA_C_QTY]]="","",ROW()-2)</f>
        <v>37</v>
      </c>
    </row>
    <row r="40" spans="1:52" ht="20.100000000000001" customHeight="1">
      <c r="A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5" t="s">
        <v>258</v>
      </c>
      <c r="D40" s="25">
        <f ca="1">IF(NOTA[[#This Row],[NAMA BARANG]]="","",INDEX(NOTA[ID],MATCH(,INDIRECT(ADDRESS(ROW(NOTA[ID]),COLUMN(NOTA[ID]))&amp;":"&amp;ADDRESS(ROW(),COLUMN(NOTA[ID]))),-1)))</f>
        <v>8</v>
      </c>
      <c r="E40" s="33"/>
      <c r="H40" s="34"/>
      <c r="L40" s="25" t="s">
        <v>238</v>
      </c>
      <c r="M40" s="27">
        <v>2</v>
      </c>
      <c r="N40" s="25">
        <v>720</v>
      </c>
      <c r="O40" s="25" t="s">
        <v>222</v>
      </c>
      <c r="Q40" s="29"/>
      <c r="R40" s="35" t="s">
        <v>244</v>
      </c>
      <c r="S40" s="36"/>
      <c r="V40" s="37"/>
      <c r="W40" s="32" t="s">
        <v>245</v>
      </c>
      <c r="X40" s="37" t="str">
        <f>IF(NOTA[[#This Row],[HARGA/ CTN]]="",NOTA[[#This Row],[JUMLAH_H]],NOTA[[#This Row],[HARGA/ CTN]]*IF(NOTA[[#This Row],[C]]="",0,NOTA[[#This Row],[C]]))</f>
        <v/>
      </c>
      <c r="Y40" s="37" t="str">
        <f>IF(NOTA[[#This Row],[JUMLAH]]="","",NOTA[[#This Row],[JUMLAH]]*NOTA[[#This Row],[DISC 1]])</f>
        <v/>
      </c>
      <c r="Z40" s="37" t="str">
        <f>IF(NOTA[[#This Row],[JUMLAH]]="","",(NOTA[[#This Row],[JUMLAH]]-NOTA[[#This Row],[DISC 1-]])*NOTA[[#This Row],[DISC 2]])</f>
        <v/>
      </c>
      <c r="AA40" s="37" t="str">
        <f>IF(NOTA[[#This Row],[JUMLAH]]="","",(NOTA[[#This Row],[JUMLAH]]-NOTA[[#This Row],[DISC 1-]]-NOTA[[#This Row],[DISC 2-]])*NOTA[[#This Row],[DISC 3]])</f>
        <v/>
      </c>
      <c r="AB40" s="37" t="str">
        <f>IF(NOTA[[#This Row],[JUMLAH]]="","",NOTA[[#This Row],[DISC 1-]]+NOTA[[#This Row],[DISC 2-]]+NOTA[[#This Row],[DISC 3-]])</f>
        <v/>
      </c>
      <c r="AC40" s="37" t="str">
        <f>IF(NOTA[[#This Row],[JUMLAH]]="","",NOTA[[#This Row],[JUMLAH]]-NOTA[[#This Row],[DISC]])</f>
        <v/>
      </c>
      <c r="AD40" s="37"/>
      <c r="AE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0" s="37" t="str">
        <f>IF(OR(NOTA[[#This Row],[QTY]]="",NOTA[[#This Row],[HARGA SATUAN]]="",),"",NOTA[[#This Row],[QTY]]*NOTA[[#This Row],[HARGA SATUAN]])</f>
        <v/>
      </c>
      <c r="AI40" s="26">
        <f ca="1">IF(NOTA[[#This Row],[ID_H]]="","",INDEX(NOTA[TANGGAL],MATCH(,INDIRECT(ADDRESS(ROW(NOTA[TANGGAL]),COLUMN(NOTA[TANGGAL]))&amp;":"&amp;ADDRESS(ROW(),COLUMN(NOTA[TANGGAL]))),-1)))</f>
        <v>45439</v>
      </c>
      <c r="AJ40" s="26">
        <f ca="1">IF(NOTA[[#This Row],[ID_H]]="","",INDEX(NOTA[TGL.NOTA],MATCH(,INDIRECT(ADDRESS(ROW(NOTA[TGL.NOTA]),COLUMN(NOTA[TGL.NOTA]))&amp;":"&amp;ADDRESS(ROW(),COLUMN(NOTA[TGL.NOTA]))),-1)))</f>
        <v>45436</v>
      </c>
      <c r="AK40" s="26" t="str">
        <f ca="1">IF(NOTA[[#This Row],[ID_H]]="","",INDEX(NOTA[NO.NOTA],MATCH(NOTA[[#This Row],[ID_H]],NOTA[ID_H],0)))</f>
        <v>SURAT JALAN TH031/5/2024</v>
      </c>
      <c r="AL40" s="28" t="str">
        <f ca="1">IF(NOTA[[#This Row],[NAMA BARANG]]="","",INDEX(NOTA[SUPPLIER],MATCH(,INDIRECT(ADDRESS(ROW(NOTA[ID]),COLUMN(NOTA[ID]))&amp;":"&amp;ADDRESS(ROW(),COLUMN(NOTA[ID]))),-1)))</f>
        <v>SBS</v>
      </c>
      <c r="AM40" s="28" t="str">
        <f ca="1">IF(NOTA[[#This Row],[ID_H]]="","",IF(NOTA[[#This Row],[FAKTUR]]="",INDIRECT(ADDRESS(ROW()-1,COLUMN())),NOTA[[#This Row],[FAKTUR]]))</f>
        <v>UNTANA</v>
      </c>
      <c r="AN40" s="25" t="str">
        <f ca="1">IF(NOTA[[#This Row],[ID]]="","",COUNTIF(NOTA[ID_H],NOTA[[#This Row],[ID_H]]))</f>
        <v/>
      </c>
      <c r="AO40" s="25">
        <f ca="1">IF(NOTA[[#This Row],[TGL.NOTA]]="",IF(NOTA[[#This Row],[SUPPLIER_H]]="","",AO39),MONTH(NOTA[[#This Row],[TGL.NOTA]]))</f>
        <v>5</v>
      </c>
      <c r="AP40" s="25" t="str">
        <f>LOWER(SUBSTITUTE(SUBSTITUTE(SUBSTITUTE(SUBSTITUTE(SUBSTITUTE(SUBSTITUTE(SUBSTITUTE(SUBSTITUTE(SUBSTITUTE(NOTA[[#This Row],[NAMA BARANG]]," ",),".",""),"-",""),"(",""),")",""),",",""),"/",""),"""",""),"+",""))</f>
        <v>llgastaa5100gramhk</v>
      </c>
      <c r="AQ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llgastaa5100gramhk0</v>
      </c>
      <c r="AR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llgastaa5100gramhk0</v>
      </c>
      <c r="AS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" s="25" t="s">
        <v>258</v>
      </c>
      <c r="AU40" s="25">
        <f>IF(NOTA[[#This Row],[CONCAT1]]="","",MATCH(NOTA[[#This Row],[CONCAT1]],[3]!db[NB NOTA_C],0))</f>
        <v>3414</v>
      </c>
      <c r="AV40" s="25" t="b">
        <f>IF(NOTA[[#This Row],[QTY/ CTN]]="","",TRUE)</f>
        <v>1</v>
      </c>
      <c r="AW40" s="25" t="str">
        <f ca="1">IF(NOTA[[#This Row],[ID_H]]="","",IF(NOTA[[#This Row],[Column3]]=TRUE,NOTA[[#This Row],[QTY/ CTN]],INDEX([3]!db[QTY/ CTN],NOTA[[#This Row],[//DB]])))</f>
        <v>360 PAK</v>
      </c>
      <c r="AX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llgastaa5100gramhk360pakuntana</v>
      </c>
      <c r="AY40" s="25">
        <f ca="1">IF(NOTA[[#This Row],[ID_H]]="","",MATCH(NOTA[[#This Row],[NB NOTA_C_QTY]],[3]!db[NB NOTA_C_QTY+F],0))</f>
        <v>3414</v>
      </c>
      <c r="AZ40" s="38">
        <f ca="1">IF(NOTA[[#This Row],[NB NOTA_C_QTY]]="","",ROW()-2)</f>
        <v>38</v>
      </c>
    </row>
    <row r="41" spans="1:52" ht="20.100000000000001" customHeight="1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5" t="s">
        <v>258</v>
      </c>
      <c r="D41" s="25">
        <f ca="1">IF(NOTA[[#This Row],[NAMA BARANG]]="","",INDEX(NOTA[ID],MATCH(,INDIRECT(ADDRESS(ROW(NOTA[ID]),COLUMN(NOTA[ID]))&amp;":"&amp;ADDRESS(ROW(),COLUMN(NOTA[ID]))),-1)))</f>
        <v>8</v>
      </c>
      <c r="E41" s="33"/>
      <c r="H41" s="34"/>
      <c r="L41" s="25" t="s">
        <v>239</v>
      </c>
      <c r="M41" s="27">
        <v>2</v>
      </c>
      <c r="N41" s="25">
        <v>720</v>
      </c>
      <c r="O41" s="25" t="s">
        <v>222</v>
      </c>
      <c r="Q41" s="29"/>
      <c r="R41" s="35" t="s">
        <v>244</v>
      </c>
      <c r="S41" s="36"/>
      <c r="V41" s="37"/>
      <c r="W41" s="32" t="s">
        <v>245</v>
      </c>
      <c r="X41" s="37" t="str">
        <f>IF(NOTA[[#This Row],[HARGA/ CTN]]="",NOTA[[#This Row],[JUMLAH_H]],NOTA[[#This Row],[HARGA/ CTN]]*IF(NOTA[[#This Row],[C]]="",0,NOTA[[#This Row],[C]]))</f>
        <v/>
      </c>
      <c r="Y41" s="37" t="str">
        <f>IF(NOTA[[#This Row],[JUMLAH]]="","",NOTA[[#This Row],[JUMLAH]]*NOTA[[#This Row],[DISC 1]])</f>
        <v/>
      </c>
      <c r="Z41" s="37" t="str">
        <f>IF(NOTA[[#This Row],[JUMLAH]]="","",(NOTA[[#This Row],[JUMLAH]]-NOTA[[#This Row],[DISC 1-]])*NOTA[[#This Row],[DISC 2]])</f>
        <v/>
      </c>
      <c r="AA41" s="37" t="str">
        <f>IF(NOTA[[#This Row],[JUMLAH]]="","",(NOTA[[#This Row],[JUMLAH]]-NOTA[[#This Row],[DISC 1-]]-NOTA[[#This Row],[DISC 2-]])*NOTA[[#This Row],[DISC 3]])</f>
        <v/>
      </c>
      <c r="AB41" s="37" t="str">
        <f>IF(NOTA[[#This Row],[JUMLAH]]="","",NOTA[[#This Row],[DISC 1-]]+NOTA[[#This Row],[DISC 2-]]+NOTA[[#This Row],[DISC 3-]])</f>
        <v/>
      </c>
      <c r="AC41" s="37" t="str">
        <f>IF(NOTA[[#This Row],[JUMLAH]]="","",NOTA[[#This Row],[JUMLAH]]-NOTA[[#This Row],[DISC]])</f>
        <v/>
      </c>
      <c r="AD41" s="37"/>
      <c r="AE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1" s="37" t="str">
        <f>IF(OR(NOTA[[#This Row],[QTY]]="",NOTA[[#This Row],[HARGA SATUAN]]="",),"",NOTA[[#This Row],[QTY]]*NOTA[[#This Row],[HARGA SATUAN]])</f>
        <v/>
      </c>
      <c r="AI41" s="26">
        <f ca="1">IF(NOTA[[#This Row],[ID_H]]="","",INDEX(NOTA[TANGGAL],MATCH(,INDIRECT(ADDRESS(ROW(NOTA[TANGGAL]),COLUMN(NOTA[TANGGAL]))&amp;":"&amp;ADDRESS(ROW(),COLUMN(NOTA[TANGGAL]))),-1)))</f>
        <v>45439</v>
      </c>
      <c r="AJ41" s="26">
        <f ca="1">IF(NOTA[[#This Row],[ID_H]]="","",INDEX(NOTA[TGL.NOTA],MATCH(,INDIRECT(ADDRESS(ROW(NOTA[TGL.NOTA]),COLUMN(NOTA[TGL.NOTA]))&amp;":"&amp;ADDRESS(ROW(),COLUMN(NOTA[TGL.NOTA]))),-1)))</f>
        <v>45436</v>
      </c>
      <c r="AK41" s="26" t="str">
        <f ca="1">IF(NOTA[[#This Row],[ID_H]]="","",INDEX(NOTA[NO.NOTA],MATCH(NOTA[[#This Row],[ID_H]],NOTA[ID_H],0)))</f>
        <v>SURAT JALAN TH031/5/2024</v>
      </c>
      <c r="AL41" s="28" t="str">
        <f ca="1">IF(NOTA[[#This Row],[NAMA BARANG]]="","",INDEX(NOTA[SUPPLIER],MATCH(,INDIRECT(ADDRESS(ROW(NOTA[ID]),COLUMN(NOTA[ID]))&amp;":"&amp;ADDRESS(ROW(),COLUMN(NOTA[ID]))),-1)))</f>
        <v>SBS</v>
      </c>
      <c r="AM41" s="28" t="str">
        <f ca="1">IF(NOTA[[#This Row],[ID_H]]="","",IF(NOTA[[#This Row],[FAKTUR]]="",INDIRECT(ADDRESS(ROW()-1,COLUMN())),NOTA[[#This Row],[FAKTUR]]))</f>
        <v>UNTANA</v>
      </c>
      <c r="AN41" s="25" t="str">
        <f ca="1">IF(NOTA[[#This Row],[ID]]="","",COUNTIF(NOTA[ID_H],NOTA[[#This Row],[ID_H]]))</f>
        <v/>
      </c>
      <c r="AO41" s="25">
        <f ca="1">IF(NOTA[[#This Row],[TGL.NOTA]]="",IF(NOTA[[#This Row],[SUPPLIER_H]]="","",AO40),MONTH(NOTA[[#This Row],[TGL.NOTA]]))</f>
        <v>5</v>
      </c>
      <c r="AP41" s="25" t="str">
        <f>LOWER(SUBSTITUTE(SUBSTITUTE(SUBSTITUTE(SUBSTITUTE(SUBSTITUTE(SUBSTITUTE(SUBSTITUTE(SUBSTITUTE(SUBSTITUTE(NOTA[[#This Row],[NAMA BARANG]]," ",),".",""),"-",""),"(",""),")",""),",",""),"/",""),"""",""),"+",""))</f>
        <v>llgastaa5100gramtsum</v>
      </c>
      <c r="AQ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llgastaa5100gramtsum0</v>
      </c>
      <c r="AR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llgastaa5100gramtsum0</v>
      </c>
      <c r="AS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" s="25" t="s">
        <v>258</v>
      </c>
      <c r="AU41" s="25">
        <f>IF(NOTA[[#This Row],[CONCAT1]]="","",MATCH(NOTA[[#This Row],[CONCAT1]],[3]!db[NB NOTA_C],0))</f>
        <v>3415</v>
      </c>
      <c r="AV41" s="25" t="b">
        <f>IF(NOTA[[#This Row],[QTY/ CTN]]="","",TRUE)</f>
        <v>1</v>
      </c>
      <c r="AW41" s="25" t="str">
        <f ca="1">IF(NOTA[[#This Row],[ID_H]]="","",IF(NOTA[[#This Row],[Column3]]=TRUE,NOTA[[#This Row],[QTY/ CTN]],INDEX([3]!db[QTY/ CTN],NOTA[[#This Row],[//DB]])))</f>
        <v>360 PAK</v>
      </c>
      <c r="AX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llgastaa5100gramtsum360pakuntana</v>
      </c>
      <c r="AY41" s="25">
        <f ca="1">IF(NOTA[[#This Row],[ID_H]]="","",MATCH(NOTA[[#This Row],[NB NOTA_C_QTY]],[3]!db[NB NOTA_C_QTY+F],0))</f>
        <v>3415</v>
      </c>
      <c r="AZ41" s="38">
        <f ca="1">IF(NOTA[[#This Row],[NB NOTA_C_QTY]]="","",ROW()-2)</f>
        <v>39</v>
      </c>
    </row>
    <row r="42" spans="1:52" ht="20.100000000000001" customHeight="1">
      <c r="A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5" t="s">
        <v>258</v>
      </c>
      <c r="D42" s="25">
        <f ca="1">IF(NOTA[[#This Row],[NAMA BARANG]]="","",INDEX(NOTA[ID],MATCH(,INDIRECT(ADDRESS(ROW(NOTA[ID]),COLUMN(NOTA[ID]))&amp;":"&amp;ADDRESS(ROW(),COLUMN(NOTA[ID]))),-1)))</f>
        <v>8</v>
      </c>
      <c r="E42" s="33"/>
      <c r="H42" s="34"/>
      <c r="L42" s="61" t="s">
        <v>240</v>
      </c>
      <c r="M42" s="27">
        <v>5</v>
      </c>
      <c r="N42" s="25">
        <v>720</v>
      </c>
      <c r="O42" s="25" t="s">
        <v>111</v>
      </c>
      <c r="Q42" s="29"/>
      <c r="R42" s="35" t="s">
        <v>173</v>
      </c>
      <c r="S42" s="36"/>
      <c r="V42" s="37"/>
      <c r="W42" s="32" t="s">
        <v>245</v>
      </c>
      <c r="X42" s="37" t="str">
        <f>IF(NOTA[[#This Row],[HARGA/ CTN]]="",NOTA[[#This Row],[JUMLAH_H]],NOTA[[#This Row],[HARGA/ CTN]]*IF(NOTA[[#This Row],[C]]="",0,NOTA[[#This Row],[C]]))</f>
        <v/>
      </c>
      <c r="Y42" s="37" t="str">
        <f>IF(NOTA[[#This Row],[JUMLAH]]="","",NOTA[[#This Row],[JUMLAH]]*NOTA[[#This Row],[DISC 1]])</f>
        <v/>
      </c>
      <c r="Z42" s="37" t="str">
        <f>IF(NOTA[[#This Row],[JUMLAH]]="","",(NOTA[[#This Row],[JUMLAH]]-NOTA[[#This Row],[DISC 1-]])*NOTA[[#This Row],[DISC 2]])</f>
        <v/>
      </c>
      <c r="AA42" s="37" t="str">
        <f>IF(NOTA[[#This Row],[JUMLAH]]="","",(NOTA[[#This Row],[JUMLAH]]-NOTA[[#This Row],[DISC 1-]]-NOTA[[#This Row],[DISC 2-]])*NOTA[[#This Row],[DISC 3]])</f>
        <v/>
      </c>
      <c r="AB42" s="37" t="str">
        <f>IF(NOTA[[#This Row],[JUMLAH]]="","",NOTA[[#This Row],[DISC 1-]]+NOTA[[#This Row],[DISC 2-]]+NOTA[[#This Row],[DISC 3-]])</f>
        <v/>
      </c>
      <c r="AC42" s="37" t="str">
        <f>IF(NOTA[[#This Row],[JUMLAH]]="","",NOTA[[#This Row],[JUMLAH]]-NOTA[[#This Row],[DISC]])</f>
        <v/>
      </c>
      <c r="AD42" s="37"/>
      <c r="AE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2" s="37" t="str">
        <f>IF(OR(NOTA[[#This Row],[QTY]]="",NOTA[[#This Row],[HARGA SATUAN]]="",),"",NOTA[[#This Row],[QTY]]*NOTA[[#This Row],[HARGA SATUAN]])</f>
        <v/>
      </c>
      <c r="AI42" s="26">
        <f ca="1">IF(NOTA[[#This Row],[ID_H]]="","",INDEX(NOTA[TANGGAL],MATCH(,INDIRECT(ADDRESS(ROW(NOTA[TANGGAL]),COLUMN(NOTA[TANGGAL]))&amp;":"&amp;ADDRESS(ROW(),COLUMN(NOTA[TANGGAL]))),-1)))</f>
        <v>45439</v>
      </c>
      <c r="AJ42" s="26">
        <f ca="1">IF(NOTA[[#This Row],[ID_H]]="","",INDEX(NOTA[TGL.NOTA],MATCH(,INDIRECT(ADDRESS(ROW(NOTA[TGL.NOTA]),COLUMN(NOTA[TGL.NOTA]))&amp;":"&amp;ADDRESS(ROW(),COLUMN(NOTA[TGL.NOTA]))),-1)))</f>
        <v>45436</v>
      </c>
      <c r="AK42" s="26" t="str">
        <f ca="1">IF(NOTA[[#This Row],[ID_H]]="","",INDEX(NOTA[NO.NOTA],MATCH(NOTA[[#This Row],[ID_H]],NOTA[ID_H],0)))</f>
        <v>SURAT JALAN TH031/5/2024</v>
      </c>
      <c r="AL42" s="28" t="str">
        <f ca="1">IF(NOTA[[#This Row],[NAMA BARANG]]="","",INDEX(NOTA[SUPPLIER],MATCH(,INDIRECT(ADDRESS(ROW(NOTA[ID]),COLUMN(NOTA[ID]))&amp;":"&amp;ADDRESS(ROW(),COLUMN(NOTA[ID]))),-1)))</f>
        <v>SBS</v>
      </c>
      <c r="AM42" s="28" t="str">
        <f ca="1">IF(NOTA[[#This Row],[ID_H]]="","",IF(NOTA[[#This Row],[FAKTUR]]="",INDIRECT(ADDRESS(ROW()-1,COLUMN())),NOTA[[#This Row],[FAKTUR]]))</f>
        <v>UNTANA</v>
      </c>
      <c r="AN42" s="25" t="str">
        <f ca="1">IF(NOTA[[#This Row],[ID]]="","",COUNTIF(NOTA[ID_H],NOTA[[#This Row],[ID_H]]))</f>
        <v/>
      </c>
      <c r="AO42" s="25">
        <f ca="1">IF(NOTA[[#This Row],[TGL.NOTA]]="",IF(NOTA[[#This Row],[SUPPLIER_H]]="","",AO41),MONTH(NOTA[[#This Row],[TGL.NOTA]]))</f>
        <v>5</v>
      </c>
      <c r="AP42" s="25" t="str">
        <f>LOWER(SUBSTITUTE(SUBSTITUTE(SUBSTITUTE(SUBSTITUTE(SUBSTITUTE(SUBSTITUTE(SUBSTITUTE(SUBSTITUTE(SUBSTITUTE(NOTA[[#This Row],[NAMA BARANG]]," ",),".",""),"-",""),"(",""),")",""),",",""),"/",""),"""",""),"+",""))</f>
        <v>pcma1151</v>
      </c>
      <c r="AQ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pcma11510</v>
      </c>
      <c r="AR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pcma11510</v>
      </c>
      <c r="AS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" s="25" t="s">
        <v>258</v>
      </c>
      <c r="AU42" s="25">
        <f>IF(NOTA[[#This Row],[CONCAT1]]="","",MATCH(NOTA[[#This Row],[CONCAT1]],[3]!db[NB NOTA_C],0))</f>
        <v>2471</v>
      </c>
      <c r="AV42" s="25" t="b">
        <f>IF(NOTA[[#This Row],[QTY/ CTN]]="","",TRUE)</f>
        <v>1</v>
      </c>
      <c r="AW42" s="25" t="str">
        <f ca="1">IF(NOTA[[#This Row],[ID_H]]="","",IF(NOTA[[#This Row],[Column3]]=TRUE,NOTA[[#This Row],[QTY/ CTN]],INDEX([3]!db[QTY/ CTN],NOTA[[#This Row],[//DB]])))</f>
        <v>144 PCS</v>
      </c>
      <c r="AX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pcma1151144pcsuntana</v>
      </c>
      <c r="AY42" s="25">
        <f ca="1">IF(NOTA[[#This Row],[ID_H]]="","",MATCH(NOTA[[#This Row],[NB NOTA_C_QTY]],[3]!db[NB NOTA_C_QTY+F],0))</f>
        <v>2471</v>
      </c>
      <c r="AZ42" s="38">
        <f ca="1">IF(NOTA[[#This Row],[NB NOTA_C_QTY]]="","",ROW()-2)</f>
        <v>40</v>
      </c>
    </row>
    <row r="43" spans="1:52" ht="20.100000000000001" customHeight="1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5" t="s">
        <v>258</v>
      </c>
      <c r="D43" s="25">
        <f ca="1">IF(NOTA[[#This Row],[NAMA BARANG]]="","",INDEX(NOTA[ID],MATCH(,INDIRECT(ADDRESS(ROW(NOTA[ID]),COLUMN(NOTA[ID]))&amp;":"&amp;ADDRESS(ROW(),COLUMN(NOTA[ID]))),-1)))</f>
        <v>8</v>
      </c>
      <c r="E43" s="33"/>
      <c r="H43" s="34"/>
      <c r="L43" s="61" t="s">
        <v>241</v>
      </c>
      <c r="M43" s="27">
        <v>3</v>
      </c>
      <c r="N43" s="25">
        <v>180</v>
      </c>
      <c r="O43" s="25" t="s">
        <v>110</v>
      </c>
      <c r="Q43" s="29"/>
      <c r="R43" s="35" t="s">
        <v>167</v>
      </c>
      <c r="S43" s="36"/>
      <c r="V43" s="37"/>
      <c r="W43" s="32" t="s">
        <v>245</v>
      </c>
      <c r="X43" s="37" t="str">
        <f>IF(NOTA[[#This Row],[HARGA/ CTN]]="",NOTA[[#This Row],[JUMLAH_H]],NOTA[[#This Row],[HARGA/ CTN]]*IF(NOTA[[#This Row],[C]]="",0,NOTA[[#This Row],[C]]))</f>
        <v/>
      </c>
      <c r="Y43" s="37" t="str">
        <f>IF(NOTA[[#This Row],[JUMLAH]]="","",NOTA[[#This Row],[JUMLAH]]*NOTA[[#This Row],[DISC 1]])</f>
        <v/>
      </c>
      <c r="Z43" s="37" t="str">
        <f>IF(NOTA[[#This Row],[JUMLAH]]="","",(NOTA[[#This Row],[JUMLAH]]-NOTA[[#This Row],[DISC 1-]])*NOTA[[#This Row],[DISC 2]])</f>
        <v/>
      </c>
      <c r="AA43" s="37" t="str">
        <f>IF(NOTA[[#This Row],[JUMLAH]]="","",(NOTA[[#This Row],[JUMLAH]]-NOTA[[#This Row],[DISC 1-]]-NOTA[[#This Row],[DISC 2-]])*NOTA[[#This Row],[DISC 3]])</f>
        <v/>
      </c>
      <c r="AB43" s="37" t="str">
        <f>IF(NOTA[[#This Row],[JUMLAH]]="","",NOTA[[#This Row],[DISC 1-]]+NOTA[[#This Row],[DISC 2-]]+NOTA[[#This Row],[DISC 3-]])</f>
        <v/>
      </c>
      <c r="AC43" s="37" t="str">
        <f>IF(NOTA[[#This Row],[JUMLAH]]="","",NOTA[[#This Row],[JUMLAH]]-NOTA[[#This Row],[DISC]])</f>
        <v/>
      </c>
      <c r="AD43" s="37"/>
      <c r="AE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3" s="37" t="str">
        <f>IF(OR(NOTA[[#This Row],[QTY]]="",NOTA[[#This Row],[HARGA SATUAN]]="",),"",NOTA[[#This Row],[QTY]]*NOTA[[#This Row],[HARGA SATUAN]])</f>
        <v/>
      </c>
      <c r="AI43" s="26">
        <f ca="1">IF(NOTA[[#This Row],[ID_H]]="","",INDEX(NOTA[TANGGAL],MATCH(,INDIRECT(ADDRESS(ROW(NOTA[TANGGAL]),COLUMN(NOTA[TANGGAL]))&amp;":"&amp;ADDRESS(ROW(),COLUMN(NOTA[TANGGAL]))),-1)))</f>
        <v>45439</v>
      </c>
      <c r="AJ43" s="26">
        <f ca="1">IF(NOTA[[#This Row],[ID_H]]="","",INDEX(NOTA[TGL.NOTA],MATCH(,INDIRECT(ADDRESS(ROW(NOTA[TGL.NOTA]),COLUMN(NOTA[TGL.NOTA]))&amp;":"&amp;ADDRESS(ROW(),COLUMN(NOTA[TGL.NOTA]))),-1)))</f>
        <v>45436</v>
      </c>
      <c r="AK43" s="26" t="str">
        <f ca="1">IF(NOTA[[#This Row],[ID_H]]="","",INDEX(NOTA[NO.NOTA],MATCH(NOTA[[#This Row],[ID_H]],NOTA[ID_H],0)))</f>
        <v>SURAT JALAN TH031/5/2024</v>
      </c>
      <c r="AL43" s="28" t="str">
        <f ca="1">IF(NOTA[[#This Row],[NAMA BARANG]]="","",INDEX(NOTA[SUPPLIER],MATCH(,INDIRECT(ADDRESS(ROW(NOTA[ID]),COLUMN(NOTA[ID]))&amp;":"&amp;ADDRESS(ROW(),COLUMN(NOTA[ID]))),-1)))</f>
        <v>SBS</v>
      </c>
      <c r="AM43" s="28" t="str">
        <f ca="1">IF(NOTA[[#This Row],[ID_H]]="","",IF(NOTA[[#This Row],[FAKTUR]]="",INDIRECT(ADDRESS(ROW()-1,COLUMN())),NOTA[[#This Row],[FAKTUR]]))</f>
        <v>UNTANA</v>
      </c>
      <c r="AN43" s="25" t="str">
        <f ca="1">IF(NOTA[[#This Row],[ID]]="","",COUNTIF(NOTA[ID_H],NOTA[[#This Row],[ID_H]]))</f>
        <v/>
      </c>
      <c r="AO43" s="25">
        <f ca="1">IF(NOTA[[#This Row],[TGL.NOTA]]="",IF(NOTA[[#This Row],[SUPPLIER_H]]="","",AO42),MONTH(NOTA[[#This Row],[TGL.NOTA]]))</f>
        <v>5</v>
      </c>
      <c r="AP43" s="25" t="str">
        <f>LOWER(SUBSTITUTE(SUBSTITUTE(SUBSTITUTE(SUBSTITUTE(SUBSTITUTE(SUBSTITUTE(SUBSTITUTE(SUBSTITUTE(SUBSTITUTE(NOTA[[#This Row],[NAMA BARANG]]," ",),".",""),"-",""),"(",""),")",""),",",""),"/",""),"""",""),"+",""))</f>
        <v>paletanggur</v>
      </c>
      <c r="AQ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paletanggur0</v>
      </c>
      <c r="AR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paletanggur0</v>
      </c>
      <c r="AS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" s="25" t="s">
        <v>258</v>
      </c>
      <c r="AU43" s="25" t="e">
        <f>IF(NOTA[[#This Row],[CONCAT1]]="","",MATCH(NOTA[[#This Row],[CONCAT1]],[3]!db[NB NOTA_C],0))</f>
        <v>#N/A</v>
      </c>
      <c r="AV43" s="25" t="b">
        <f>IF(NOTA[[#This Row],[QTY/ CTN]]="","",TRUE)</f>
        <v>1</v>
      </c>
      <c r="AW43" s="25" t="str">
        <f ca="1">IF(NOTA[[#This Row],[ID_H]]="","",IF(NOTA[[#This Row],[Column3]]=TRUE,NOTA[[#This Row],[QTY/ CTN]],INDEX([3]!db[QTY/ CTN],NOTA[[#This Row],[//DB]])))</f>
        <v>60 LSN</v>
      </c>
      <c r="AX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paletanggur60lsnuntana</v>
      </c>
      <c r="AY43" s="25" t="e">
        <f ca="1">IF(NOTA[[#This Row],[ID_H]]="","",MATCH(NOTA[[#This Row],[NB NOTA_C_QTY]],[3]!db[NB NOTA_C_QTY+F],0))</f>
        <v>#N/A</v>
      </c>
      <c r="AZ43" s="38">
        <f ca="1">IF(NOTA[[#This Row],[NB NOTA_C_QTY]]="","",ROW()-2)</f>
        <v>41</v>
      </c>
    </row>
    <row r="44" spans="1:52" ht="20.100000000000001" customHeight="1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5" t="s">
        <v>258</v>
      </c>
      <c r="D44" s="25">
        <f ca="1">IF(NOTA[[#This Row],[NAMA BARANG]]="","",INDEX(NOTA[ID],MATCH(,INDIRECT(ADDRESS(ROW(NOTA[ID]),COLUMN(NOTA[ID]))&amp;":"&amp;ADDRESS(ROW(),COLUMN(NOTA[ID]))),-1)))</f>
        <v>8</v>
      </c>
      <c r="E44" s="33"/>
      <c r="H44" s="34"/>
      <c r="L44" s="61" t="s">
        <v>242</v>
      </c>
      <c r="M44" s="27">
        <v>4</v>
      </c>
      <c r="N44" s="25">
        <v>240</v>
      </c>
      <c r="O44" s="25" t="s">
        <v>110</v>
      </c>
      <c r="Q44" s="29"/>
      <c r="R44" s="35" t="s">
        <v>167</v>
      </c>
      <c r="S44" s="36"/>
      <c r="V44" s="37"/>
      <c r="W44" s="32" t="s">
        <v>245</v>
      </c>
      <c r="X44" s="37" t="str">
        <f>IF(NOTA[[#This Row],[HARGA/ CTN]]="",NOTA[[#This Row],[JUMLAH_H]],NOTA[[#This Row],[HARGA/ CTN]]*IF(NOTA[[#This Row],[C]]="",0,NOTA[[#This Row],[C]]))</f>
        <v/>
      </c>
      <c r="Y44" s="37" t="str">
        <f>IF(NOTA[[#This Row],[JUMLAH]]="","",NOTA[[#This Row],[JUMLAH]]*NOTA[[#This Row],[DISC 1]])</f>
        <v/>
      </c>
      <c r="Z44" s="37" t="str">
        <f>IF(NOTA[[#This Row],[JUMLAH]]="","",(NOTA[[#This Row],[JUMLAH]]-NOTA[[#This Row],[DISC 1-]])*NOTA[[#This Row],[DISC 2]])</f>
        <v/>
      </c>
      <c r="AA44" s="37" t="str">
        <f>IF(NOTA[[#This Row],[JUMLAH]]="","",(NOTA[[#This Row],[JUMLAH]]-NOTA[[#This Row],[DISC 1-]]-NOTA[[#This Row],[DISC 2-]])*NOTA[[#This Row],[DISC 3]])</f>
        <v/>
      </c>
      <c r="AB44" s="37" t="str">
        <f>IF(NOTA[[#This Row],[JUMLAH]]="","",NOTA[[#This Row],[DISC 1-]]+NOTA[[#This Row],[DISC 2-]]+NOTA[[#This Row],[DISC 3-]])</f>
        <v/>
      </c>
      <c r="AC44" s="37" t="str">
        <f>IF(NOTA[[#This Row],[JUMLAH]]="","",NOTA[[#This Row],[JUMLAH]]-NOTA[[#This Row],[DISC]])</f>
        <v/>
      </c>
      <c r="AD44" s="37"/>
      <c r="AE4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G4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4" s="37" t="str">
        <f>IF(OR(NOTA[[#This Row],[QTY]]="",NOTA[[#This Row],[HARGA SATUAN]]="",),"",NOTA[[#This Row],[QTY]]*NOTA[[#This Row],[HARGA SATUAN]])</f>
        <v/>
      </c>
      <c r="AI44" s="26">
        <f ca="1">IF(NOTA[[#This Row],[ID_H]]="","",INDEX(NOTA[TANGGAL],MATCH(,INDIRECT(ADDRESS(ROW(NOTA[TANGGAL]),COLUMN(NOTA[TANGGAL]))&amp;":"&amp;ADDRESS(ROW(),COLUMN(NOTA[TANGGAL]))),-1)))</f>
        <v>45439</v>
      </c>
      <c r="AJ44" s="26">
        <f ca="1">IF(NOTA[[#This Row],[ID_H]]="","",INDEX(NOTA[TGL.NOTA],MATCH(,INDIRECT(ADDRESS(ROW(NOTA[TGL.NOTA]),COLUMN(NOTA[TGL.NOTA]))&amp;":"&amp;ADDRESS(ROW(),COLUMN(NOTA[TGL.NOTA]))),-1)))</f>
        <v>45436</v>
      </c>
      <c r="AK44" s="26" t="str">
        <f ca="1">IF(NOTA[[#This Row],[ID_H]]="","",INDEX(NOTA[NO.NOTA],MATCH(NOTA[[#This Row],[ID_H]],NOTA[ID_H],0)))</f>
        <v>SURAT JALAN TH031/5/2024</v>
      </c>
      <c r="AL44" s="28" t="str">
        <f ca="1">IF(NOTA[[#This Row],[NAMA BARANG]]="","",INDEX(NOTA[SUPPLIER],MATCH(,INDIRECT(ADDRESS(ROW(NOTA[ID]),COLUMN(NOTA[ID]))&amp;":"&amp;ADDRESS(ROW(),COLUMN(NOTA[ID]))),-1)))</f>
        <v>SBS</v>
      </c>
      <c r="AM44" s="28" t="str">
        <f ca="1">IF(NOTA[[#This Row],[ID_H]]="","",IF(NOTA[[#This Row],[FAKTUR]]="",INDIRECT(ADDRESS(ROW()-1,COLUMN())),NOTA[[#This Row],[FAKTUR]]))</f>
        <v>UNTANA</v>
      </c>
      <c r="AN44" s="25" t="str">
        <f ca="1">IF(NOTA[[#This Row],[ID]]="","",COUNTIF(NOTA[ID_H],NOTA[[#This Row],[ID_H]]))</f>
        <v/>
      </c>
      <c r="AO44" s="25">
        <f ca="1">IF(NOTA[[#This Row],[TGL.NOTA]]="",IF(NOTA[[#This Row],[SUPPLIER_H]]="","",AO43),MONTH(NOTA[[#This Row],[TGL.NOTA]]))</f>
        <v>5</v>
      </c>
      <c r="AP44" s="25" t="str">
        <f>LOWER(SUBSTITUTE(SUBSTITUTE(SUBSTITUTE(SUBSTITUTE(SUBSTITUTE(SUBSTITUTE(SUBSTITUTE(SUBSTITUTE(SUBSTITUTE(NOTA[[#This Row],[NAMA BARANG]]," ",),".",""),"-",""),"(",""),")",""),",",""),"/",""),"""",""),"+",""))</f>
        <v>paletapel</v>
      </c>
      <c r="AQ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paletapel0</v>
      </c>
      <c r="AR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paletapel0</v>
      </c>
      <c r="AS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" s="25" t="s">
        <v>258</v>
      </c>
      <c r="AU44" s="25" t="e">
        <f>IF(NOTA[[#This Row],[CONCAT1]]="","",MATCH(NOTA[[#This Row],[CONCAT1]],[3]!db[NB NOTA_C],0))</f>
        <v>#N/A</v>
      </c>
      <c r="AV44" s="25" t="b">
        <f>IF(NOTA[[#This Row],[QTY/ CTN]]="","",TRUE)</f>
        <v>1</v>
      </c>
      <c r="AW44" s="25" t="str">
        <f ca="1">IF(NOTA[[#This Row],[ID_H]]="","",IF(NOTA[[#This Row],[Column3]]=TRUE,NOTA[[#This Row],[QTY/ CTN]],INDEX([3]!db[QTY/ CTN],NOTA[[#This Row],[//DB]])))</f>
        <v>60 LSN</v>
      </c>
      <c r="AX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paletapel60lsnuntana</v>
      </c>
      <c r="AY44" s="25" t="e">
        <f ca="1">IF(NOTA[[#This Row],[ID_H]]="","",MATCH(NOTA[[#This Row],[NB NOTA_C_QTY]],[3]!db[NB NOTA_C_QTY+F],0))</f>
        <v>#N/A</v>
      </c>
      <c r="AZ44" s="38">
        <f ca="1">IF(NOTA[[#This Row],[NB NOTA_C_QTY]]="","",ROW()-2)</f>
        <v>42</v>
      </c>
    </row>
    <row r="45" spans="1:52" ht="20.100000000000001" customHeight="1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5" t="s">
        <v>258</v>
      </c>
      <c r="D45" s="25" t="str">
        <f ca="1">IF(NOTA[[#This Row],[NAMA BARANG]]="","",INDEX(NOTA[ID],MATCH(,INDIRECT(ADDRESS(ROW(NOTA[ID]),COLUMN(NOTA[ID]))&amp;":"&amp;ADDRESS(ROW(),COLUMN(NOTA[ID]))),-1)))</f>
        <v/>
      </c>
      <c r="E45" s="33"/>
      <c r="H45" s="34"/>
      <c r="Q45" s="29"/>
      <c r="R45" s="35"/>
      <c r="S45" s="36"/>
      <c r="V45" s="37"/>
      <c r="W45" s="32"/>
      <c r="X45" s="37" t="str">
        <f>IF(NOTA[[#This Row],[HARGA/ CTN]]="",NOTA[[#This Row],[JUMLAH_H]],NOTA[[#This Row],[HARGA/ CTN]]*IF(NOTA[[#This Row],[C]]="",0,NOTA[[#This Row],[C]]))</f>
        <v/>
      </c>
      <c r="Y45" s="37" t="str">
        <f>IF(NOTA[[#This Row],[JUMLAH]]="","",NOTA[[#This Row],[JUMLAH]]*NOTA[[#This Row],[DISC 1]])</f>
        <v/>
      </c>
      <c r="Z45" s="37" t="str">
        <f>IF(NOTA[[#This Row],[JUMLAH]]="","",(NOTA[[#This Row],[JUMLAH]]-NOTA[[#This Row],[DISC 1-]])*NOTA[[#This Row],[DISC 2]])</f>
        <v/>
      </c>
      <c r="AA45" s="37" t="str">
        <f>IF(NOTA[[#This Row],[JUMLAH]]="","",(NOTA[[#This Row],[JUMLAH]]-NOTA[[#This Row],[DISC 1-]]-NOTA[[#This Row],[DISC 2-]])*NOTA[[#This Row],[DISC 3]])</f>
        <v/>
      </c>
      <c r="AB45" s="37" t="str">
        <f>IF(NOTA[[#This Row],[JUMLAH]]="","",NOTA[[#This Row],[DISC 1-]]+NOTA[[#This Row],[DISC 2-]]+NOTA[[#This Row],[DISC 3-]])</f>
        <v/>
      </c>
      <c r="AC45" s="37" t="str">
        <f>IF(NOTA[[#This Row],[JUMLAH]]="","",NOTA[[#This Row],[JUMLAH]]-NOTA[[#This Row],[DISC]])</f>
        <v/>
      </c>
      <c r="AD45" s="37"/>
      <c r="AE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" s="37" t="str">
        <f>IF(OR(NOTA[[#This Row],[QTY]]="",NOTA[[#This Row],[HARGA SATUAN]]="",),"",NOTA[[#This Row],[QTY]]*NOTA[[#This Row],[HARGA SATUAN]])</f>
        <v/>
      </c>
      <c r="AI45" s="26" t="str">
        <f ca="1">IF(NOTA[[#This Row],[ID_H]]="","",INDEX(NOTA[TANGGAL],MATCH(,INDIRECT(ADDRESS(ROW(NOTA[TANGGAL]),COLUMN(NOTA[TANGGAL]))&amp;":"&amp;ADDRESS(ROW(),COLUMN(NOTA[TANGGAL]))),-1)))</f>
        <v/>
      </c>
      <c r="AJ45" s="26" t="str">
        <f ca="1">IF(NOTA[[#This Row],[ID_H]]="","",INDEX(NOTA[TGL.NOTA],MATCH(,INDIRECT(ADDRESS(ROW(NOTA[TGL.NOTA]),COLUMN(NOTA[TGL.NOTA]))&amp;":"&amp;ADDRESS(ROW(),COLUMN(NOTA[TGL.NOTA]))),-1)))</f>
        <v/>
      </c>
      <c r="AK45" s="26" t="str">
        <f ca="1">IF(NOTA[[#This Row],[ID_H]]="","",INDEX(NOTA[NO.NOTA],MATCH(NOTA[[#This Row],[ID_H]],NOTA[ID_H],0)))</f>
        <v/>
      </c>
      <c r="AL45" s="28" t="str">
        <f ca="1">IF(NOTA[[#This Row],[NAMA BARANG]]="","",INDEX(NOTA[SUPPLIER],MATCH(,INDIRECT(ADDRESS(ROW(NOTA[ID]),COLUMN(NOTA[ID]))&amp;":"&amp;ADDRESS(ROW(),COLUMN(NOTA[ID]))),-1)))</f>
        <v/>
      </c>
      <c r="AM45" s="28" t="str">
        <f ca="1">IF(NOTA[[#This Row],[ID_H]]="","",IF(NOTA[[#This Row],[FAKTUR]]="",INDIRECT(ADDRESS(ROW()-1,COLUMN())),NOTA[[#This Row],[FAKTUR]]))</f>
        <v/>
      </c>
      <c r="AN45" s="25" t="str">
        <f ca="1">IF(NOTA[[#This Row],[ID]]="","",COUNTIF(NOTA[ID_H],NOTA[[#This Row],[ID_H]]))</f>
        <v/>
      </c>
      <c r="AO45" s="25" t="str">
        <f ca="1">IF(NOTA[[#This Row],[TGL.NOTA]]="",IF(NOTA[[#This Row],[SUPPLIER_H]]="","",#REF!),MONTH(NOTA[[#This Row],[TGL.NOTA]]))</f>
        <v/>
      </c>
      <c r="AP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" s="25" t="s">
        <v>258</v>
      </c>
      <c r="AU45" s="25" t="str">
        <f>IF(NOTA[[#This Row],[CONCAT1]]="","",MATCH(NOTA[[#This Row],[CONCAT1]],[3]!db[NB NOTA_C],0))</f>
        <v/>
      </c>
      <c r="AV45" s="25" t="str">
        <f>IF(NOTA[[#This Row],[QTY/ CTN]]="","",TRUE)</f>
        <v/>
      </c>
      <c r="AW45" s="25" t="str">
        <f ca="1">IF(NOTA[[#This Row],[ID_H]]="","",IF(NOTA[[#This Row],[Column3]]=TRUE,NOTA[[#This Row],[QTY/ CTN]],INDEX([3]!db[QTY/ CTN],NOTA[[#This Row],[//DB]])))</f>
        <v/>
      </c>
      <c r="AX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" s="25" t="str">
        <f ca="1">IF(NOTA[[#This Row],[ID_H]]="","",MATCH(NOTA[[#This Row],[NB NOTA_C_QTY]],[3]!db[NB NOTA_C_QTY+F],0))</f>
        <v/>
      </c>
      <c r="AZ45" s="38" t="str">
        <f ca="1">IF(NOTA[[#This Row],[NB NOTA_C_QTY]]="","",ROW()-2)</f>
        <v/>
      </c>
    </row>
    <row r="46" spans="1:52" ht="20.100000000000001" customHeight="1">
      <c r="A46" s="28">
        <f ca="1">IF(INDIRECT(ADDRESS(ROW()-1,COLUMN(NOTA[[#Headers],[ID]])))="ID",1,IF(NOTA[[#This Row],[FAKTUR]]="","",COUNT(INDIRECT(ADDRESS(ROW(NOTA[ID]),COLUMN(NOTA[ID]))&amp;":"&amp;ADDRESS(ROW()-1,COLUMN(NOTA[ID]))))+1))</f>
        <v>9</v>
      </c>
      <c r="B4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SAH_2705_-24-3</v>
      </c>
      <c r="C46" s="25" t="e">
        <v>#REF!</v>
      </c>
      <c r="D46" s="25">
        <f ca="1">IF(NOTA[[#This Row],[NAMA BARANG]]="","",INDEX(NOTA[ID],MATCH(,INDIRECT(ADDRESS(ROW(NOTA[ID]),COLUMN(NOTA[ID]))&amp;":"&amp;ADDRESS(ROW(),COLUMN(NOTA[ID]))),-1)))</f>
        <v>9</v>
      </c>
      <c r="E46" s="33">
        <v>45439</v>
      </c>
      <c r="F46" s="25" t="s">
        <v>247</v>
      </c>
      <c r="G46" s="25" t="s">
        <v>109</v>
      </c>
      <c r="H46" s="34" t="s">
        <v>248</v>
      </c>
      <c r="J46" s="26">
        <v>45436</v>
      </c>
      <c r="L46" s="25" t="s">
        <v>249</v>
      </c>
      <c r="M46" s="27">
        <v>5</v>
      </c>
      <c r="N46" s="25">
        <v>2700</v>
      </c>
      <c r="O46" s="25" t="s">
        <v>111</v>
      </c>
      <c r="P46" s="28">
        <v>7500</v>
      </c>
      <c r="Q46" s="29"/>
      <c r="R46" s="35" t="s">
        <v>250</v>
      </c>
      <c r="S46" s="36">
        <v>0.03</v>
      </c>
      <c r="V46" s="37"/>
      <c r="W46" s="32"/>
      <c r="X46" s="37">
        <f>IF(NOTA[[#This Row],[HARGA/ CTN]]="",NOTA[[#This Row],[JUMLAH_H]],NOTA[[#This Row],[HARGA/ CTN]]*IF(NOTA[[#This Row],[C]]="",0,NOTA[[#This Row],[C]]))</f>
        <v>20250000</v>
      </c>
      <c r="Y46" s="37">
        <f>IF(NOTA[[#This Row],[JUMLAH]]="","",NOTA[[#This Row],[JUMLAH]]*NOTA[[#This Row],[DISC 1]])</f>
        <v>607500</v>
      </c>
      <c r="Z46" s="37">
        <f>IF(NOTA[[#This Row],[JUMLAH]]="","",(NOTA[[#This Row],[JUMLAH]]-NOTA[[#This Row],[DISC 1-]])*NOTA[[#This Row],[DISC 2]])</f>
        <v>0</v>
      </c>
      <c r="AA46" s="37">
        <f>IF(NOTA[[#This Row],[JUMLAH]]="","",(NOTA[[#This Row],[JUMLAH]]-NOTA[[#This Row],[DISC 1-]]-NOTA[[#This Row],[DISC 2-]])*NOTA[[#This Row],[DISC 3]])</f>
        <v>0</v>
      </c>
      <c r="AB46" s="37">
        <f>IF(NOTA[[#This Row],[JUMLAH]]="","",NOTA[[#This Row],[DISC 1-]]+NOTA[[#This Row],[DISC 2-]]+NOTA[[#This Row],[DISC 3-]])</f>
        <v>607500</v>
      </c>
      <c r="AC46" s="37">
        <f>IF(NOTA[[#This Row],[JUMLAH]]="","",NOTA[[#This Row],[JUMLAH]]-NOTA[[#This Row],[DISC]])</f>
        <v>19642500</v>
      </c>
      <c r="AD46" s="37"/>
      <c r="AE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" s="28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H46" s="37">
        <f>IF(OR(NOTA[[#This Row],[QTY]]="",NOTA[[#This Row],[HARGA SATUAN]]="",),"",NOTA[[#This Row],[QTY]]*NOTA[[#This Row],[HARGA SATUAN]])</f>
        <v>20250000</v>
      </c>
      <c r="AI46" s="26">
        <f ca="1">IF(NOTA[[#This Row],[ID_H]]="","",INDEX(NOTA[TANGGAL],MATCH(,INDIRECT(ADDRESS(ROW(NOTA[TANGGAL]),COLUMN(NOTA[TANGGAL]))&amp;":"&amp;ADDRESS(ROW(),COLUMN(NOTA[TANGGAL]))),-1)))</f>
        <v>45439</v>
      </c>
      <c r="AJ46" s="26">
        <f ca="1">IF(NOTA[[#This Row],[ID_H]]="","",INDEX(NOTA[TGL.NOTA],MATCH(,INDIRECT(ADDRESS(ROW(NOTA[TGL.NOTA]),COLUMN(NOTA[TGL.NOTA]))&amp;":"&amp;ADDRESS(ROW(),COLUMN(NOTA[TGL.NOTA]))),-1)))</f>
        <v>45436</v>
      </c>
      <c r="AK46" s="26" t="str">
        <f ca="1">IF(NOTA[[#This Row],[ID_H]]="","",INDEX(NOTA[NO.NOTA],MATCH(NOTA[[#This Row],[ID_H]],NOTA[ID_H],0)))</f>
        <v>SIW/0423/05-24</v>
      </c>
      <c r="AL46" s="28" t="str">
        <f ca="1">IF(NOTA[[#This Row],[NAMA BARANG]]="","",INDEX(NOTA[SUPPLIER],MATCH(,INDIRECT(ADDRESS(ROW(NOTA[ID]),COLUMN(NOTA[ID]))&amp;":"&amp;ADDRESS(ROW(),COLUMN(NOTA[ID]))),-1)))</f>
        <v>SAHABAT REJEKI</v>
      </c>
      <c r="AM46" s="28" t="str">
        <f ca="1">IF(NOTA[[#This Row],[ID_H]]="","",IF(NOTA[[#This Row],[FAKTUR]]="",INDIRECT(ADDRESS(ROW()-1,COLUMN())),NOTA[[#This Row],[FAKTUR]]))</f>
        <v>UNTANA</v>
      </c>
      <c r="AN46" s="25">
        <f ca="1">IF(NOTA[[#This Row],[ID]]="","",COUNTIF(NOTA[ID_H],NOTA[[#This Row],[ID_H]]))</f>
        <v>3</v>
      </c>
      <c r="AO46" s="25">
        <f>IF(NOTA[[#This Row],[TGL.NOTA]]="",IF(NOTA[[#This Row],[SUPPLIER_H]]="","",AO45),MONTH(NOTA[[#This Row],[TGL.NOTA]]))</f>
        <v>5</v>
      </c>
      <c r="AP46" s="25" t="str">
        <f>LOWER(SUBSTITUTE(SUBSTITUTE(SUBSTITUTE(SUBSTITUTE(SUBSTITUTE(SUBSTITUTE(SUBSTITUTE(SUBSTITUTE(SUBSTITUTE(NOTA[[#This Row],[NAMA BARANG]]," ",),".",""),"-",""),"(",""),")",""),",",""),"/",""),"""",""),"+",""))</f>
        <v>pencilcase66752zippermixtanpamika</v>
      </c>
      <c r="AQ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pencilcase66752zippermixtanpamika40500000,03</v>
      </c>
      <c r="AR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pencilcase66752zippermixtanpamika40500000,03</v>
      </c>
      <c r="AS46" s="25" t="str">
        <f>IF(NOTA[[#This Row],[SUPPLIER]]="","",NOTA[[#This Row],[SUPPLIER]]&amp;NOTA[[#This Row],[FAKTUR]]&amp;NOTA[[#This Row],[NO.NOTA]]&amp;NOTA[[#This Row],[NO.SJ]]&amp;NOTA[[#This Row],[TGL.NOTA]]&amp;NOTA[[#This Row],[CONCAT1]])</f>
        <v>SAHABAT REJEKIUNTANASIW/0423/05-2445436pencilcase66752zippermixtanpamika</v>
      </c>
      <c r="AT46" s="25" t="e">
        <v>#REF!</v>
      </c>
      <c r="AU46" s="25">
        <f>IF(NOTA[[#This Row],[CONCAT1]]="","",MATCH(NOTA[[#This Row],[CONCAT1]],[3]!db[NB NOTA_C],0))</f>
        <v>3416</v>
      </c>
      <c r="AV46" s="25" t="b">
        <f>IF(NOTA[[#This Row],[QTY/ CTN]]="","",TRUE)</f>
        <v>1</v>
      </c>
      <c r="AW46" s="25" t="str">
        <f ca="1">IF(NOTA[[#This Row],[ID_H]]="","",IF(NOTA[[#This Row],[Column3]]=TRUE,NOTA[[#This Row],[QTY/ CTN]],INDEX([3]!db[QTY/ CTN],NOTA[[#This Row],[//DB]])))</f>
        <v>540 PCS</v>
      </c>
      <c r="AX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pencilcase66752zippermixtanpamika540pcsuntana</v>
      </c>
      <c r="AY46" s="25">
        <f ca="1">IF(NOTA[[#This Row],[ID_H]]="","",MATCH(NOTA[[#This Row],[NB NOTA_C_QTY]],[3]!db[NB NOTA_C_QTY+F],0))</f>
        <v>3416</v>
      </c>
      <c r="AZ46" s="38">
        <f ca="1">IF(NOTA[[#This Row],[NB NOTA_C_QTY]]="","",ROW()-2)</f>
        <v>44</v>
      </c>
    </row>
    <row r="47" spans="1:52" ht="20.100000000000001" customHeight="1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5" t="s">
        <v>258</v>
      </c>
      <c r="D47" s="25">
        <f ca="1">IF(NOTA[[#This Row],[NAMA BARANG]]="","",INDEX(NOTA[ID],MATCH(,INDIRECT(ADDRESS(ROW(NOTA[ID]),COLUMN(NOTA[ID]))&amp;":"&amp;ADDRESS(ROW(),COLUMN(NOTA[ID]))),-1)))</f>
        <v>9</v>
      </c>
      <c r="E47" s="33"/>
      <c r="H47" s="34"/>
      <c r="L47" s="25" t="s">
        <v>252</v>
      </c>
      <c r="M47" s="27">
        <v>1</v>
      </c>
      <c r="N47" s="25">
        <v>68</v>
      </c>
      <c r="O47" s="25" t="s">
        <v>111</v>
      </c>
      <c r="P47" s="28">
        <v>22500</v>
      </c>
      <c r="Q47" s="29"/>
      <c r="R47" s="35" t="s">
        <v>251</v>
      </c>
      <c r="S47" s="36">
        <v>0.03</v>
      </c>
      <c r="V47" s="37"/>
      <c r="W47" s="32"/>
      <c r="X47" s="37">
        <f>IF(NOTA[[#This Row],[HARGA/ CTN]]="",NOTA[[#This Row],[JUMLAH_H]],NOTA[[#This Row],[HARGA/ CTN]]*IF(NOTA[[#This Row],[C]]="",0,NOTA[[#This Row],[C]]))</f>
        <v>1530000</v>
      </c>
      <c r="Y47" s="37">
        <f>IF(NOTA[[#This Row],[JUMLAH]]="","",NOTA[[#This Row],[JUMLAH]]*NOTA[[#This Row],[DISC 1]])</f>
        <v>45900</v>
      </c>
      <c r="Z47" s="37">
        <f>IF(NOTA[[#This Row],[JUMLAH]]="","",(NOTA[[#This Row],[JUMLAH]]-NOTA[[#This Row],[DISC 1-]])*NOTA[[#This Row],[DISC 2]])</f>
        <v>0</v>
      </c>
      <c r="AA47" s="37">
        <f>IF(NOTA[[#This Row],[JUMLAH]]="","",(NOTA[[#This Row],[JUMLAH]]-NOTA[[#This Row],[DISC 1-]]-NOTA[[#This Row],[DISC 2-]])*NOTA[[#This Row],[DISC 3]])</f>
        <v>0</v>
      </c>
      <c r="AB47" s="37">
        <f>IF(NOTA[[#This Row],[JUMLAH]]="","",NOTA[[#This Row],[DISC 1-]]+NOTA[[#This Row],[DISC 2-]]+NOTA[[#This Row],[DISC 3-]])</f>
        <v>45900</v>
      </c>
      <c r="AC47" s="37">
        <f>IF(NOTA[[#This Row],[JUMLAH]]="","",NOTA[[#This Row],[JUMLAH]]-NOTA[[#This Row],[DISC]])</f>
        <v>1484100</v>
      </c>
      <c r="AD47" s="37"/>
      <c r="AE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" s="28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H47" s="37">
        <f>IF(OR(NOTA[[#This Row],[QTY]]="",NOTA[[#This Row],[HARGA SATUAN]]="",),"",NOTA[[#This Row],[QTY]]*NOTA[[#This Row],[HARGA SATUAN]])</f>
        <v>1530000</v>
      </c>
      <c r="AI47" s="26">
        <f ca="1">IF(NOTA[[#This Row],[ID_H]]="","",INDEX(NOTA[TANGGAL],MATCH(,INDIRECT(ADDRESS(ROW(NOTA[TANGGAL]),COLUMN(NOTA[TANGGAL]))&amp;":"&amp;ADDRESS(ROW(),COLUMN(NOTA[TANGGAL]))),-1)))</f>
        <v>45439</v>
      </c>
      <c r="AJ47" s="26">
        <f ca="1">IF(NOTA[[#This Row],[ID_H]]="","",INDEX(NOTA[TGL.NOTA],MATCH(,INDIRECT(ADDRESS(ROW(NOTA[TGL.NOTA]),COLUMN(NOTA[TGL.NOTA]))&amp;":"&amp;ADDRESS(ROW(),COLUMN(NOTA[TGL.NOTA]))),-1)))</f>
        <v>45436</v>
      </c>
      <c r="AK47" s="26" t="str">
        <f ca="1">IF(NOTA[[#This Row],[ID_H]]="","",INDEX(NOTA[NO.NOTA],MATCH(NOTA[[#This Row],[ID_H]],NOTA[ID_H],0)))</f>
        <v>SIW/0423/05-24</v>
      </c>
      <c r="AL47" s="28" t="str">
        <f ca="1">IF(NOTA[[#This Row],[NAMA BARANG]]="","",INDEX(NOTA[SUPPLIER],MATCH(,INDIRECT(ADDRESS(ROW(NOTA[ID]),COLUMN(NOTA[ID]))&amp;":"&amp;ADDRESS(ROW(),COLUMN(NOTA[ID]))),-1)))</f>
        <v>SAHABAT REJEKI</v>
      </c>
      <c r="AM47" s="28" t="str">
        <f ca="1">IF(NOTA[[#This Row],[ID_H]]="","",IF(NOTA[[#This Row],[FAKTUR]]="",INDIRECT(ADDRESS(ROW()-1,COLUMN())),NOTA[[#This Row],[FAKTUR]]))</f>
        <v>UNTANA</v>
      </c>
      <c r="AN47" s="25" t="str">
        <f ca="1">IF(NOTA[[#This Row],[ID]]="","",COUNTIF(NOTA[ID_H],NOTA[[#This Row],[ID_H]]))</f>
        <v/>
      </c>
      <c r="AO47" s="25">
        <f ca="1">IF(NOTA[[#This Row],[TGL.NOTA]]="",IF(NOTA[[#This Row],[SUPPLIER_H]]="","",AO46),MONTH(NOTA[[#This Row],[TGL.NOTA]]))</f>
        <v>5</v>
      </c>
      <c r="AP47" s="25" t="str">
        <f>LOWER(SUBSTITUTE(SUBSTITUTE(SUBSTITUTE(SUBSTITUTE(SUBSTITUTE(SUBSTITUTE(SUBSTITUTE(SUBSTITUTE(SUBSTITUTE(NOTA[[#This Row],[NAMA BARANG]]," ",),".",""),"-",""),"(",""),")",""),",",""),"/",""),"""",""),"+",""))</f>
        <v>sketchbook8khmx45002town45lbr</v>
      </c>
      <c r="AQ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sketchbook8khmx45002town45lbr15300000,03</v>
      </c>
      <c r="AR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sketchbook8khmx45002town45lbr15300000,03</v>
      </c>
      <c r="AS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" s="25" t="s">
        <v>258</v>
      </c>
      <c r="AU47" s="25">
        <f>IF(NOTA[[#This Row],[CONCAT1]]="","",MATCH(NOTA[[#This Row],[CONCAT1]],[3]!db[NB NOTA_C],0))</f>
        <v>3417</v>
      </c>
      <c r="AV47" s="25" t="b">
        <f>IF(NOTA[[#This Row],[QTY/ CTN]]="","",TRUE)</f>
        <v>1</v>
      </c>
      <c r="AW47" s="25" t="str">
        <f ca="1">IF(NOTA[[#This Row],[ID_H]]="","",IF(NOTA[[#This Row],[Column3]]=TRUE,NOTA[[#This Row],[QTY/ CTN]],INDEX([3]!db[QTY/ CTN],NOTA[[#This Row],[//DB]])))</f>
        <v>68 PCS</v>
      </c>
      <c r="AX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sketchbook8khmx45002town45lbr68pcsuntana</v>
      </c>
      <c r="AY47" s="25">
        <f ca="1">IF(NOTA[[#This Row],[ID_H]]="","",MATCH(NOTA[[#This Row],[NB NOTA_C_QTY]],[3]!db[NB NOTA_C_QTY+F],0))</f>
        <v>3417</v>
      </c>
      <c r="AZ47" s="38">
        <f ca="1">IF(NOTA[[#This Row],[NB NOTA_C_QTY]]="","",ROW()-2)</f>
        <v>45</v>
      </c>
    </row>
    <row r="48" spans="1:52" ht="20.100000000000001" customHeight="1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5" t="s">
        <v>258</v>
      </c>
      <c r="D48" s="25">
        <f ca="1">IF(NOTA[[#This Row],[NAMA BARANG]]="","",INDEX(NOTA[ID],MATCH(,INDIRECT(ADDRESS(ROW(NOTA[ID]),COLUMN(NOTA[ID]))&amp;":"&amp;ADDRESS(ROW(),COLUMN(NOTA[ID]))),-1)))</f>
        <v>9</v>
      </c>
      <c r="E48" s="33"/>
      <c r="H48" s="34"/>
      <c r="L48" s="25" t="s">
        <v>253</v>
      </c>
      <c r="M48" s="27">
        <v>1</v>
      </c>
      <c r="N48" s="25">
        <v>68</v>
      </c>
      <c r="O48" s="25" t="s">
        <v>111</v>
      </c>
      <c r="P48" s="28">
        <v>22500</v>
      </c>
      <c r="Q48" s="29"/>
      <c r="R48" s="35" t="s">
        <v>251</v>
      </c>
      <c r="S48" s="36">
        <v>0.03</v>
      </c>
      <c r="V48" s="37"/>
      <c r="W48" s="32"/>
      <c r="X48" s="37">
        <f>IF(NOTA[[#This Row],[HARGA/ CTN]]="",NOTA[[#This Row],[JUMLAH_H]],NOTA[[#This Row],[HARGA/ CTN]]*IF(NOTA[[#This Row],[C]]="",0,NOTA[[#This Row],[C]]))</f>
        <v>1530000</v>
      </c>
      <c r="Y48" s="37">
        <f>IF(NOTA[[#This Row],[JUMLAH]]="","",NOTA[[#This Row],[JUMLAH]]*NOTA[[#This Row],[DISC 1]])</f>
        <v>45900</v>
      </c>
      <c r="Z48" s="37">
        <f>IF(NOTA[[#This Row],[JUMLAH]]="","",(NOTA[[#This Row],[JUMLAH]]-NOTA[[#This Row],[DISC 1-]])*NOTA[[#This Row],[DISC 2]])</f>
        <v>0</v>
      </c>
      <c r="AA48" s="37">
        <f>IF(NOTA[[#This Row],[JUMLAH]]="","",(NOTA[[#This Row],[JUMLAH]]-NOTA[[#This Row],[DISC 1-]]-NOTA[[#This Row],[DISC 2-]])*NOTA[[#This Row],[DISC 3]])</f>
        <v>0</v>
      </c>
      <c r="AB48" s="37">
        <f>IF(NOTA[[#This Row],[JUMLAH]]="","",NOTA[[#This Row],[DISC 1-]]+NOTA[[#This Row],[DISC 2-]]+NOTA[[#This Row],[DISC 3-]])</f>
        <v>45900</v>
      </c>
      <c r="AC48" s="37">
        <f>IF(NOTA[[#This Row],[JUMLAH]]="","",NOTA[[#This Row],[JUMLAH]]-NOTA[[#This Row],[DISC]])</f>
        <v>1484100</v>
      </c>
      <c r="AD48" s="37"/>
      <c r="AE4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699300</v>
      </c>
      <c r="AF4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22610700</v>
      </c>
      <c r="AG48" s="28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H48" s="37">
        <f>IF(OR(NOTA[[#This Row],[QTY]]="",NOTA[[#This Row],[HARGA SATUAN]]="",),"",NOTA[[#This Row],[QTY]]*NOTA[[#This Row],[HARGA SATUAN]])</f>
        <v>1530000</v>
      </c>
      <c r="AI48" s="26">
        <f ca="1">IF(NOTA[[#This Row],[ID_H]]="","",INDEX(NOTA[TANGGAL],MATCH(,INDIRECT(ADDRESS(ROW(NOTA[TANGGAL]),COLUMN(NOTA[TANGGAL]))&amp;":"&amp;ADDRESS(ROW(),COLUMN(NOTA[TANGGAL]))),-1)))</f>
        <v>45439</v>
      </c>
      <c r="AJ48" s="26">
        <f ca="1">IF(NOTA[[#This Row],[ID_H]]="","",INDEX(NOTA[TGL.NOTA],MATCH(,INDIRECT(ADDRESS(ROW(NOTA[TGL.NOTA]),COLUMN(NOTA[TGL.NOTA]))&amp;":"&amp;ADDRESS(ROW(),COLUMN(NOTA[TGL.NOTA]))),-1)))</f>
        <v>45436</v>
      </c>
      <c r="AK48" s="26" t="str">
        <f ca="1">IF(NOTA[[#This Row],[ID_H]]="","",INDEX(NOTA[NO.NOTA],MATCH(NOTA[[#This Row],[ID_H]],NOTA[ID_H],0)))</f>
        <v>SIW/0423/05-24</v>
      </c>
      <c r="AL48" s="28" t="str">
        <f ca="1">IF(NOTA[[#This Row],[NAMA BARANG]]="","",INDEX(NOTA[SUPPLIER],MATCH(,INDIRECT(ADDRESS(ROW(NOTA[ID]),COLUMN(NOTA[ID]))&amp;":"&amp;ADDRESS(ROW(),COLUMN(NOTA[ID]))),-1)))</f>
        <v>SAHABAT REJEKI</v>
      </c>
      <c r="AM48" s="28" t="str">
        <f ca="1">IF(NOTA[[#This Row],[ID_H]]="","",IF(NOTA[[#This Row],[FAKTUR]]="",INDIRECT(ADDRESS(ROW()-1,COLUMN())),NOTA[[#This Row],[FAKTUR]]))</f>
        <v>UNTANA</v>
      </c>
      <c r="AN48" s="25" t="str">
        <f ca="1">IF(NOTA[[#This Row],[ID]]="","",COUNTIF(NOTA[ID_H],NOTA[[#This Row],[ID_H]]))</f>
        <v/>
      </c>
      <c r="AO48" s="25">
        <f ca="1">IF(NOTA[[#This Row],[TGL.NOTA]]="",IF(NOTA[[#This Row],[SUPPLIER_H]]="","",AO47),MONTH(NOTA[[#This Row],[TGL.NOTA]]))</f>
        <v>5</v>
      </c>
      <c r="AP48" s="25" t="str">
        <f>LOWER(SUBSTITUTE(SUBSTITUTE(SUBSTITUTE(SUBSTITUTE(SUBSTITUTE(SUBSTITUTE(SUBSTITUTE(SUBSTITUTE(SUBSTITUTE(NOTA[[#This Row],[NAMA BARANG]]," ",),".",""),"-",""),"(",""),")",""),",",""),"/",""),"""",""),"+",""))</f>
        <v>sketchbook8khmx45003girl45lbr</v>
      </c>
      <c r="AQ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sketchbook8khmx45003girl45lbr15300000,03</v>
      </c>
      <c r="AR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sketchbook8khmx45003girl45lbr15300000,03</v>
      </c>
      <c r="AS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" s="25" t="s">
        <v>258</v>
      </c>
      <c r="AU48" s="25">
        <f>IF(NOTA[[#This Row],[CONCAT1]]="","",MATCH(NOTA[[#This Row],[CONCAT1]],[3]!db[NB NOTA_C],0))</f>
        <v>3418</v>
      </c>
      <c r="AV48" s="25" t="b">
        <f>IF(NOTA[[#This Row],[QTY/ CTN]]="","",TRUE)</f>
        <v>1</v>
      </c>
      <c r="AW48" s="25" t="str">
        <f ca="1">IF(NOTA[[#This Row],[ID_H]]="","",IF(NOTA[[#This Row],[Column3]]=TRUE,NOTA[[#This Row],[QTY/ CTN]],INDEX([3]!db[QTY/ CTN],NOTA[[#This Row],[//DB]])))</f>
        <v>68 PCS</v>
      </c>
      <c r="AX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sketchbook8khmx45003girl45lbr68pcsuntana</v>
      </c>
      <c r="AY48" s="25">
        <f ca="1">IF(NOTA[[#This Row],[ID_H]]="","",MATCH(NOTA[[#This Row],[NB NOTA_C_QTY]],[3]!db[NB NOTA_C_QTY+F],0))</f>
        <v>3418</v>
      </c>
      <c r="AZ48" s="38">
        <f ca="1">IF(NOTA[[#This Row],[NB NOTA_C_QTY]]="","",ROW()-2)</f>
        <v>46</v>
      </c>
    </row>
    <row r="49" spans="1:52" ht="20.100000000000001" customHeight="1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" s="25" t="str">
        <f ca="1">IF(NOTA[[#This Row],[NAMA BARANG]]="","",INDEX(NOTA[ID],MATCH(,INDIRECT(ADDRESS(ROW(NOTA[ID]),COLUMN(NOTA[ID]))&amp;":"&amp;ADDRESS(ROW(),COLUMN(NOTA[ID]))),-1)))</f>
        <v/>
      </c>
      <c r="E49" s="33"/>
      <c r="H49" s="34"/>
      <c r="Q49" s="29"/>
      <c r="R49" s="35"/>
      <c r="S49" s="36"/>
      <c r="V49" s="37"/>
      <c r="W49" s="32"/>
      <c r="X49" s="37" t="str">
        <f>IF(NOTA[[#This Row],[HARGA/ CTN]]="",NOTA[[#This Row],[JUMLAH_H]],NOTA[[#This Row],[HARGA/ CTN]]*IF(NOTA[[#This Row],[C]]="",0,NOTA[[#This Row],[C]]))</f>
        <v/>
      </c>
      <c r="Y49" s="37" t="str">
        <f>IF(NOTA[[#This Row],[JUMLAH]]="","",NOTA[[#This Row],[JUMLAH]]*NOTA[[#This Row],[DISC 1]])</f>
        <v/>
      </c>
      <c r="Z49" s="37" t="str">
        <f>IF(NOTA[[#This Row],[JUMLAH]]="","",(NOTA[[#This Row],[JUMLAH]]-NOTA[[#This Row],[DISC 1-]])*NOTA[[#This Row],[DISC 2]])</f>
        <v/>
      </c>
      <c r="AA49" s="37" t="str">
        <f>IF(NOTA[[#This Row],[JUMLAH]]="","",(NOTA[[#This Row],[JUMLAH]]-NOTA[[#This Row],[DISC 1-]]-NOTA[[#This Row],[DISC 2-]])*NOTA[[#This Row],[DISC 3]])</f>
        <v/>
      </c>
      <c r="AB49" s="37" t="str">
        <f>IF(NOTA[[#This Row],[JUMLAH]]="","",NOTA[[#This Row],[DISC 1-]]+NOTA[[#This Row],[DISC 2-]]+NOTA[[#This Row],[DISC 3-]])</f>
        <v/>
      </c>
      <c r="AC49" s="37" t="str">
        <f>IF(NOTA[[#This Row],[JUMLAH]]="","",NOTA[[#This Row],[JUMLAH]]-NOTA[[#This Row],[DISC]])</f>
        <v/>
      </c>
      <c r="AD49" s="37"/>
      <c r="AE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" s="37" t="str">
        <f>IF(OR(NOTA[[#This Row],[QTY]]="",NOTA[[#This Row],[HARGA SATUAN]]="",),"",NOTA[[#This Row],[QTY]]*NOTA[[#This Row],[HARGA SATUAN]])</f>
        <v/>
      </c>
      <c r="AI49" s="26" t="str">
        <f ca="1">IF(NOTA[[#This Row],[ID_H]]="","",INDEX(NOTA[TANGGAL],MATCH(,INDIRECT(ADDRESS(ROW(NOTA[TANGGAL]),COLUMN(NOTA[TANGGAL]))&amp;":"&amp;ADDRESS(ROW(),COLUMN(NOTA[TANGGAL]))),-1)))</f>
        <v/>
      </c>
      <c r="AJ49" s="26" t="str">
        <f ca="1">IF(NOTA[[#This Row],[ID_H]]="","",INDEX(NOTA[TGL.NOTA],MATCH(,INDIRECT(ADDRESS(ROW(NOTA[TGL.NOTA]),COLUMN(NOTA[TGL.NOTA]))&amp;":"&amp;ADDRESS(ROW(),COLUMN(NOTA[TGL.NOTA]))),-1)))</f>
        <v/>
      </c>
      <c r="AK49" s="26" t="str">
        <f ca="1">IF(NOTA[[#This Row],[ID_H]]="","",INDEX(NOTA[NO.NOTA],MATCH(NOTA[[#This Row],[ID_H]],NOTA[ID_H],0)))</f>
        <v/>
      </c>
      <c r="AL49" s="28" t="str">
        <f ca="1">IF(NOTA[[#This Row],[NAMA BARANG]]="","",INDEX(NOTA[SUPPLIER],MATCH(,INDIRECT(ADDRESS(ROW(NOTA[ID]),COLUMN(NOTA[ID]))&amp;":"&amp;ADDRESS(ROW(),COLUMN(NOTA[ID]))),-1)))</f>
        <v/>
      </c>
      <c r="AM49" s="28" t="str">
        <f ca="1">IF(NOTA[[#This Row],[ID_H]]="","",IF(NOTA[[#This Row],[FAKTUR]]="",INDIRECT(ADDRESS(ROW()-1,COLUMN())),NOTA[[#This Row],[FAKTUR]]))</f>
        <v/>
      </c>
      <c r="AN49" s="25" t="str">
        <f ca="1">IF(NOTA[[#This Row],[ID]]="","",COUNTIF(NOTA[ID_H],NOTA[[#This Row],[ID_H]]))</f>
        <v/>
      </c>
      <c r="AO49" s="25" t="str">
        <f ca="1">IF(NOTA[[#This Row],[TGL.NOTA]]="",IF(NOTA[[#This Row],[SUPPLIER_H]]="","",AO48),MONTH(NOTA[[#This Row],[TGL.NOTA]]))</f>
        <v/>
      </c>
      <c r="AP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" s="25"/>
      <c r="AU49" s="25" t="str">
        <f>IF(NOTA[[#This Row],[CONCAT1]]="","",MATCH(NOTA[[#This Row],[CONCAT1]],[3]!db[NB NOTA_C],0))</f>
        <v/>
      </c>
      <c r="AV49" s="25" t="str">
        <f>IF(NOTA[[#This Row],[QTY/ CTN]]="","",TRUE)</f>
        <v/>
      </c>
      <c r="AW49" s="25" t="str">
        <f ca="1">IF(NOTA[[#This Row],[ID_H]]="","",IF(NOTA[[#This Row],[Column3]]=TRUE,NOTA[[#This Row],[QTY/ CTN]],INDEX([3]!db[QTY/ CTN],NOTA[[#This Row],[//DB]])))</f>
        <v/>
      </c>
      <c r="AX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" s="25" t="str">
        <f ca="1">IF(NOTA[[#This Row],[ID_H]]="","",MATCH(NOTA[[#This Row],[NB NOTA_C_QTY]],[3]!db[NB NOTA_C_QTY+F],0))</f>
        <v/>
      </c>
      <c r="AZ49" s="38" t="str">
        <f ca="1">IF(NOTA[[#This Row],[NB NOTA_C_QTY]]="","",ROW()-2)</f>
        <v/>
      </c>
    </row>
    <row r="50" spans="1:52" ht="20.100000000000001" customHeight="1">
      <c r="A50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5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SUR_3005_366-2</v>
      </c>
      <c r="D50" s="25">
        <f ca="1">IF(NOTA[[#This Row],[NAMA BARANG]]="","",INDEX(NOTA[ID],MATCH(,INDIRECT(ADDRESS(ROW(NOTA[ID]),COLUMN(NOTA[ID]))&amp;":"&amp;ADDRESS(ROW(),COLUMN(NOTA[ID]))),-1)))</f>
        <v>10</v>
      </c>
      <c r="E50" s="33">
        <v>45442</v>
      </c>
      <c r="F50" s="25" t="s">
        <v>259</v>
      </c>
      <c r="G50" s="25" t="s">
        <v>109</v>
      </c>
      <c r="H50" s="34" t="s">
        <v>260</v>
      </c>
      <c r="J50" s="26">
        <v>45436</v>
      </c>
      <c r="L50" s="25" t="s">
        <v>302</v>
      </c>
      <c r="M50" s="27">
        <v>10</v>
      </c>
      <c r="N50" s="25">
        <v>1000</v>
      </c>
      <c r="O50" s="25" t="s">
        <v>111</v>
      </c>
      <c r="P50" s="28">
        <v>13500</v>
      </c>
      <c r="Q50" s="29"/>
      <c r="R50" s="35" t="s">
        <v>261</v>
      </c>
      <c r="S50" s="36"/>
      <c r="V50" s="37"/>
      <c r="W50" s="32"/>
      <c r="X50" s="37">
        <f>IF(NOTA[[#This Row],[HARGA/ CTN]]="",NOTA[[#This Row],[JUMLAH_H]],NOTA[[#This Row],[HARGA/ CTN]]*IF(NOTA[[#This Row],[C]]="",0,NOTA[[#This Row],[C]]))</f>
        <v>13500000</v>
      </c>
      <c r="Y50" s="37">
        <f>IF(NOTA[[#This Row],[JUMLAH]]="","",NOTA[[#This Row],[JUMLAH]]*NOTA[[#This Row],[DISC 1]])</f>
        <v>0</v>
      </c>
      <c r="Z50" s="37">
        <f>IF(NOTA[[#This Row],[JUMLAH]]="","",(NOTA[[#This Row],[JUMLAH]]-NOTA[[#This Row],[DISC 1-]])*NOTA[[#This Row],[DISC 2]])</f>
        <v>0</v>
      </c>
      <c r="AA50" s="37">
        <f>IF(NOTA[[#This Row],[JUMLAH]]="","",(NOTA[[#This Row],[JUMLAH]]-NOTA[[#This Row],[DISC 1-]]-NOTA[[#This Row],[DISC 2-]])*NOTA[[#This Row],[DISC 3]])</f>
        <v>0</v>
      </c>
      <c r="AB50" s="37">
        <f>IF(NOTA[[#This Row],[JUMLAH]]="","",NOTA[[#This Row],[DISC 1-]]+NOTA[[#This Row],[DISC 2-]]+NOTA[[#This Row],[DISC 3-]])</f>
        <v>0</v>
      </c>
      <c r="AC50" s="37">
        <f>IF(NOTA[[#This Row],[JUMLAH]]="","",NOTA[[#This Row],[JUMLAH]]-NOTA[[#This Row],[DISC]])</f>
        <v>13500000</v>
      </c>
      <c r="AD50" s="37"/>
      <c r="AE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" s="2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H50" s="37">
        <f>IF(OR(NOTA[[#This Row],[QTY]]="",NOTA[[#This Row],[HARGA SATUAN]]="",),"",NOTA[[#This Row],[QTY]]*NOTA[[#This Row],[HARGA SATUAN]])</f>
        <v>13500000</v>
      </c>
      <c r="AI50" s="26">
        <f ca="1">IF(NOTA[[#This Row],[ID_H]]="","",INDEX(NOTA[TANGGAL],MATCH(,INDIRECT(ADDRESS(ROW(NOTA[TANGGAL]),COLUMN(NOTA[TANGGAL]))&amp;":"&amp;ADDRESS(ROW(),COLUMN(NOTA[TANGGAL]))),-1)))</f>
        <v>45442</v>
      </c>
      <c r="AJ50" s="26">
        <f ca="1">IF(NOTA[[#This Row],[ID_H]]="","",INDEX(NOTA[TGL.NOTA],MATCH(,INDIRECT(ADDRESS(ROW(NOTA[TGL.NOTA]),COLUMN(NOTA[TGL.NOTA]))&amp;":"&amp;ADDRESS(ROW(),COLUMN(NOTA[TGL.NOTA]))),-1)))</f>
        <v>45436</v>
      </c>
      <c r="AK50" s="26" t="str">
        <f ca="1">IF(NOTA[[#This Row],[ID_H]]="","",INDEX(NOTA[NO.NOTA],MATCH(NOTA[[#This Row],[ID_H]],NOTA[ID_H],0)))</f>
        <v>24/V/366</v>
      </c>
      <c r="AL50" s="28" t="str">
        <f ca="1">IF(NOTA[[#This Row],[NAMA BARANG]]="","",INDEX(NOTA[SUPPLIER],MATCH(,INDIRECT(ADDRESS(ROW(NOTA[ID]),COLUMN(NOTA[ID]))&amp;":"&amp;ADDRESS(ROW(),COLUMN(NOTA[ID]))),-1)))</f>
        <v>SURYA PRATAMA</v>
      </c>
      <c r="AM50" s="28" t="str">
        <f ca="1">IF(NOTA[[#This Row],[ID_H]]="","",IF(NOTA[[#This Row],[FAKTUR]]="",INDIRECT(ADDRESS(ROW()-1,COLUMN())),NOTA[[#This Row],[FAKTUR]]))</f>
        <v>UNTANA</v>
      </c>
      <c r="AN50" s="25">
        <f ca="1">IF(NOTA[[#This Row],[ID]]="","",COUNTIF(NOTA[ID_H],NOTA[[#This Row],[ID_H]]))</f>
        <v>2</v>
      </c>
      <c r="AO50" s="25">
        <f>IF(NOTA[[#This Row],[TGL.NOTA]]="",IF(NOTA[[#This Row],[SUPPLIER_H]]="","",AO49),MONTH(NOTA[[#This Row],[TGL.NOTA]]))</f>
        <v>5</v>
      </c>
      <c r="AP50" s="25" t="str">
        <f>LOWER(SUBSTITUTE(SUBSTITUTE(SUBSTITUTE(SUBSTITUTE(SUBSTITUTE(SUBSTITUTE(SUBSTITUTE(SUBSTITUTE(SUBSTITUTE(NOTA[[#This Row],[NAMA BARANG]]," ",),".",""),"-",""),"(",""),")",""),",",""),"/",""),"""",""),"+",""))</f>
        <v>acryliccolorspaintvtro</v>
      </c>
      <c r="AQ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acryliccolorspaintvtro1350000</v>
      </c>
      <c r="AR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acryliccolorspaintvtro1350000</v>
      </c>
      <c r="AS50" s="25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PRATAMAUNTANA24/V/36645436acryliccolorspaintvtro</v>
      </c>
      <c r="AT50" s="25"/>
      <c r="AU50" s="25">
        <f>IF(NOTA[[#This Row],[CONCAT1]]="","",MATCH(NOTA[[#This Row],[CONCAT1]],[3]!db[NB NOTA_C],0))</f>
        <v>17</v>
      </c>
      <c r="AV50" s="25" t="b">
        <f>IF(NOTA[[#This Row],[QTY/ CTN]]="","",TRUE)</f>
        <v>1</v>
      </c>
      <c r="AW50" s="25" t="str">
        <f ca="1">IF(NOTA[[#This Row],[ID_H]]="","",IF(NOTA[[#This Row],[Column3]]=TRUE,NOTA[[#This Row],[QTY/ CTN]],INDEX([3]!db[QTY/ CTN],NOTA[[#This Row],[//DB]])))</f>
        <v>100 PCS</v>
      </c>
      <c r="AX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acryliccolorspaintvtro100pcsuntana</v>
      </c>
      <c r="AY50" s="25">
        <f ca="1">IF(NOTA[[#This Row],[ID_H]]="","",MATCH(NOTA[[#This Row],[NB NOTA_C_QTY]],[3]!db[NB NOTA_C_QTY+F],0))</f>
        <v>17</v>
      </c>
      <c r="AZ50" s="38">
        <f ca="1">IF(NOTA[[#This Row],[NB NOTA_C_QTY]]="","",ROW()-2)</f>
        <v>48</v>
      </c>
    </row>
    <row r="51" spans="1:52" ht="20.100000000000001" customHeight="1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" s="25">
        <f ca="1">IF(NOTA[[#This Row],[NAMA BARANG]]="","",INDEX(NOTA[ID],MATCH(,INDIRECT(ADDRESS(ROW(NOTA[ID]),COLUMN(NOTA[ID]))&amp;":"&amp;ADDRESS(ROW(),COLUMN(NOTA[ID]))),-1)))</f>
        <v>10</v>
      </c>
      <c r="E51" s="33"/>
      <c r="H51" s="34"/>
      <c r="L51" s="25" t="s">
        <v>303</v>
      </c>
      <c r="M51" s="27">
        <v>10</v>
      </c>
      <c r="N51" s="25">
        <v>1000</v>
      </c>
      <c r="O51" s="25" t="s">
        <v>111</v>
      </c>
      <c r="P51" s="28">
        <v>12500</v>
      </c>
      <c r="Q51" s="29"/>
      <c r="R51" s="35" t="s">
        <v>261</v>
      </c>
      <c r="S51" s="36"/>
      <c r="V51" s="37"/>
      <c r="W51" s="32"/>
      <c r="X51" s="37">
        <f>IF(NOTA[[#This Row],[HARGA/ CTN]]="",NOTA[[#This Row],[JUMLAH_H]],NOTA[[#This Row],[HARGA/ CTN]]*IF(NOTA[[#This Row],[C]]="",0,NOTA[[#This Row],[C]]))</f>
        <v>12500000</v>
      </c>
      <c r="Y51" s="37">
        <f>IF(NOTA[[#This Row],[JUMLAH]]="","",NOTA[[#This Row],[JUMLAH]]*NOTA[[#This Row],[DISC 1]])</f>
        <v>0</v>
      </c>
      <c r="Z51" s="37">
        <f>IF(NOTA[[#This Row],[JUMLAH]]="","",(NOTA[[#This Row],[JUMLAH]]-NOTA[[#This Row],[DISC 1-]])*NOTA[[#This Row],[DISC 2]])</f>
        <v>0</v>
      </c>
      <c r="AA51" s="37">
        <f>IF(NOTA[[#This Row],[JUMLAH]]="","",(NOTA[[#This Row],[JUMLAH]]-NOTA[[#This Row],[DISC 1-]]-NOTA[[#This Row],[DISC 2-]])*NOTA[[#This Row],[DISC 3]])</f>
        <v>0</v>
      </c>
      <c r="AB51" s="37">
        <f>IF(NOTA[[#This Row],[JUMLAH]]="","",NOTA[[#This Row],[DISC 1-]]+NOTA[[#This Row],[DISC 2-]]+NOTA[[#This Row],[DISC 3-]])</f>
        <v>0</v>
      </c>
      <c r="AC51" s="37">
        <f>IF(NOTA[[#This Row],[JUMLAH]]="","",NOTA[[#This Row],[JUMLAH]]-NOTA[[#This Row],[DISC]])</f>
        <v>12500000</v>
      </c>
      <c r="AD51" s="37"/>
      <c r="AE5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26000000</v>
      </c>
      <c r="AG51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H51" s="37">
        <f>IF(OR(NOTA[[#This Row],[QTY]]="",NOTA[[#This Row],[HARGA SATUAN]]="",),"",NOTA[[#This Row],[QTY]]*NOTA[[#This Row],[HARGA SATUAN]])</f>
        <v>12500000</v>
      </c>
      <c r="AI51" s="26">
        <f ca="1">IF(NOTA[[#This Row],[ID_H]]="","",INDEX(NOTA[TANGGAL],MATCH(,INDIRECT(ADDRESS(ROW(NOTA[TANGGAL]),COLUMN(NOTA[TANGGAL]))&amp;":"&amp;ADDRESS(ROW(),COLUMN(NOTA[TANGGAL]))),-1)))</f>
        <v>45442</v>
      </c>
      <c r="AJ51" s="26">
        <f ca="1">IF(NOTA[[#This Row],[ID_H]]="","",INDEX(NOTA[TGL.NOTA],MATCH(,INDIRECT(ADDRESS(ROW(NOTA[TGL.NOTA]),COLUMN(NOTA[TGL.NOTA]))&amp;":"&amp;ADDRESS(ROW(),COLUMN(NOTA[TGL.NOTA]))),-1)))</f>
        <v>45436</v>
      </c>
      <c r="AK51" s="26" t="str">
        <f ca="1">IF(NOTA[[#This Row],[ID_H]]="","",INDEX(NOTA[NO.NOTA],MATCH(NOTA[[#This Row],[ID_H]],NOTA[ID_H],0)))</f>
        <v>24/V/366</v>
      </c>
      <c r="AL51" s="28" t="str">
        <f ca="1">IF(NOTA[[#This Row],[NAMA BARANG]]="","",INDEX(NOTA[SUPPLIER],MATCH(,INDIRECT(ADDRESS(ROW(NOTA[ID]),COLUMN(NOTA[ID]))&amp;":"&amp;ADDRESS(ROW(),COLUMN(NOTA[ID]))),-1)))</f>
        <v>SURYA PRATAMA</v>
      </c>
      <c r="AM51" s="28" t="str">
        <f ca="1">IF(NOTA[[#This Row],[ID_H]]="","",IF(NOTA[[#This Row],[FAKTUR]]="",INDIRECT(ADDRESS(ROW()-1,COLUMN())),NOTA[[#This Row],[FAKTUR]]))</f>
        <v>UNTANA</v>
      </c>
      <c r="AN51" s="25" t="str">
        <f ca="1">IF(NOTA[[#This Row],[ID]]="","",COUNTIF(NOTA[ID_H],NOTA[[#This Row],[ID_H]]))</f>
        <v/>
      </c>
      <c r="AO51" s="25">
        <f ca="1">IF(NOTA[[#This Row],[TGL.NOTA]]="",IF(NOTA[[#This Row],[SUPPLIER_H]]="","",AO50),MONTH(NOTA[[#This Row],[TGL.NOTA]]))</f>
        <v>5</v>
      </c>
      <c r="AP51" s="25" t="str">
        <f>LOWER(SUBSTITUTE(SUBSTITUTE(SUBSTITUTE(SUBSTITUTE(SUBSTITUTE(SUBSTITUTE(SUBSTITUTE(SUBSTITUTE(SUBSTITUTE(NOTA[[#This Row],[NAMA BARANG]]," ",),".",""),"-",""),"(",""),")",""),",",""),"/",""),"""",""),"+",""))</f>
        <v>watercolorspaintvtro</v>
      </c>
      <c r="AQ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watercolorspaintvtro1250000</v>
      </c>
      <c r="AR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watercolorspaintvtro1250000</v>
      </c>
      <c r="AS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" s="25"/>
      <c r="AU51" s="25">
        <f>IF(NOTA[[#This Row],[CONCAT1]]="","",MATCH(NOTA[[#This Row],[CONCAT1]],[3]!db[NB NOTA_C],0))</f>
        <v>3163</v>
      </c>
      <c r="AV51" s="25" t="b">
        <f>IF(NOTA[[#This Row],[QTY/ CTN]]="","",TRUE)</f>
        <v>1</v>
      </c>
      <c r="AW51" s="25" t="str">
        <f ca="1">IF(NOTA[[#This Row],[ID_H]]="","",IF(NOTA[[#This Row],[Column3]]=TRUE,NOTA[[#This Row],[QTY/ CTN]],INDEX([3]!db[QTY/ CTN],NOTA[[#This Row],[//DB]])))</f>
        <v>100 PCS</v>
      </c>
      <c r="AX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watercolorspaintvtro100pcsuntana</v>
      </c>
      <c r="AY51" s="25">
        <f ca="1">IF(NOTA[[#This Row],[ID_H]]="","",MATCH(NOTA[[#This Row],[NB NOTA_C_QTY]],[3]!db[NB NOTA_C_QTY+F],0))</f>
        <v>3163</v>
      </c>
      <c r="AZ51" s="38">
        <f ca="1">IF(NOTA[[#This Row],[NB NOTA_C_QTY]]="","",ROW()-2)</f>
        <v>49</v>
      </c>
    </row>
    <row r="52" spans="1:52" ht="20.100000000000001" customHeight="1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" s="25" t="str">
        <f ca="1">IF(NOTA[[#This Row],[NAMA BARANG]]="","",INDEX(NOTA[ID],MATCH(,INDIRECT(ADDRESS(ROW(NOTA[ID]),COLUMN(NOTA[ID]))&amp;":"&amp;ADDRESS(ROW(),COLUMN(NOTA[ID]))),-1)))</f>
        <v/>
      </c>
      <c r="E52" s="33"/>
      <c r="H52" s="34"/>
      <c r="Q52" s="29"/>
      <c r="R52" s="35"/>
      <c r="S52" s="36"/>
      <c r="V52" s="37"/>
      <c r="W52" s="32"/>
      <c r="X52" s="37" t="str">
        <f>IF(NOTA[[#This Row],[HARGA/ CTN]]="",NOTA[[#This Row],[JUMLAH_H]],NOTA[[#This Row],[HARGA/ CTN]]*IF(NOTA[[#This Row],[C]]="",0,NOTA[[#This Row],[C]]))</f>
        <v/>
      </c>
      <c r="Y52" s="37" t="str">
        <f>IF(NOTA[[#This Row],[JUMLAH]]="","",NOTA[[#This Row],[JUMLAH]]*NOTA[[#This Row],[DISC 1]])</f>
        <v/>
      </c>
      <c r="Z52" s="37" t="str">
        <f>IF(NOTA[[#This Row],[JUMLAH]]="","",(NOTA[[#This Row],[JUMLAH]]-NOTA[[#This Row],[DISC 1-]])*NOTA[[#This Row],[DISC 2]])</f>
        <v/>
      </c>
      <c r="AA52" s="37" t="str">
        <f>IF(NOTA[[#This Row],[JUMLAH]]="","",(NOTA[[#This Row],[JUMLAH]]-NOTA[[#This Row],[DISC 1-]]-NOTA[[#This Row],[DISC 2-]])*NOTA[[#This Row],[DISC 3]])</f>
        <v/>
      </c>
      <c r="AB52" s="37" t="str">
        <f>IF(NOTA[[#This Row],[JUMLAH]]="","",NOTA[[#This Row],[DISC 1-]]+NOTA[[#This Row],[DISC 2-]]+NOTA[[#This Row],[DISC 3-]])</f>
        <v/>
      </c>
      <c r="AC52" s="37" t="str">
        <f>IF(NOTA[[#This Row],[JUMLAH]]="","",NOTA[[#This Row],[JUMLAH]]-NOTA[[#This Row],[DISC]])</f>
        <v/>
      </c>
      <c r="AD52" s="37"/>
      <c r="AE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" s="37" t="str">
        <f>IF(OR(NOTA[[#This Row],[QTY]]="",NOTA[[#This Row],[HARGA SATUAN]]="",),"",NOTA[[#This Row],[QTY]]*NOTA[[#This Row],[HARGA SATUAN]])</f>
        <v/>
      </c>
      <c r="AI52" s="26" t="str">
        <f ca="1">IF(NOTA[[#This Row],[ID_H]]="","",INDEX(NOTA[TANGGAL],MATCH(,INDIRECT(ADDRESS(ROW(NOTA[TANGGAL]),COLUMN(NOTA[TANGGAL]))&amp;":"&amp;ADDRESS(ROW(),COLUMN(NOTA[TANGGAL]))),-1)))</f>
        <v/>
      </c>
      <c r="AJ52" s="26" t="str">
        <f ca="1">IF(NOTA[[#This Row],[ID_H]]="","",INDEX(NOTA[TGL.NOTA],MATCH(,INDIRECT(ADDRESS(ROW(NOTA[TGL.NOTA]),COLUMN(NOTA[TGL.NOTA]))&amp;":"&amp;ADDRESS(ROW(),COLUMN(NOTA[TGL.NOTA]))),-1)))</f>
        <v/>
      </c>
      <c r="AK52" s="26" t="str">
        <f ca="1">IF(NOTA[[#This Row],[ID_H]]="","",INDEX(NOTA[NO.NOTA],MATCH(NOTA[[#This Row],[ID_H]],NOTA[ID_H],0)))</f>
        <v/>
      </c>
      <c r="AL52" s="28" t="str">
        <f ca="1">IF(NOTA[[#This Row],[NAMA BARANG]]="","",INDEX(NOTA[SUPPLIER],MATCH(,INDIRECT(ADDRESS(ROW(NOTA[ID]),COLUMN(NOTA[ID]))&amp;":"&amp;ADDRESS(ROW(),COLUMN(NOTA[ID]))),-1)))</f>
        <v/>
      </c>
      <c r="AM52" s="28" t="str">
        <f ca="1">IF(NOTA[[#This Row],[ID_H]]="","",IF(NOTA[[#This Row],[FAKTUR]]="",INDIRECT(ADDRESS(ROW()-1,COLUMN())),NOTA[[#This Row],[FAKTUR]]))</f>
        <v/>
      </c>
      <c r="AN52" s="25" t="str">
        <f ca="1">IF(NOTA[[#This Row],[ID]]="","",COUNTIF(NOTA[ID_H],NOTA[[#This Row],[ID_H]]))</f>
        <v/>
      </c>
      <c r="AO52" s="25" t="str">
        <f ca="1">IF(NOTA[[#This Row],[TGL.NOTA]]="",IF(NOTA[[#This Row],[SUPPLIER_H]]="","",AO51),MONTH(NOTA[[#This Row],[TGL.NOTA]]))</f>
        <v/>
      </c>
      <c r="AP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" s="25"/>
      <c r="AU52" s="25" t="str">
        <f>IF(NOTA[[#This Row],[CONCAT1]]="","",MATCH(NOTA[[#This Row],[CONCAT1]],[3]!db[NB NOTA_C],0))</f>
        <v/>
      </c>
      <c r="AV52" s="25" t="str">
        <f>IF(NOTA[[#This Row],[QTY/ CTN]]="","",TRUE)</f>
        <v/>
      </c>
      <c r="AW52" s="25" t="str">
        <f ca="1">IF(NOTA[[#This Row],[ID_H]]="","",IF(NOTA[[#This Row],[Column3]]=TRUE,NOTA[[#This Row],[QTY/ CTN]],INDEX([3]!db[QTY/ CTN],NOTA[[#This Row],[//DB]])))</f>
        <v/>
      </c>
      <c r="AX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" s="25" t="str">
        <f ca="1">IF(NOTA[[#This Row],[ID_H]]="","",MATCH(NOTA[[#This Row],[NB NOTA_C_QTY]],[3]!db[NB NOTA_C_QTY+F],0))</f>
        <v/>
      </c>
      <c r="AZ52" s="38" t="str">
        <f ca="1">IF(NOTA[[#This Row],[NB NOTA_C_QTY]]="","",ROW()-2)</f>
        <v/>
      </c>
    </row>
    <row r="53" spans="1:52" ht="20.100000000000001" customHeight="1">
      <c r="A53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5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SUR_3005_272-3</v>
      </c>
      <c r="D53" s="25">
        <f ca="1">IF(NOTA[[#This Row],[NAMA BARANG]]="","",INDEX(NOTA[ID],MATCH(,INDIRECT(ADDRESS(ROW(NOTA[ID]),COLUMN(NOTA[ID]))&amp;":"&amp;ADDRESS(ROW(),COLUMN(NOTA[ID]))),-1)))</f>
        <v>11</v>
      </c>
      <c r="E53" s="33"/>
      <c r="F53" s="25" t="s">
        <v>259</v>
      </c>
      <c r="G53" s="25" t="s">
        <v>109</v>
      </c>
      <c r="H53" s="34" t="s">
        <v>262</v>
      </c>
      <c r="J53" s="26">
        <v>45429</v>
      </c>
      <c r="L53" s="25" t="s">
        <v>263</v>
      </c>
      <c r="M53" s="27">
        <v>10</v>
      </c>
      <c r="N53" s="25">
        <v>2400</v>
      </c>
      <c r="O53" s="25" t="s">
        <v>110</v>
      </c>
      <c r="P53" s="28">
        <v>2650</v>
      </c>
      <c r="Q53" s="29"/>
      <c r="R53" s="35" t="s">
        <v>267</v>
      </c>
      <c r="S53" s="36"/>
      <c r="V53" s="37"/>
      <c r="W53" s="32"/>
      <c r="X53" s="37">
        <f>IF(NOTA[[#This Row],[HARGA/ CTN]]="",NOTA[[#This Row],[JUMLAH_H]],NOTA[[#This Row],[HARGA/ CTN]]*IF(NOTA[[#This Row],[C]]="",0,NOTA[[#This Row],[C]]))</f>
        <v>6360000</v>
      </c>
      <c r="Y53" s="37">
        <f>IF(NOTA[[#This Row],[JUMLAH]]="","",NOTA[[#This Row],[JUMLAH]]*NOTA[[#This Row],[DISC 1]])</f>
        <v>0</v>
      </c>
      <c r="Z53" s="37">
        <f>IF(NOTA[[#This Row],[JUMLAH]]="","",(NOTA[[#This Row],[JUMLAH]]-NOTA[[#This Row],[DISC 1-]])*NOTA[[#This Row],[DISC 2]])</f>
        <v>0</v>
      </c>
      <c r="AA53" s="37">
        <f>IF(NOTA[[#This Row],[JUMLAH]]="","",(NOTA[[#This Row],[JUMLAH]]-NOTA[[#This Row],[DISC 1-]]-NOTA[[#This Row],[DISC 2-]])*NOTA[[#This Row],[DISC 3]])</f>
        <v>0</v>
      </c>
      <c r="AB53" s="37">
        <f>IF(NOTA[[#This Row],[JUMLAH]]="","",NOTA[[#This Row],[DISC 1-]]+NOTA[[#This Row],[DISC 2-]]+NOTA[[#This Row],[DISC 3-]])</f>
        <v>0</v>
      </c>
      <c r="AC53" s="37">
        <f>IF(NOTA[[#This Row],[JUMLAH]]="","",NOTA[[#This Row],[JUMLAH]]-NOTA[[#This Row],[DISC]])</f>
        <v>6360000</v>
      </c>
      <c r="AD53" s="37"/>
      <c r="AE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" s="28">
        <f>IF(NOTA[[#This Row],[NAMA BARANG]]="","",IF(NOTA[[#This Row],[JUMLAH_H]]="",NOTA[[#This Row],[HARGA/ CTN]],NOTA[[#This Row],[QTY]]*NOTA[[#This Row],[HARGA SATUAN]]/IF(ISNUMBER(NOTA[[#This Row],[C]]),NOTA[[#This Row],[C]],1)))</f>
        <v>636000</v>
      </c>
      <c r="AH53" s="37">
        <f>IF(OR(NOTA[[#This Row],[QTY]]="",NOTA[[#This Row],[HARGA SATUAN]]="",),"",NOTA[[#This Row],[QTY]]*NOTA[[#This Row],[HARGA SATUAN]])</f>
        <v>6360000</v>
      </c>
      <c r="AI53" s="26">
        <f ca="1">IF(NOTA[[#This Row],[ID_H]]="","",INDEX(NOTA[TANGGAL],MATCH(,INDIRECT(ADDRESS(ROW(NOTA[TANGGAL]),COLUMN(NOTA[TANGGAL]))&amp;":"&amp;ADDRESS(ROW(),COLUMN(NOTA[TANGGAL]))),-1)))</f>
        <v>45442</v>
      </c>
      <c r="AJ53" s="26">
        <f ca="1">IF(NOTA[[#This Row],[ID_H]]="","",INDEX(NOTA[TGL.NOTA],MATCH(,INDIRECT(ADDRESS(ROW(NOTA[TGL.NOTA]),COLUMN(NOTA[TGL.NOTA]))&amp;":"&amp;ADDRESS(ROW(),COLUMN(NOTA[TGL.NOTA]))),-1)))</f>
        <v>45429</v>
      </c>
      <c r="AK53" s="26" t="str">
        <f ca="1">IF(NOTA[[#This Row],[ID_H]]="","",INDEX(NOTA[NO.NOTA],MATCH(NOTA[[#This Row],[ID_H]],NOTA[ID_H],0)))</f>
        <v>24/V/272</v>
      </c>
      <c r="AL53" s="28" t="str">
        <f ca="1">IF(NOTA[[#This Row],[NAMA BARANG]]="","",INDEX(NOTA[SUPPLIER],MATCH(,INDIRECT(ADDRESS(ROW(NOTA[ID]),COLUMN(NOTA[ID]))&amp;":"&amp;ADDRESS(ROW(),COLUMN(NOTA[ID]))),-1)))</f>
        <v>SURYA PRATAMA</v>
      </c>
      <c r="AM53" s="28" t="str">
        <f ca="1">IF(NOTA[[#This Row],[ID_H]]="","",IF(NOTA[[#This Row],[FAKTUR]]="",INDIRECT(ADDRESS(ROW()-1,COLUMN())),NOTA[[#This Row],[FAKTUR]]))</f>
        <v>UNTANA</v>
      </c>
      <c r="AN53" s="25">
        <f ca="1">IF(NOTA[[#This Row],[ID]]="","",COUNTIF(NOTA[ID_H],NOTA[[#This Row],[ID_H]]))</f>
        <v>3</v>
      </c>
      <c r="AO53" s="25">
        <f>IF(NOTA[[#This Row],[TGL.NOTA]]="",IF(NOTA[[#This Row],[SUPPLIER_H]]="","",AO52),MONTH(NOTA[[#This Row],[TGL.NOTA]]))</f>
        <v>5</v>
      </c>
      <c r="AP53" s="25" t="str">
        <f>LOWER(SUBSTITUTE(SUBSTITUTE(SUBSTITUTE(SUBSTITUTE(SUBSTITUTE(SUBSTITUTE(SUBSTITUTE(SUBSTITUTE(SUBSTITUTE(NOTA[[#This Row],[NAMA BARANG]]," ",),".",""),"-",""),"(",""),")",""),",",""),"/",""),"""",""),"+",""))</f>
        <v>pisaulipatminipemesrentengvtromck01</v>
      </c>
      <c r="AQ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pisaulipatminipemesrentengvtromck01636000</v>
      </c>
      <c r="AR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pisaulipatminipemesrentengvtromck01636000</v>
      </c>
      <c r="AS53" s="25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PRATAMAUNTANA24/V/27245429pisaulipatminipemesrentengvtromck01</v>
      </c>
      <c r="AT53" s="25"/>
      <c r="AU53" s="25">
        <f>IF(NOTA[[#This Row],[CONCAT1]]="","",MATCH(NOTA[[#This Row],[CONCAT1]],[3]!db[NB NOTA_C],0))</f>
        <v>3419</v>
      </c>
      <c r="AV53" s="25" t="b">
        <f>IF(NOTA[[#This Row],[QTY/ CTN]]="","",TRUE)</f>
        <v>1</v>
      </c>
      <c r="AW53" s="25" t="str">
        <f ca="1">IF(NOTA[[#This Row],[ID_H]]="","",IF(NOTA[[#This Row],[Column3]]=TRUE,NOTA[[#This Row],[QTY/ CTN]],INDEX([3]!db[QTY/ CTN],NOTA[[#This Row],[//DB]])))</f>
        <v>240 LSN</v>
      </c>
      <c r="AX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pisaulipatminipemesrentengvtromck01240lsnuntana</v>
      </c>
      <c r="AY53" s="25">
        <f ca="1">IF(NOTA[[#This Row],[ID_H]]="","",MATCH(NOTA[[#This Row],[NB NOTA_C_QTY]],[3]!db[NB NOTA_C_QTY+F],0))</f>
        <v>3419</v>
      </c>
      <c r="AZ53" s="38">
        <f ca="1">IF(NOTA[[#This Row],[NB NOTA_C_QTY]]="","",ROW()-2)</f>
        <v>51</v>
      </c>
    </row>
    <row r="54" spans="1:52" ht="20.100000000000001" customHeight="1">
      <c r="A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" s="25">
        <f ca="1">IF(NOTA[[#This Row],[NAMA BARANG]]="","",INDEX(NOTA[ID],MATCH(,INDIRECT(ADDRESS(ROW(NOTA[ID]),COLUMN(NOTA[ID]))&amp;":"&amp;ADDRESS(ROW(),COLUMN(NOTA[ID]))),-1)))</f>
        <v>11</v>
      </c>
      <c r="E54" s="33"/>
      <c r="H54" s="34"/>
      <c r="L54" s="25" t="s">
        <v>264</v>
      </c>
      <c r="M54" s="27">
        <v>5</v>
      </c>
      <c r="N54" s="25">
        <v>300</v>
      </c>
      <c r="O54" s="25" t="s">
        <v>265</v>
      </c>
      <c r="P54" s="28">
        <v>53000</v>
      </c>
      <c r="Q54" s="29"/>
      <c r="R54" s="35" t="s">
        <v>268</v>
      </c>
      <c r="S54" s="36"/>
      <c r="V54" s="37"/>
      <c r="W54" s="32"/>
      <c r="X54" s="37">
        <f>IF(NOTA[[#This Row],[HARGA/ CTN]]="",NOTA[[#This Row],[JUMLAH_H]],NOTA[[#This Row],[HARGA/ CTN]]*IF(NOTA[[#This Row],[C]]="",0,NOTA[[#This Row],[C]]))</f>
        <v>15900000</v>
      </c>
      <c r="Y54" s="37">
        <f>IF(NOTA[[#This Row],[JUMLAH]]="","",NOTA[[#This Row],[JUMLAH]]*NOTA[[#This Row],[DISC 1]])</f>
        <v>0</v>
      </c>
      <c r="Z54" s="37">
        <f>IF(NOTA[[#This Row],[JUMLAH]]="","",(NOTA[[#This Row],[JUMLAH]]-NOTA[[#This Row],[DISC 1-]])*NOTA[[#This Row],[DISC 2]])</f>
        <v>0</v>
      </c>
      <c r="AA54" s="37">
        <f>IF(NOTA[[#This Row],[JUMLAH]]="","",(NOTA[[#This Row],[JUMLAH]]-NOTA[[#This Row],[DISC 1-]]-NOTA[[#This Row],[DISC 2-]])*NOTA[[#This Row],[DISC 3]])</f>
        <v>0</v>
      </c>
      <c r="AB54" s="37">
        <f>IF(NOTA[[#This Row],[JUMLAH]]="","",NOTA[[#This Row],[DISC 1-]]+NOTA[[#This Row],[DISC 2-]]+NOTA[[#This Row],[DISC 3-]])</f>
        <v>0</v>
      </c>
      <c r="AC54" s="37">
        <f>IF(NOTA[[#This Row],[JUMLAH]]="","",NOTA[[#This Row],[JUMLAH]]-NOTA[[#This Row],[DISC]])</f>
        <v>15900000</v>
      </c>
      <c r="AD54" s="37"/>
      <c r="AE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" s="28">
        <f>IF(NOTA[[#This Row],[NAMA BARANG]]="","",IF(NOTA[[#This Row],[JUMLAH_H]]="",NOTA[[#This Row],[HARGA/ CTN]],NOTA[[#This Row],[QTY]]*NOTA[[#This Row],[HARGA SATUAN]]/IF(ISNUMBER(NOTA[[#This Row],[C]]),NOTA[[#This Row],[C]],1)))</f>
        <v>3180000</v>
      </c>
      <c r="AH54" s="37">
        <f>IF(OR(NOTA[[#This Row],[QTY]]="",NOTA[[#This Row],[HARGA SATUAN]]="",),"",NOTA[[#This Row],[QTY]]*NOTA[[#This Row],[HARGA SATUAN]])</f>
        <v>15900000</v>
      </c>
      <c r="AI54" s="26">
        <f ca="1">IF(NOTA[[#This Row],[ID_H]]="","",INDEX(NOTA[TANGGAL],MATCH(,INDIRECT(ADDRESS(ROW(NOTA[TANGGAL]),COLUMN(NOTA[TANGGAL]))&amp;":"&amp;ADDRESS(ROW(),COLUMN(NOTA[TANGGAL]))),-1)))</f>
        <v>45442</v>
      </c>
      <c r="AJ54" s="26">
        <f ca="1">IF(NOTA[[#This Row],[ID_H]]="","",INDEX(NOTA[TGL.NOTA],MATCH(,INDIRECT(ADDRESS(ROW(NOTA[TGL.NOTA]),COLUMN(NOTA[TGL.NOTA]))&amp;":"&amp;ADDRESS(ROW(),COLUMN(NOTA[TGL.NOTA]))),-1)))</f>
        <v>45429</v>
      </c>
      <c r="AK54" s="26" t="str">
        <f ca="1">IF(NOTA[[#This Row],[ID_H]]="","",INDEX(NOTA[NO.NOTA],MATCH(NOTA[[#This Row],[ID_H]],NOTA[ID_H],0)))</f>
        <v>24/V/272</v>
      </c>
      <c r="AL54" s="28" t="str">
        <f ca="1">IF(NOTA[[#This Row],[NAMA BARANG]]="","",INDEX(NOTA[SUPPLIER],MATCH(,INDIRECT(ADDRESS(ROW(NOTA[ID]),COLUMN(NOTA[ID]))&amp;":"&amp;ADDRESS(ROW(),COLUMN(NOTA[ID]))),-1)))</f>
        <v>SURYA PRATAMA</v>
      </c>
      <c r="AM54" s="28" t="str">
        <f ca="1">IF(NOTA[[#This Row],[ID_H]]="","",IF(NOTA[[#This Row],[FAKTUR]]="",INDIRECT(ADDRESS(ROW()-1,COLUMN())),NOTA[[#This Row],[FAKTUR]]))</f>
        <v>UNTANA</v>
      </c>
      <c r="AN54" s="25" t="str">
        <f ca="1">IF(NOTA[[#This Row],[ID]]="","",COUNTIF(NOTA[ID_H],NOTA[[#This Row],[ID_H]]))</f>
        <v/>
      </c>
      <c r="AO54" s="25">
        <f ca="1">IF(NOTA[[#This Row],[TGL.NOTA]]="",IF(NOTA[[#This Row],[SUPPLIER_H]]="","",AO53),MONTH(NOTA[[#This Row],[TGL.NOTA]]))</f>
        <v>5</v>
      </c>
      <c r="AP54" s="25" t="str">
        <f>LOWER(SUBSTITUTE(SUBSTITUTE(SUBSTITUTE(SUBSTITUTE(SUBSTITUTE(SUBSTITUTE(SUBSTITUTE(SUBSTITUTE(SUBSTITUTE(NOTA[[#This Row],[NAMA BARANG]]," ",),".",""),"-",""),"(",""),")",""),",",""),"/",""),"""",""),"+",""))</f>
        <v>rautantoplesbig158sanrio</v>
      </c>
      <c r="AQ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rautantoplesbig158sanrio3180000</v>
      </c>
      <c r="AR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rautantoplesbig158sanrio3180000</v>
      </c>
      <c r="AS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" s="25"/>
      <c r="AU54" s="25">
        <f>IF(NOTA[[#This Row],[CONCAT1]]="","",MATCH(NOTA[[#This Row],[CONCAT1]],[3]!db[NB NOTA_C],0))</f>
        <v>3420</v>
      </c>
      <c r="AV54" s="25" t="b">
        <f>IF(NOTA[[#This Row],[QTY/ CTN]]="","",TRUE)</f>
        <v>1</v>
      </c>
      <c r="AW54" s="25" t="str">
        <f ca="1">IF(NOTA[[#This Row],[ID_H]]="","",IF(NOTA[[#This Row],[Column3]]=TRUE,NOTA[[#This Row],[QTY/ CTN]],INDEX([3]!db[QTY/ CTN],NOTA[[#This Row],[//DB]])))</f>
        <v>60 TOPLES</v>
      </c>
      <c r="AX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rautantoplesbig158sanrio60toplesuntana</v>
      </c>
      <c r="AY54" s="25" t="e">
        <f ca="1">IF(NOTA[[#This Row],[ID_H]]="","",MATCH(NOTA[[#This Row],[NB NOTA_C_QTY]],[3]!db[NB NOTA_C_QTY+F],0))</f>
        <v>#N/A</v>
      </c>
      <c r="AZ54" s="38">
        <f ca="1">IF(NOTA[[#This Row],[NB NOTA_C_QTY]]="","",ROW()-2)</f>
        <v>52</v>
      </c>
    </row>
    <row r="55" spans="1:52" ht="20.100000000000001" customHeight="1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" s="25">
        <f ca="1">IF(NOTA[[#This Row],[NAMA BARANG]]="","",INDEX(NOTA[ID],MATCH(,INDIRECT(ADDRESS(ROW(NOTA[ID]),COLUMN(NOTA[ID]))&amp;":"&amp;ADDRESS(ROW(),COLUMN(NOTA[ID]))),-1)))</f>
        <v>11</v>
      </c>
      <c r="E55" s="33"/>
      <c r="H55" s="34"/>
      <c r="L55" s="25" t="s">
        <v>266</v>
      </c>
      <c r="M55" s="27">
        <v>5</v>
      </c>
      <c r="N55" s="25">
        <v>240</v>
      </c>
      <c r="O55" s="25" t="s">
        <v>265</v>
      </c>
      <c r="P55" s="28">
        <v>75000</v>
      </c>
      <c r="Q55" s="29"/>
      <c r="R55" s="35" t="s">
        <v>269</v>
      </c>
      <c r="S55" s="36"/>
      <c r="V55" s="37"/>
      <c r="W55" s="32"/>
      <c r="X55" s="37">
        <f>IF(NOTA[[#This Row],[HARGA/ CTN]]="",NOTA[[#This Row],[JUMLAH_H]],NOTA[[#This Row],[HARGA/ CTN]]*IF(NOTA[[#This Row],[C]]="",0,NOTA[[#This Row],[C]]))</f>
        <v>18000000</v>
      </c>
      <c r="Y55" s="37">
        <f>IF(NOTA[[#This Row],[JUMLAH]]="","",NOTA[[#This Row],[JUMLAH]]*NOTA[[#This Row],[DISC 1]])</f>
        <v>0</v>
      </c>
      <c r="Z55" s="37">
        <f>IF(NOTA[[#This Row],[JUMLAH]]="","",(NOTA[[#This Row],[JUMLAH]]-NOTA[[#This Row],[DISC 1-]])*NOTA[[#This Row],[DISC 2]])</f>
        <v>0</v>
      </c>
      <c r="AA55" s="37">
        <f>IF(NOTA[[#This Row],[JUMLAH]]="","",(NOTA[[#This Row],[JUMLAH]]-NOTA[[#This Row],[DISC 1-]]-NOTA[[#This Row],[DISC 2-]])*NOTA[[#This Row],[DISC 3]])</f>
        <v>0</v>
      </c>
      <c r="AB55" s="37">
        <f>IF(NOTA[[#This Row],[JUMLAH]]="","",NOTA[[#This Row],[DISC 1-]]+NOTA[[#This Row],[DISC 2-]]+NOTA[[#This Row],[DISC 3-]])</f>
        <v>0</v>
      </c>
      <c r="AC55" s="37">
        <f>IF(NOTA[[#This Row],[JUMLAH]]="","",NOTA[[#This Row],[JUMLAH]]-NOTA[[#This Row],[DISC]])</f>
        <v>18000000</v>
      </c>
      <c r="AD55" s="37"/>
      <c r="AE5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40260000</v>
      </c>
      <c r="AG55" s="28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H55" s="37">
        <f>IF(OR(NOTA[[#This Row],[QTY]]="",NOTA[[#This Row],[HARGA SATUAN]]="",),"",NOTA[[#This Row],[QTY]]*NOTA[[#This Row],[HARGA SATUAN]])</f>
        <v>18000000</v>
      </c>
      <c r="AI55" s="26">
        <f ca="1">IF(NOTA[[#This Row],[ID_H]]="","",INDEX(NOTA[TANGGAL],MATCH(,INDIRECT(ADDRESS(ROW(NOTA[TANGGAL]),COLUMN(NOTA[TANGGAL]))&amp;":"&amp;ADDRESS(ROW(),COLUMN(NOTA[TANGGAL]))),-1)))</f>
        <v>45442</v>
      </c>
      <c r="AJ55" s="26">
        <f ca="1">IF(NOTA[[#This Row],[ID_H]]="","",INDEX(NOTA[TGL.NOTA],MATCH(,INDIRECT(ADDRESS(ROW(NOTA[TGL.NOTA]),COLUMN(NOTA[TGL.NOTA]))&amp;":"&amp;ADDRESS(ROW(),COLUMN(NOTA[TGL.NOTA]))),-1)))</f>
        <v>45429</v>
      </c>
      <c r="AK55" s="26" t="str">
        <f ca="1">IF(NOTA[[#This Row],[ID_H]]="","",INDEX(NOTA[NO.NOTA],MATCH(NOTA[[#This Row],[ID_H]],NOTA[ID_H],0)))</f>
        <v>24/V/272</v>
      </c>
      <c r="AL55" s="28" t="str">
        <f ca="1">IF(NOTA[[#This Row],[NAMA BARANG]]="","",INDEX(NOTA[SUPPLIER],MATCH(,INDIRECT(ADDRESS(ROW(NOTA[ID]),COLUMN(NOTA[ID]))&amp;":"&amp;ADDRESS(ROW(),COLUMN(NOTA[ID]))),-1)))</f>
        <v>SURYA PRATAMA</v>
      </c>
      <c r="AM55" s="28" t="str">
        <f ca="1">IF(NOTA[[#This Row],[ID_H]]="","",IF(NOTA[[#This Row],[FAKTUR]]="",INDIRECT(ADDRESS(ROW()-1,COLUMN())),NOTA[[#This Row],[FAKTUR]]))</f>
        <v>UNTANA</v>
      </c>
      <c r="AN55" s="25" t="str">
        <f ca="1">IF(NOTA[[#This Row],[ID]]="","",COUNTIF(NOTA[ID_H],NOTA[[#This Row],[ID_H]]))</f>
        <v/>
      </c>
      <c r="AO55" s="25">
        <f ca="1">IF(NOTA[[#This Row],[TGL.NOTA]]="",IF(NOTA[[#This Row],[SUPPLIER_H]]="","",AO54),MONTH(NOTA[[#This Row],[TGL.NOTA]]))</f>
        <v>5</v>
      </c>
      <c r="AP55" s="25" t="str">
        <f>LOWER(SUBSTITUTE(SUBSTITUTE(SUBSTITUTE(SUBSTITUTE(SUBSTITUTE(SUBSTITUTE(SUBSTITUTE(SUBSTITUTE(SUBSTITUTE(NOTA[[#This Row],[NAMA BARANG]]," ",),".",""),"-",""),"(",""),")",""),",",""),"/",""),"""",""),"+",""))</f>
        <v>rautantoplesbig623omgkuromi</v>
      </c>
      <c r="AQ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rautantoplesbig623omgkuromi3600000</v>
      </c>
      <c r="AR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rautantoplesbig623omgkuromi3600000</v>
      </c>
      <c r="AS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" s="25"/>
      <c r="AU55" s="25">
        <f>IF(NOTA[[#This Row],[CONCAT1]]="","",MATCH(NOTA[[#This Row],[CONCAT1]],[3]!db[NB NOTA_C],0))</f>
        <v>3421</v>
      </c>
      <c r="AV55" s="25" t="b">
        <f>IF(NOTA[[#This Row],[QTY/ CTN]]="","",TRUE)</f>
        <v>1</v>
      </c>
      <c r="AW55" s="25" t="str">
        <f ca="1">IF(NOTA[[#This Row],[ID_H]]="","",IF(NOTA[[#This Row],[Column3]]=TRUE,NOTA[[#This Row],[QTY/ CTN]],INDEX([3]!db[QTY/ CTN],NOTA[[#This Row],[//DB]])))</f>
        <v>48 TOPLES</v>
      </c>
      <c r="AX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rautantoplesbig623omgkuromi48toplesuntana</v>
      </c>
      <c r="AY55" s="25" t="e">
        <f ca="1">IF(NOTA[[#This Row],[ID_H]]="","",MATCH(NOTA[[#This Row],[NB NOTA_C_QTY]],[3]!db[NB NOTA_C_QTY+F],0))</f>
        <v>#N/A</v>
      </c>
      <c r="AZ55" s="38">
        <f ca="1">IF(NOTA[[#This Row],[NB NOTA_C_QTY]]="","",ROW()-2)</f>
        <v>53</v>
      </c>
    </row>
    <row r="56" spans="1:52" ht="20.100000000000001" customHeight="1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" s="25" t="str">
        <f ca="1">IF(NOTA[[#This Row],[NAMA BARANG]]="","",INDEX(NOTA[ID],MATCH(,INDIRECT(ADDRESS(ROW(NOTA[ID]),COLUMN(NOTA[ID]))&amp;":"&amp;ADDRESS(ROW(),COLUMN(NOTA[ID]))),-1)))</f>
        <v/>
      </c>
      <c r="E56" s="33"/>
      <c r="H56" s="34"/>
      <c r="Q56" s="29"/>
      <c r="R56" s="35"/>
      <c r="S56" s="36"/>
      <c r="V56" s="37"/>
      <c r="W56" s="32"/>
      <c r="X56" s="37" t="str">
        <f>IF(NOTA[[#This Row],[HARGA/ CTN]]="",NOTA[[#This Row],[JUMLAH_H]],NOTA[[#This Row],[HARGA/ CTN]]*IF(NOTA[[#This Row],[C]]="",0,NOTA[[#This Row],[C]]))</f>
        <v/>
      </c>
      <c r="Y56" s="37" t="str">
        <f>IF(NOTA[[#This Row],[JUMLAH]]="","",NOTA[[#This Row],[JUMLAH]]*NOTA[[#This Row],[DISC 1]])</f>
        <v/>
      </c>
      <c r="Z56" s="37" t="str">
        <f>IF(NOTA[[#This Row],[JUMLAH]]="","",(NOTA[[#This Row],[JUMLAH]]-NOTA[[#This Row],[DISC 1-]])*NOTA[[#This Row],[DISC 2]])</f>
        <v/>
      </c>
      <c r="AA56" s="37" t="str">
        <f>IF(NOTA[[#This Row],[JUMLAH]]="","",(NOTA[[#This Row],[JUMLAH]]-NOTA[[#This Row],[DISC 1-]]-NOTA[[#This Row],[DISC 2-]])*NOTA[[#This Row],[DISC 3]])</f>
        <v/>
      </c>
      <c r="AB56" s="37" t="str">
        <f>IF(NOTA[[#This Row],[JUMLAH]]="","",NOTA[[#This Row],[DISC 1-]]+NOTA[[#This Row],[DISC 2-]]+NOTA[[#This Row],[DISC 3-]])</f>
        <v/>
      </c>
      <c r="AC56" s="37" t="str">
        <f>IF(NOTA[[#This Row],[JUMLAH]]="","",NOTA[[#This Row],[JUMLAH]]-NOTA[[#This Row],[DISC]])</f>
        <v/>
      </c>
      <c r="AD56" s="37"/>
      <c r="AE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" s="37" t="str">
        <f>IF(OR(NOTA[[#This Row],[QTY]]="",NOTA[[#This Row],[HARGA SATUAN]]="",),"",NOTA[[#This Row],[QTY]]*NOTA[[#This Row],[HARGA SATUAN]])</f>
        <v/>
      </c>
      <c r="AI56" s="26" t="str">
        <f ca="1">IF(NOTA[[#This Row],[ID_H]]="","",INDEX(NOTA[TANGGAL],MATCH(,INDIRECT(ADDRESS(ROW(NOTA[TANGGAL]),COLUMN(NOTA[TANGGAL]))&amp;":"&amp;ADDRESS(ROW(),COLUMN(NOTA[TANGGAL]))),-1)))</f>
        <v/>
      </c>
      <c r="AJ56" s="26" t="str">
        <f ca="1">IF(NOTA[[#This Row],[ID_H]]="","",INDEX(NOTA[TGL.NOTA],MATCH(,INDIRECT(ADDRESS(ROW(NOTA[TGL.NOTA]),COLUMN(NOTA[TGL.NOTA]))&amp;":"&amp;ADDRESS(ROW(),COLUMN(NOTA[TGL.NOTA]))),-1)))</f>
        <v/>
      </c>
      <c r="AK56" s="26" t="str">
        <f ca="1">IF(NOTA[[#This Row],[ID_H]]="","",INDEX(NOTA[NO.NOTA],MATCH(NOTA[[#This Row],[ID_H]],NOTA[ID_H],0)))</f>
        <v/>
      </c>
      <c r="AL56" s="28" t="str">
        <f ca="1">IF(NOTA[[#This Row],[NAMA BARANG]]="","",INDEX(NOTA[SUPPLIER],MATCH(,INDIRECT(ADDRESS(ROW(NOTA[ID]),COLUMN(NOTA[ID]))&amp;":"&amp;ADDRESS(ROW(),COLUMN(NOTA[ID]))),-1)))</f>
        <v/>
      </c>
      <c r="AM56" s="28" t="str">
        <f ca="1">IF(NOTA[[#This Row],[ID_H]]="","",IF(NOTA[[#This Row],[FAKTUR]]="",INDIRECT(ADDRESS(ROW()-1,COLUMN())),NOTA[[#This Row],[FAKTUR]]))</f>
        <v/>
      </c>
      <c r="AN56" s="25" t="str">
        <f ca="1">IF(NOTA[[#This Row],[ID]]="","",COUNTIF(NOTA[ID_H],NOTA[[#This Row],[ID_H]]))</f>
        <v/>
      </c>
      <c r="AO56" s="25" t="str">
        <f ca="1">IF(NOTA[[#This Row],[TGL.NOTA]]="",IF(NOTA[[#This Row],[SUPPLIER_H]]="","",AO55),MONTH(NOTA[[#This Row],[TGL.NOTA]]))</f>
        <v/>
      </c>
      <c r="AP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" s="25"/>
      <c r="AU56" s="25" t="str">
        <f>IF(NOTA[[#This Row],[CONCAT1]]="","",MATCH(NOTA[[#This Row],[CONCAT1]],[3]!db[NB NOTA_C],0))</f>
        <v/>
      </c>
      <c r="AV56" s="25" t="str">
        <f>IF(NOTA[[#This Row],[QTY/ CTN]]="","",TRUE)</f>
        <v/>
      </c>
      <c r="AW56" s="25" t="str">
        <f ca="1">IF(NOTA[[#This Row],[ID_H]]="","",IF(NOTA[[#This Row],[Column3]]=TRUE,NOTA[[#This Row],[QTY/ CTN]],INDEX([3]!db[QTY/ CTN],NOTA[[#This Row],[//DB]])))</f>
        <v/>
      </c>
      <c r="AX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" s="25" t="str">
        <f ca="1">IF(NOTA[[#This Row],[ID_H]]="","",MATCH(NOTA[[#This Row],[NB NOTA_C_QTY]],[3]!db[NB NOTA_C_QTY+F],0))</f>
        <v/>
      </c>
      <c r="AZ56" s="38" t="str">
        <f ca="1">IF(NOTA[[#This Row],[NB NOTA_C_QTY]]="","",ROW()-2)</f>
        <v/>
      </c>
    </row>
    <row r="57" spans="1:52" ht="20.100000000000001" customHeight="1">
      <c r="A57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5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SUR_3005_413-1</v>
      </c>
      <c r="D57" s="25">
        <f ca="1">IF(NOTA[[#This Row],[NAMA BARANG]]="","",INDEX(NOTA[ID],MATCH(,INDIRECT(ADDRESS(ROW(NOTA[ID]),COLUMN(NOTA[ID]))&amp;":"&amp;ADDRESS(ROW(),COLUMN(NOTA[ID]))),-1)))</f>
        <v>12</v>
      </c>
      <c r="E57" s="33"/>
      <c r="F57" s="25" t="s">
        <v>259</v>
      </c>
      <c r="G57" s="25" t="s">
        <v>109</v>
      </c>
      <c r="H57" s="34" t="s">
        <v>270</v>
      </c>
      <c r="J57" s="26">
        <v>45437</v>
      </c>
      <c r="L57" s="25" t="s">
        <v>271</v>
      </c>
      <c r="M57" s="27">
        <v>10</v>
      </c>
      <c r="N57" s="25">
        <v>1920</v>
      </c>
      <c r="O57" s="25" t="s">
        <v>110</v>
      </c>
      <c r="P57" s="28">
        <v>10000</v>
      </c>
      <c r="Q57" s="29"/>
      <c r="R57" s="35" t="s">
        <v>272</v>
      </c>
      <c r="S57" s="36"/>
      <c r="V57" s="37"/>
      <c r="W57" s="32"/>
      <c r="X57" s="37">
        <f>IF(NOTA[[#This Row],[HARGA/ CTN]]="",NOTA[[#This Row],[JUMLAH_H]],NOTA[[#This Row],[HARGA/ CTN]]*IF(NOTA[[#This Row],[C]]="",0,NOTA[[#This Row],[C]]))</f>
        <v>19200000</v>
      </c>
      <c r="Y57" s="37">
        <f>IF(NOTA[[#This Row],[JUMLAH]]="","",NOTA[[#This Row],[JUMLAH]]*NOTA[[#This Row],[DISC 1]])</f>
        <v>0</v>
      </c>
      <c r="Z57" s="37">
        <f>IF(NOTA[[#This Row],[JUMLAH]]="","",(NOTA[[#This Row],[JUMLAH]]-NOTA[[#This Row],[DISC 1-]])*NOTA[[#This Row],[DISC 2]])</f>
        <v>0</v>
      </c>
      <c r="AA57" s="37">
        <f>IF(NOTA[[#This Row],[JUMLAH]]="","",(NOTA[[#This Row],[JUMLAH]]-NOTA[[#This Row],[DISC 1-]]-NOTA[[#This Row],[DISC 2-]])*NOTA[[#This Row],[DISC 3]])</f>
        <v>0</v>
      </c>
      <c r="AB57" s="37">
        <f>IF(NOTA[[#This Row],[JUMLAH]]="","",NOTA[[#This Row],[DISC 1-]]+NOTA[[#This Row],[DISC 2-]]+NOTA[[#This Row],[DISC 3-]])</f>
        <v>0</v>
      </c>
      <c r="AC57" s="37">
        <f>IF(NOTA[[#This Row],[JUMLAH]]="","",NOTA[[#This Row],[JUMLAH]]-NOTA[[#This Row],[DISC]])</f>
        <v>19200000</v>
      </c>
      <c r="AD57" s="37"/>
      <c r="AE5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19200000</v>
      </c>
      <c r="AG57" s="28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57" s="37">
        <f>IF(OR(NOTA[[#This Row],[QTY]]="",NOTA[[#This Row],[HARGA SATUAN]]="",),"",NOTA[[#This Row],[QTY]]*NOTA[[#This Row],[HARGA SATUAN]])</f>
        <v>19200000</v>
      </c>
      <c r="AI57" s="26">
        <f ca="1">IF(NOTA[[#This Row],[ID_H]]="","",INDEX(NOTA[TANGGAL],MATCH(,INDIRECT(ADDRESS(ROW(NOTA[TANGGAL]),COLUMN(NOTA[TANGGAL]))&amp;":"&amp;ADDRESS(ROW(),COLUMN(NOTA[TANGGAL]))),-1)))</f>
        <v>45442</v>
      </c>
      <c r="AJ57" s="26">
        <f ca="1">IF(NOTA[[#This Row],[ID_H]]="","",INDEX(NOTA[TGL.NOTA],MATCH(,INDIRECT(ADDRESS(ROW(NOTA[TGL.NOTA]),COLUMN(NOTA[TGL.NOTA]))&amp;":"&amp;ADDRESS(ROW(),COLUMN(NOTA[TGL.NOTA]))),-1)))</f>
        <v>45437</v>
      </c>
      <c r="AK57" s="26" t="str">
        <f ca="1">IF(NOTA[[#This Row],[ID_H]]="","",INDEX(NOTA[NO.NOTA],MATCH(NOTA[[#This Row],[ID_H]],NOTA[ID_H],0)))</f>
        <v>24/1/413</v>
      </c>
      <c r="AL57" s="28" t="str">
        <f ca="1">IF(NOTA[[#This Row],[NAMA BARANG]]="","",INDEX(NOTA[SUPPLIER],MATCH(,INDIRECT(ADDRESS(ROW(NOTA[ID]),COLUMN(NOTA[ID]))&amp;":"&amp;ADDRESS(ROW(),COLUMN(NOTA[ID]))),-1)))</f>
        <v>SURYA PRATAMA</v>
      </c>
      <c r="AM57" s="28" t="str">
        <f ca="1">IF(NOTA[[#This Row],[ID_H]]="","",IF(NOTA[[#This Row],[FAKTUR]]="",INDIRECT(ADDRESS(ROW()-1,COLUMN())),NOTA[[#This Row],[FAKTUR]]))</f>
        <v>UNTANA</v>
      </c>
      <c r="AN57" s="25">
        <f ca="1">IF(NOTA[[#This Row],[ID]]="","",COUNTIF(NOTA[ID_H],NOTA[[#This Row],[ID_H]]))</f>
        <v>1</v>
      </c>
      <c r="AO57" s="25">
        <f>IF(NOTA[[#This Row],[TGL.NOTA]]="",IF(NOTA[[#This Row],[SUPPLIER_H]]="","",AO56),MONTH(NOTA[[#This Row],[TGL.NOTA]]))</f>
        <v>5</v>
      </c>
      <c r="AP57" s="25" t="str">
        <f>LOWER(SUBSTITUTE(SUBSTITUTE(SUBSTITUTE(SUBSTITUTE(SUBSTITUTE(SUBSTITUTE(SUBSTITUTE(SUBSTITUTE(SUBSTITUTE(NOTA[[#This Row],[NAMA BARANG]]," ",),".",""),"-",""),"(",""),")",""),",",""),"/",""),"""",""),"+",""))</f>
        <v>gelpenzhuizhua1020</v>
      </c>
      <c r="AQ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gelpenzhuizhua10201920000</v>
      </c>
      <c r="AR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gelpenzhuizhua10201920000</v>
      </c>
      <c r="AS57" s="25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PRATAMAUNTANA24/1/41345437gelpenzhuizhua1020</v>
      </c>
      <c r="AT57" s="25"/>
      <c r="AU57" s="25">
        <f>IF(NOTA[[#This Row],[CONCAT1]]="","",MATCH(NOTA[[#This Row],[CONCAT1]],[3]!db[NB NOTA_C],0))</f>
        <v>3422</v>
      </c>
      <c r="AV57" s="25" t="b">
        <f>IF(NOTA[[#This Row],[QTY/ CTN]]="","",TRUE)</f>
        <v>1</v>
      </c>
      <c r="AW57" s="25" t="str">
        <f ca="1">IF(NOTA[[#This Row],[ID_H]]="","",IF(NOTA[[#This Row],[Column3]]=TRUE,NOTA[[#This Row],[QTY/ CTN]],INDEX([3]!db[QTY/ CTN],NOTA[[#This Row],[//DB]])))</f>
        <v>192 LSN</v>
      </c>
      <c r="AX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gelpenzhuizhua1020192lsnuntana</v>
      </c>
      <c r="AY57" s="25">
        <f ca="1">IF(NOTA[[#This Row],[ID_H]]="","",MATCH(NOTA[[#This Row],[NB NOTA_C_QTY]],[3]!db[NB NOTA_C_QTY+F],0))</f>
        <v>3422</v>
      </c>
      <c r="AZ57" s="38">
        <f ca="1">IF(NOTA[[#This Row],[NB NOTA_C_QTY]]="","",ROW()-2)</f>
        <v>55</v>
      </c>
    </row>
    <row r="58" spans="1:52" ht="20.100000000000001" customHeight="1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" s="25" t="str">
        <f ca="1">IF(NOTA[[#This Row],[NAMA BARANG]]="","",INDEX(NOTA[ID],MATCH(,INDIRECT(ADDRESS(ROW(NOTA[ID]),COLUMN(NOTA[ID]))&amp;":"&amp;ADDRESS(ROW(),COLUMN(NOTA[ID]))),-1)))</f>
        <v/>
      </c>
      <c r="E58" s="33"/>
      <c r="H58" s="34"/>
      <c r="Q58" s="29"/>
      <c r="R58" s="35"/>
      <c r="S58" s="36"/>
      <c r="V58" s="37"/>
      <c r="W58" s="32"/>
      <c r="X58" s="37" t="str">
        <f>IF(NOTA[[#This Row],[HARGA/ CTN]]="",NOTA[[#This Row],[JUMLAH_H]],NOTA[[#This Row],[HARGA/ CTN]]*IF(NOTA[[#This Row],[C]]="",0,NOTA[[#This Row],[C]]))</f>
        <v/>
      </c>
      <c r="Y58" s="37" t="str">
        <f>IF(NOTA[[#This Row],[JUMLAH]]="","",NOTA[[#This Row],[JUMLAH]]*NOTA[[#This Row],[DISC 1]])</f>
        <v/>
      </c>
      <c r="Z58" s="37" t="str">
        <f>IF(NOTA[[#This Row],[JUMLAH]]="","",(NOTA[[#This Row],[JUMLAH]]-NOTA[[#This Row],[DISC 1-]])*NOTA[[#This Row],[DISC 2]])</f>
        <v/>
      </c>
      <c r="AA58" s="37" t="str">
        <f>IF(NOTA[[#This Row],[JUMLAH]]="","",(NOTA[[#This Row],[JUMLAH]]-NOTA[[#This Row],[DISC 1-]]-NOTA[[#This Row],[DISC 2-]])*NOTA[[#This Row],[DISC 3]])</f>
        <v/>
      </c>
      <c r="AB58" s="37" t="str">
        <f>IF(NOTA[[#This Row],[JUMLAH]]="","",NOTA[[#This Row],[DISC 1-]]+NOTA[[#This Row],[DISC 2-]]+NOTA[[#This Row],[DISC 3-]])</f>
        <v/>
      </c>
      <c r="AC58" s="37" t="str">
        <f>IF(NOTA[[#This Row],[JUMLAH]]="","",NOTA[[#This Row],[JUMLAH]]-NOTA[[#This Row],[DISC]])</f>
        <v/>
      </c>
      <c r="AD58" s="37"/>
      <c r="AE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" s="37" t="str">
        <f>IF(OR(NOTA[[#This Row],[QTY]]="",NOTA[[#This Row],[HARGA SATUAN]]="",),"",NOTA[[#This Row],[QTY]]*NOTA[[#This Row],[HARGA SATUAN]])</f>
        <v/>
      </c>
      <c r="AI58" s="26" t="str">
        <f ca="1">IF(NOTA[[#This Row],[ID_H]]="","",INDEX(NOTA[TANGGAL],MATCH(,INDIRECT(ADDRESS(ROW(NOTA[TANGGAL]),COLUMN(NOTA[TANGGAL]))&amp;":"&amp;ADDRESS(ROW(),COLUMN(NOTA[TANGGAL]))),-1)))</f>
        <v/>
      </c>
      <c r="AJ58" s="26" t="str">
        <f ca="1">IF(NOTA[[#This Row],[ID_H]]="","",INDEX(NOTA[TGL.NOTA],MATCH(,INDIRECT(ADDRESS(ROW(NOTA[TGL.NOTA]),COLUMN(NOTA[TGL.NOTA]))&amp;":"&amp;ADDRESS(ROW(),COLUMN(NOTA[TGL.NOTA]))),-1)))</f>
        <v/>
      </c>
      <c r="AK58" s="26" t="str">
        <f ca="1">IF(NOTA[[#This Row],[ID_H]]="","",INDEX(NOTA[NO.NOTA],MATCH(NOTA[[#This Row],[ID_H]],NOTA[ID_H],0)))</f>
        <v/>
      </c>
      <c r="AL58" s="28" t="str">
        <f ca="1">IF(NOTA[[#This Row],[NAMA BARANG]]="","",INDEX(NOTA[SUPPLIER],MATCH(,INDIRECT(ADDRESS(ROW(NOTA[ID]),COLUMN(NOTA[ID]))&amp;":"&amp;ADDRESS(ROW(),COLUMN(NOTA[ID]))),-1)))</f>
        <v/>
      </c>
      <c r="AM58" s="28" t="str">
        <f ca="1">IF(NOTA[[#This Row],[ID_H]]="","",IF(NOTA[[#This Row],[FAKTUR]]="",INDIRECT(ADDRESS(ROW()-1,COLUMN())),NOTA[[#This Row],[FAKTUR]]))</f>
        <v/>
      </c>
      <c r="AN58" s="25" t="str">
        <f ca="1">IF(NOTA[[#This Row],[ID]]="","",COUNTIF(NOTA[ID_H],NOTA[[#This Row],[ID_H]]))</f>
        <v/>
      </c>
      <c r="AO58" s="25" t="str">
        <f ca="1">IF(NOTA[[#This Row],[TGL.NOTA]]="",IF(NOTA[[#This Row],[SUPPLIER_H]]="","",AO57),MONTH(NOTA[[#This Row],[TGL.NOTA]]))</f>
        <v/>
      </c>
      <c r="AP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" s="25"/>
      <c r="AU58" s="25" t="str">
        <f>IF(NOTA[[#This Row],[CONCAT1]]="","",MATCH(NOTA[[#This Row],[CONCAT1]],[3]!db[NB NOTA_C],0))</f>
        <v/>
      </c>
      <c r="AV58" s="25" t="str">
        <f>IF(NOTA[[#This Row],[QTY/ CTN]]="","",TRUE)</f>
        <v/>
      </c>
      <c r="AW58" s="25" t="str">
        <f ca="1">IF(NOTA[[#This Row],[ID_H]]="","",IF(NOTA[[#This Row],[Column3]]=TRUE,NOTA[[#This Row],[QTY/ CTN]],INDEX([3]!db[QTY/ CTN],NOTA[[#This Row],[//DB]])))</f>
        <v/>
      </c>
      <c r="AX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" s="25" t="str">
        <f ca="1">IF(NOTA[[#This Row],[ID_H]]="","",MATCH(NOTA[[#This Row],[NB NOTA_C_QTY]],[3]!db[NB NOTA_C_QTY+F],0))</f>
        <v/>
      </c>
      <c r="AZ58" s="38" t="str">
        <f ca="1">IF(NOTA[[#This Row],[NB NOTA_C_QTY]]="","",ROW()-2)</f>
        <v/>
      </c>
    </row>
    <row r="59" spans="1:52" ht="20.100000000000001" customHeight="1">
      <c r="A59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5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ETJ_0306_524-1</v>
      </c>
      <c r="D59" s="25">
        <f ca="1">IF(NOTA[[#This Row],[NAMA BARANG]]="","",INDEX(NOTA[ID],MATCH(,INDIRECT(ADDRESS(ROW(NOTA[ID]),COLUMN(NOTA[ID]))&amp;":"&amp;ADDRESS(ROW(),COLUMN(NOTA[ID]))),-1)))</f>
        <v>13</v>
      </c>
      <c r="E59" s="33">
        <v>45446</v>
      </c>
      <c r="F59" s="25" t="s">
        <v>154</v>
      </c>
      <c r="G59" s="25" t="s">
        <v>109</v>
      </c>
      <c r="H59" s="34" t="s">
        <v>273</v>
      </c>
      <c r="J59" s="26">
        <v>45439</v>
      </c>
      <c r="L59" s="25" t="s">
        <v>203</v>
      </c>
      <c r="M59" s="27">
        <v>1</v>
      </c>
      <c r="N59" s="25">
        <v>1000</v>
      </c>
      <c r="O59" s="25" t="s">
        <v>110</v>
      </c>
      <c r="P59" s="28">
        <v>8750</v>
      </c>
      <c r="Q59" s="29"/>
      <c r="R59" s="35"/>
      <c r="S59" s="36"/>
      <c r="V59" s="37"/>
      <c r="W59" s="32"/>
      <c r="X59" s="37">
        <f>IF(NOTA[[#This Row],[HARGA/ CTN]]="",NOTA[[#This Row],[JUMLAH_H]],NOTA[[#This Row],[HARGA/ CTN]]*IF(NOTA[[#This Row],[C]]="",0,NOTA[[#This Row],[C]]))</f>
        <v>8750000</v>
      </c>
      <c r="Y59" s="37">
        <f>IF(NOTA[[#This Row],[JUMLAH]]="","",NOTA[[#This Row],[JUMLAH]]*NOTA[[#This Row],[DISC 1]])</f>
        <v>0</v>
      </c>
      <c r="Z59" s="37">
        <f>IF(NOTA[[#This Row],[JUMLAH]]="","",(NOTA[[#This Row],[JUMLAH]]-NOTA[[#This Row],[DISC 1-]])*NOTA[[#This Row],[DISC 2]])</f>
        <v>0</v>
      </c>
      <c r="AA59" s="37">
        <f>IF(NOTA[[#This Row],[JUMLAH]]="","",(NOTA[[#This Row],[JUMLAH]]-NOTA[[#This Row],[DISC 1-]]-NOTA[[#This Row],[DISC 2-]])*NOTA[[#This Row],[DISC 3]])</f>
        <v>0</v>
      </c>
      <c r="AB59" s="37">
        <f>IF(NOTA[[#This Row],[JUMLAH]]="","",NOTA[[#This Row],[DISC 1-]]+NOTA[[#This Row],[DISC 2-]]+NOTA[[#This Row],[DISC 3-]])</f>
        <v>0</v>
      </c>
      <c r="AC59" s="37">
        <f>IF(NOTA[[#This Row],[JUMLAH]]="","",NOTA[[#This Row],[JUMLAH]]-NOTA[[#This Row],[DISC]])</f>
        <v>8750000</v>
      </c>
      <c r="AD59" s="37"/>
      <c r="AE5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8750000</v>
      </c>
      <c r="AG59" s="28">
        <f>IF(NOTA[[#This Row],[NAMA BARANG]]="","",IF(NOTA[[#This Row],[JUMLAH_H]]="",NOTA[[#This Row],[HARGA/ CTN]],NOTA[[#This Row],[QTY]]*NOTA[[#This Row],[HARGA SATUAN]]/IF(ISNUMBER(NOTA[[#This Row],[C]]),NOTA[[#This Row],[C]],1)))</f>
        <v>8750000</v>
      </c>
      <c r="AH59" s="37">
        <f>IF(OR(NOTA[[#This Row],[QTY]]="",NOTA[[#This Row],[HARGA SATUAN]]="",),"",NOTA[[#This Row],[QTY]]*NOTA[[#This Row],[HARGA SATUAN]])</f>
        <v>8750000</v>
      </c>
      <c r="AI59" s="26">
        <f ca="1">IF(NOTA[[#This Row],[ID_H]]="","",INDEX(NOTA[TANGGAL],MATCH(,INDIRECT(ADDRESS(ROW(NOTA[TANGGAL]),COLUMN(NOTA[TANGGAL]))&amp;":"&amp;ADDRESS(ROW(),COLUMN(NOTA[TANGGAL]))),-1)))</f>
        <v>45446</v>
      </c>
      <c r="AJ59" s="26">
        <f ca="1">IF(NOTA[[#This Row],[ID_H]]="","",INDEX(NOTA[TGL.NOTA],MATCH(,INDIRECT(ADDRESS(ROW(NOTA[TGL.NOTA]),COLUMN(NOTA[TGL.NOTA]))&amp;":"&amp;ADDRESS(ROW(),COLUMN(NOTA[TGL.NOTA]))),-1)))</f>
        <v>45439</v>
      </c>
      <c r="AK59" s="26" t="str">
        <f ca="1">IF(NOTA[[#This Row],[ID_H]]="","",INDEX(NOTA[NO.NOTA],MATCH(NOTA[[#This Row],[ID_H]],NOTA[ID_H],0)))</f>
        <v>GX5.24</v>
      </c>
      <c r="AL59" s="28" t="str">
        <f ca="1">IF(NOTA[[#This Row],[NAMA BARANG]]="","",INDEX(NOTA[SUPPLIER],MATCH(,INDIRECT(ADDRESS(ROW(NOTA[ID]),COLUMN(NOTA[ID]))&amp;":"&amp;ADDRESS(ROW(),COLUMN(NOTA[ID]))),-1)))</f>
        <v>ETJ</v>
      </c>
      <c r="AM59" s="28" t="str">
        <f ca="1">IF(NOTA[[#This Row],[ID_H]]="","",IF(NOTA[[#This Row],[FAKTUR]]="",INDIRECT(ADDRESS(ROW()-1,COLUMN())),NOTA[[#This Row],[FAKTUR]]))</f>
        <v>UNTANA</v>
      </c>
      <c r="AN59" s="25">
        <f ca="1">IF(NOTA[[#This Row],[ID]]="","",COUNTIF(NOTA[ID_H],NOTA[[#This Row],[ID_H]]))</f>
        <v>1</v>
      </c>
      <c r="AO59" s="25">
        <f>IF(NOTA[[#This Row],[TGL.NOTA]]="",IF(NOTA[[#This Row],[SUPPLIER_H]]="","",AO58),MONTH(NOTA[[#This Row],[TGL.NOTA]]))</f>
        <v>5</v>
      </c>
      <c r="AP59" s="25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Q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enter30cm6758750000</v>
      </c>
      <c r="AR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enter30cm6758750000</v>
      </c>
      <c r="AS59" s="25" t="str">
        <f>IF(NOTA[[#This Row],[SUPPLIER]]="","",NOTA[[#This Row],[SUPPLIER]]&amp;NOTA[[#This Row],[FAKTUR]]&amp;NOTA[[#This Row],[NO.NOTA]]&amp;NOTA[[#This Row],[NO.SJ]]&amp;NOTA[[#This Row],[TGL.NOTA]]&amp;NOTA[[#This Row],[CONCAT1]])</f>
        <v>ETJUNTANAGX5.2445439enter30cm675</v>
      </c>
      <c r="AT59" s="25"/>
      <c r="AU59" s="25">
        <f>IF(NOTA[[#This Row],[CONCAT1]]="","",MATCH(NOTA[[#This Row],[CONCAT1]],[3]!db[NB NOTA_C],0))</f>
        <v>933</v>
      </c>
      <c r="AV59" s="25" t="str">
        <f>IF(NOTA[[#This Row],[QTY/ CTN]]="","",TRUE)</f>
        <v/>
      </c>
      <c r="AW59" s="25" t="str">
        <f ca="1">IF(NOTA[[#This Row],[ID_H]]="","",IF(NOTA[[#This Row],[Column3]]=TRUE,NOTA[[#This Row],[QTY/ CTN]],INDEX([3]!db[QTY/ CTN],NOTA[[#This Row],[//DB]])))</f>
        <v>200 LSN</v>
      </c>
      <c r="AX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enter30cm675200lsnuntana</v>
      </c>
      <c r="AY59" s="25">
        <f ca="1">IF(NOTA[[#This Row],[ID_H]]="","",MATCH(NOTA[[#This Row],[NB NOTA_C_QTY]],[3]!db[NB NOTA_C_QTY+F],0))</f>
        <v>933</v>
      </c>
      <c r="AZ59" s="38">
        <f ca="1">IF(NOTA[[#This Row],[NB NOTA_C_QTY]]="","",ROW()-2)</f>
        <v>57</v>
      </c>
    </row>
    <row r="60" spans="1:52" ht="20.100000000000001" customHeight="1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" s="25" t="str">
        <f ca="1">IF(NOTA[[#This Row],[NAMA BARANG]]="","",INDEX(NOTA[ID],MATCH(,INDIRECT(ADDRESS(ROW(NOTA[ID]),COLUMN(NOTA[ID]))&amp;":"&amp;ADDRESS(ROW(),COLUMN(NOTA[ID]))),-1)))</f>
        <v/>
      </c>
      <c r="E60" s="33"/>
      <c r="H60" s="34"/>
      <c r="Q60" s="29"/>
      <c r="R60" s="35"/>
      <c r="S60" s="36"/>
      <c r="V60" s="37"/>
      <c r="W60" s="32"/>
      <c r="X60" s="37" t="str">
        <f>IF(NOTA[[#This Row],[HARGA/ CTN]]="",NOTA[[#This Row],[JUMLAH_H]],NOTA[[#This Row],[HARGA/ CTN]]*IF(NOTA[[#This Row],[C]]="",0,NOTA[[#This Row],[C]]))</f>
        <v/>
      </c>
      <c r="Y60" s="37" t="str">
        <f>IF(NOTA[[#This Row],[JUMLAH]]="","",NOTA[[#This Row],[JUMLAH]]*NOTA[[#This Row],[DISC 1]])</f>
        <v/>
      </c>
      <c r="Z60" s="37" t="str">
        <f>IF(NOTA[[#This Row],[JUMLAH]]="","",(NOTA[[#This Row],[JUMLAH]]-NOTA[[#This Row],[DISC 1-]])*NOTA[[#This Row],[DISC 2]])</f>
        <v/>
      </c>
      <c r="AA60" s="37" t="str">
        <f>IF(NOTA[[#This Row],[JUMLAH]]="","",(NOTA[[#This Row],[JUMLAH]]-NOTA[[#This Row],[DISC 1-]]-NOTA[[#This Row],[DISC 2-]])*NOTA[[#This Row],[DISC 3]])</f>
        <v/>
      </c>
      <c r="AB60" s="37" t="str">
        <f>IF(NOTA[[#This Row],[JUMLAH]]="","",NOTA[[#This Row],[DISC 1-]]+NOTA[[#This Row],[DISC 2-]]+NOTA[[#This Row],[DISC 3-]])</f>
        <v/>
      </c>
      <c r="AC60" s="37" t="str">
        <f>IF(NOTA[[#This Row],[JUMLAH]]="","",NOTA[[#This Row],[JUMLAH]]-NOTA[[#This Row],[DISC]])</f>
        <v/>
      </c>
      <c r="AD60" s="37"/>
      <c r="AE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" s="37" t="str">
        <f>IF(OR(NOTA[[#This Row],[QTY]]="",NOTA[[#This Row],[HARGA SATUAN]]="",),"",NOTA[[#This Row],[QTY]]*NOTA[[#This Row],[HARGA SATUAN]])</f>
        <v/>
      </c>
      <c r="AI60" s="26" t="str">
        <f ca="1">IF(NOTA[[#This Row],[ID_H]]="","",INDEX(NOTA[TANGGAL],MATCH(,INDIRECT(ADDRESS(ROW(NOTA[TANGGAL]),COLUMN(NOTA[TANGGAL]))&amp;":"&amp;ADDRESS(ROW(),COLUMN(NOTA[TANGGAL]))),-1)))</f>
        <v/>
      </c>
      <c r="AJ60" s="26" t="str">
        <f ca="1">IF(NOTA[[#This Row],[ID_H]]="","",INDEX(NOTA[TGL.NOTA],MATCH(,INDIRECT(ADDRESS(ROW(NOTA[TGL.NOTA]),COLUMN(NOTA[TGL.NOTA]))&amp;":"&amp;ADDRESS(ROW(),COLUMN(NOTA[TGL.NOTA]))),-1)))</f>
        <v/>
      </c>
      <c r="AK60" s="26" t="str">
        <f ca="1">IF(NOTA[[#This Row],[ID_H]]="","",INDEX(NOTA[NO.NOTA],MATCH(NOTA[[#This Row],[ID_H]],NOTA[ID_H],0)))</f>
        <v/>
      </c>
      <c r="AL60" s="28" t="str">
        <f ca="1">IF(NOTA[[#This Row],[NAMA BARANG]]="","",INDEX(NOTA[SUPPLIER],MATCH(,INDIRECT(ADDRESS(ROW(NOTA[ID]),COLUMN(NOTA[ID]))&amp;":"&amp;ADDRESS(ROW(),COLUMN(NOTA[ID]))),-1)))</f>
        <v/>
      </c>
      <c r="AM60" s="28" t="str">
        <f ca="1">IF(NOTA[[#This Row],[ID_H]]="","",IF(NOTA[[#This Row],[FAKTUR]]="",INDIRECT(ADDRESS(ROW()-1,COLUMN())),NOTA[[#This Row],[FAKTUR]]))</f>
        <v/>
      </c>
      <c r="AN60" s="25" t="str">
        <f ca="1">IF(NOTA[[#This Row],[ID]]="","",COUNTIF(NOTA[ID_H],NOTA[[#This Row],[ID_H]]))</f>
        <v/>
      </c>
      <c r="AO60" s="25" t="str">
        <f ca="1">IF(NOTA[[#This Row],[TGL.NOTA]]="",IF(NOTA[[#This Row],[SUPPLIER_H]]="","",AO59),MONTH(NOTA[[#This Row],[TGL.NOTA]]))</f>
        <v/>
      </c>
      <c r="AP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" s="25"/>
      <c r="AU60" s="25" t="str">
        <f>IF(NOTA[[#This Row],[CONCAT1]]="","",MATCH(NOTA[[#This Row],[CONCAT1]],[3]!db[NB NOTA_C],0))</f>
        <v/>
      </c>
      <c r="AV60" s="25" t="str">
        <f>IF(NOTA[[#This Row],[QTY/ CTN]]="","",TRUE)</f>
        <v/>
      </c>
      <c r="AW60" s="25" t="str">
        <f ca="1">IF(NOTA[[#This Row],[ID_H]]="","",IF(NOTA[[#This Row],[Column3]]=TRUE,NOTA[[#This Row],[QTY/ CTN]],INDEX([3]!db[QTY/ CTN],NOTA[[#This Row],[//DB]])))</f>
        <v/>
      </c>
      <c r="AX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" s="25" t="str">
        <f ca="1">IF(NOTA[[#This Row],[ID_H]]="","",MATCH(NOTA[[#This Row],[NB NOTA_C_QTY]],[3]!db[NB NOTA_C_QTY+F],0))</f>
        <v/>
      </c>
      <c r="AZ60" s="38" t="str">
        <f ca="1">IF(NOTA[[#This Row],[NB NOTA_C_QTY]]="","",ROW()-2)</f>
        <v/>
      </c>
    </row>
    <row r="61" spans="1:52" ht="20.100000000000001" customHeight="1">
      <c r="A61" s="28">
        <f ca="1">IF(INDIRECT(ADDRESS(ROW()-1,COLUMN(NOTA[[#Headers],[ID]])))="ID",1,IF(NOTA[[#This Row],[FAKTUR]]="","",COUNT(INDIRECT(ADDRESS(ROW(NOTA[ID]),COLUMN(NOTA[ID]))&amp;":"&amp;ADDRESS(ROW()-1,COLUMN(NOTA[ID]))))+1))</f>
        <v>14</v>
      </c>
      <c r="B6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ETJ_0306_424-1</v>
      </c>
      <c r="D61" s="25">
        <f ca="1">IF(NOTA[[#This Row],[NAMA BARANG]]="","",INDEX(NOTA[ID],MATCH(,INDIRECT(ADDRESS(ROW(NOTA[ID]),COLUMN(NOTA[ID]))&amp;":"&amp;ADDRESS(ROW(),COLUMN(NOTA[ID]))),-1)))</f>
        <v>14</v>
      </c>
      <c r="E61" s="33"/>
      <c r="F61" s="25" t="s">
        <v>154</v>
      </c>
      <c r="G61" s="25" t="s">
        <v>109</v>
      </c>
      <c r="H61" s="34" t="s">
        <v>274</v>
      </c>
      <c r="J61" s="26">
        <v>45442</v>
      </c>
      <c r="L61" s="25" t="s">
        <v>203</v>
      </c>
      <c r="M61" s="27">
        <v>1</v>
      </c>
      <c r="N61" s="25">
        <v>1000</v>
      </c>
      <c r="O61" s="25" t="s">
        <v>110</v>
      </c>
      <c r="P61" s="28">
        <v>8750</v>
      </c>
      <c r="Q61" s="29"/>
      <c r="R61" s="35"/>
      <c r="S61" s="36"/>
      <c r="V61" s="37"/>
      <c r="W61" s="32"/>
      <c r="X61" s="37">
        <f>IF(NOTA[[#This Row],[HARGA/ CTN]]="",NOTA[[#This Row],[JUMLAH_H]],NOTA[[#This Row],[HARGA/ CTN]]*IF(NOTA[[#This Row],[C]]="",0,NOTA[[#This Row],[C]]))</f>
        <v>8750000</v>
      </c>
      <c r="Y61" s="37">
        <f>IF(NOTA[[#This Row],[JUMLAH]]="","",NOTA[[#This Row],[JUMLAH]]*NOTA[[#This Row],[DISC 1]])</f>
        <v>0</v>
      </c>
      <c r="Z61" s="37">
        <f>IF(NOTA[[#This Row],[JUMLAH]]="","",(NOTA[[#This Row],[JUMLAH]]-NOTA[[#This Row],[DISC 1-]])*NOTA[[#This Row],[DISC 2]])</f>
        <v>0</v>
      </c>
      <c r="AA61" s="37">
        <f>IF(NOTA[[#This Row],[JUMLAH]]="","",(NOTA[[#This Row],[JUMLAH]]-NOTA[[#This Row],[DISC 1-]]-NOTA[[#This Row],[DISC 2-]])*NOTA[[#This Row],[DISC 3]])</f>
        <v>0</v>
      </c>
      <c r="AB61" s="37">
        <f>IF(NOTA[[#This Row],[JUMLAH]]="","",NOTA[[#This Row],[DISC 1-]]+NOTA[[#This Row],[DISC 2-]]+NOTA[[#This Row],[DISC 3-]])</f>
        <v>0</v>
      </c>
      <c r="AC61" s="37">
        <f>IF(NOTA[[#This Row],[JUMLAH]]="","",NOTA[[#This Row],[JUMLAH]]-NOTA[[#This Row],[DISC]])</f>
        <v>8750000</v>
      </c>
      <c r="AD61" s="37"/>
      <c r="AE6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6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8750000</v>
      </c>
      <c r="AG61" s="28">
        <f>IF(NOTA[[#This Row],[NAMA BARANG]]="","",IF(NOTA[[#This Row],[JUMLAH_H]]="",NOTA[[#This Row],[HARGA/ CTN]],NOTA[[#This Row],[QTY]]*NOTA[[#This Row],[HARGA SATUAN]]/IF(ISNUMBER(NOTA[[#This Row],[C]]),NOTA[[#This Row],[C]],1)))</f>
        <v>8750000</v>
      </c>
      <c r="AH61" s="37">
        <f>IF(OR(NOTA[[#This Row],[QTY]]="",NOTA[[#This Row],[HARGA SATUAN]]="",),"",NOTA[[#This Row],[QTY]]*NOTA[[#This Row],[HARGA SATUAN]])</f>
        <v>8750000</v>
      </c>
      <c r="AI61" s="26">
        <f ca="1">IF(NOTA[[#This Row],[ID_H]]="","",INDEX(NOTA[TANGGAL],MATCH(,INDIRECT(ADDRESS(ROW(NOTA[TANGGAL]),COLUMN(NOTA[TANGGAL]))&amp;":"&amp;ADDRESS(ROW(),COLUMN(NOTA[TANGGAL]))),-1)))</f>
        <v>45446</v>
      </c>
      <c r="AJ61" s="26">
        <f ca="1">IF(NOTA[[#This Row],[ID_H]]="","",INDEX(NOTA[TGL.NOTA],MATCH(,INDIRECT(ADDRESS(ROW(NOTA[TGL.NOTA]),COLUMN(NOTA[TGL.NOTA]))&amp;":"&amp;ADDRESS(ROW(),COLUMN(NOTA[TGL.NOTA]))),-1)))</f>
        <v>45442</v>
      </c>
      <c r="AK61" s="26" t="str">
        <f ca="1">IF(NOTA[[#This Row],[ID_H]]="","",INDEX(NOTA[NO.NOTA],MATCH(NOTA[[#This Row],[ID_H]],NOTA[ID_H],0)))</f>
        <v>H0424</v>
      </c>
      <c r="AL61" s="28" t="str">
        <f ca="1">IF(NOTA[[#This Row],[NAMA BARANG]]="","",INDEX(NOTA[SUPPLIER],MATCH(,INDIRECT(ADDRESS(ROW(NOTA[ID]),COLUMN(NOTA[ID]))&amp;":"&amp;ADDRESS(ROW(),COLUMN(NOTA[ID]))),-1)))</f>
        <v>ETJ</v>
      </c>
      <c r="AM61" s="28" t="str">
        <f ca="1">IF(NOTA[[#This Row],[ID_H]]="","",IF(NOTA[[#This Row],[FAKTUR]]="",INDIRECT(ADDRESS(ROW()-1,COLUMN())),NOTA[[#This Row],[FAKTUR]]))</f>
        <v>UNTANA</v>
      </c>
      <c r="AN61" s="25">
        <f ca="1">IF(NOTA[[#This Row],[ID]]="","",COUNTIF(NOTA[ID_H],NOTA[[#This Row],[ID_H]]))</f>
        <v>1</v>
      </c>
      <c r="AO61" s="25">
        <f>IF(NOTA[[#This Row],[TGL.NOTA]]="",IF(NOTA[[#This Row],[SUPPLIER_H]]="","",AO60),MONTH(NOTA[[#This Row],[TGL.NOTA]]))</f>
        <v>5</v>
      </c>
      <c r="AP61" s="25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Q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enter30cm6758750000</v>
      </c>
      <c r="AR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enter30cm6758750000</v>
      </c>
      <c r="AS61" s="25" t="str">
        <f>IF(NOTA[[#This Row],[SUPPLIER]]="","",NOTA[[#This Row],[SUPPLIER]]&amp;NOTA[[#This Row],[FAKTUR]]&amp;NOTA[[#This Row],[NO.NOTA]]&amp;NOTA[[#This Row],[NO.SJ]]&amp;NOTA[[#This Row],[TGL.NOTA]]&amp;NOTA[[#This Row],[CONCAT1]])</f>
        <v>ETJUNTANAH042445442enter30cm675</v>
      </c>
      <c r="AT61" s="25"/>
      <c r="AU61" s="25">
        <f>IF(NOTA[[#This Row],[CONCAT1]]="","",MATCH(NOTA[[#This Row],[CONCAT1]],[3]!db[NB NOTA_C],0))</f>
        <v>933</v>
      </c>
      <c r="AV61" s="25" t="str">
        <f>IF(NOTA[[#This Row],[QTY/ CTN]]="","",TRUE)</f>
        <v/>
      </c>
      <c r="AW61" s="25" t="str">
        <f ca="1">IF(NOTA[[#This Row],[ID_H]]="","",IF(NOTA[[#This Row],[Column3]]=TRUE,NOTA[[#This Row],[QTY/ CTN]],INDEX([3]!db[QTY/ CTN],NOTA[[#This Row],[//DB]])))</f>
        <v>200 LSN</v>
      </c>
      <c r="AX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enter30cm675200lsnuntana</v>
      </c>
      <c r="AY61" s="25">
        <f ca="1">IF(NOTA[[#This Row],[ID_H]]="","",MATCH(NOTA[[#This Row],[NB NOTA_C_QTY]],[3]!db[NB NOTA_C_QTY+F],0))</f>
        <v>933</v>
      </c>
      <c r="AZ61" s="38">
        <f ca="1">IF(NOTA[[#This Row],[NB NOTA_C_QTY]]="","",ROW()-2)</f>
        <v>59</v>
      </c>
    </row>
    <row r="62" spans="1:52" ht="20.100000000000001" customHeight="1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" s="25" t="str">
        <f ca="1">IF(NOTA[[#This Row],[NAMA BARANG]]="","",INDEX(NOTA[ID],MATCH(,INDIRECT(ADDRESS(ROW(NOTA[ID]),COLUMN(NOTA[ID]))&amp;":"&amp;ADDRESS(ROW(),COLUMN(NOTA[ID]))),-1)))</f>
        <v/>
      </c>
      <c r="E62" s="33"/>
      <c r="H62" s="34"/>
      <c r="Q62" s="29"/>
      <c r="R62" s="35"/>
      <c r="S62" s="36"/>
      <c r="V62" s="37"/>
      <c r="W62" s="32"/>
      <c r="X62" s="37" t="str">
        <f>IF(NOTA[[#This Row],[HARGA/ CTN]]="",NOTA[[#This Row],[JUMLAH_H]],NOTA[[#This Row],[HARGA/ CTN]]*IF(NOTA[[#This Row],[C]]="",0,NOTA[[#This Row],[C]]))</f>
        <v/>
      </c>
      <c r="Y62" s="37" t="str">
        <f>IF(NOTA[[#This Row],[JUMLAH]]="","",NOTA[[#This Row],[JUMLAH]]*NOTA[[#This Row],[DISC 1]])</f>
        <v/>
      </c>
      <c r="Z62" s="37" t="str">
        <f>IF(NOTA[[#This Row],[JUMLAH]]="","",(NOTA[[#This Row],[JUMLAH]]-NOTA[[#This Row],[DISC 1-]])*NOTA[[#This Row],[DISC 2]])</f>
        <v/>
      </c>
      <c r="AA62" s="37" t="str">
        <f>IF(NOTA[[#This Row],[JUMLAH]]="","",(NOTA[[#This Row],[JUMLAH]]-NOTA[[#This Row],[DISC 1-]]-NOTA[[#This Row],[DISC 2-]])*NOTA[[#This Row],[DISC 3]])</f>
        <v/>
      </c>
      <c r="AB62" s="37" t="str">
        <f>IF(NOTA[[#This Row],[JUMLAH]]="","",NOTA[[#This Row],[DISC 1-]]+NOTA[[#This Row],[DISC 2-]]+NOTA[[#This Row],[DISC 3-]])</f>
        <v/>
      </c>
      <c r="AC62" s="37" t="str">
        <f>IF(NOTA[[#This Row],[JUMLAH]]="","",NOTA[[#This Row],[JUMLAH]]-NOTA[[#This Row],[DISC]])</f>
        <v/>
      </c>
      <c r="AD62" s="37"/>
      <c r="AE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" s="37" t="str">
        <f>IF(OR(NOTA[[#This Row],[QTY]]="",NOTA[[#This Row],[HARGA SATUAN]]="",),"",NOTA[[#This Row],[QTY]]*NOTA[[#This Row],[HARGA SATUAN]])</f>
        <v/>
      </c>
      <c r="AI62" s="26" t="str">
        <f ca="1">IF(NOTA[[#This Row],[ID_H]]="","",INDEX(NOTA[TANGGAL],MATCH(,INDIRECT(ADDRESS(ROW(NOTA[TANGGAL]),COLUMN(NOTA[TANGGAL]))&amp;":"&amp;ADDRESS(ROW(),COLUMN(NOTA[TANGGAL]))),-1)))</f>
        <v/>
      </c>
      <c r="AJ62" s="26" t="str">
        <f ca="1">IF(NOTA[[#This Row],[ID_H]]="","",INDEX(NOTA[TGL.NOTA],MATCH(,INDIRECT(ADDRESS(ROW(NOTA[TGL.NOTA]),COLUMN(NOTA[TGL.NOTA]))&amp;":"&amp;ADDRESS(ROW(),COLUMN(NOTA[TGL.NOTA]))),-1)))</f>
        <v/>
      </c>
      <c r="AK62" s="26" t="str">
        <f ca="1">IF(NOTA[[#This Row],[ID_H]]="","",INDEX(NOTA[NO.NOTA],MATCH(NOTA[[#This Row],[ID_H]],NOTA[ID_H],0)))</f>
        <v/>
      </c>
      <c r="AL62" s="28" t="str">
        <f ca="1">IF(NOTA[[#This Row],[NAMA BARANG]]="","",INDEX(NOTA[SUPPLIER],MATCH(,INDIRECT(ADDRESS(ROW(NOTA[ID]),COLUMN(NOTA[ID]))&amp;":"&amp;ADDRESS(ROW(),COLUMN(NOTA[ID]))),-1)))</f>
        <v/>
      </c>
      <c r="AM62" s="28" t="str">
        <f ca="1">IF(NOTA[[#This Row],[ID_H]]="","",IF(NOTA[[#This Row],[FAKTUR]]="",INDIRECT(ADDRESS(ROW()-1,COLUMN())),NOTA[[#This Row],[FAKTUR]]))</f>
        <v/>
      </c>
      <c r="AN62" s="25" t="str">
        <f ca="1">IF(NOTA[[#This Row],[ID]]="","",COUNTIF(NOTA[ID_H],NOTA[[#This Row],[ID_H]]))</f>
        <v/>
      </c>
      <c r="AO62" s="25" t="str">
        <f ca="1">IF(NOTA[[#This Row],[TGL.NOTA]]="",IF(NOTA[[#This Row],[SUPPLIER_H]]="","",AO61),MONTH(NOTA[[#This Row],[TGL.NOTA]]))</f>
        <v/>
      </c>
      <c r="AP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" s="25"/>
      <c r="AU62" s="25" t="str">
        <f>IF(NOTA[[#This Row],[CONCAT1]]="","",MATCH(NOTA[[#This Row],[CONCAT1]],[3]!db[NB NOTA_C],0))</f>
        <v/>
      </c>
      <c r="AV62" s="25" t="str">
        <f>IF(NOTA[[#This Row],[QTY/ CTN]]="","",TRUE)</f>
        <v/>
      </c>
      <c r="AW62" s="25" t="str">
        <f ca="1">IF(NOTA[[#This Row],[ID_H]]="","",IF(NOTA[[#This Row],[Column3]]=TRUE,NOTA[[#This Row],[QTY/ CTN]],INDEX([3]!db[QTY/ CTN],NOTA[[#This Row],[//DB]])))</f>
        <v/>
      </c>
      <c r="AX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" s="25" t="str">
        <f ca="1">IF(NOTA[[#This Row],[ID_H]]="","",MATCH(NOTA[[#This Row],[NB NOTA_C_QTY]],[3]!db[NB NOTA_C_QTY+F],0))</f>
        <v/>
      </c>
      <c r="AZ62" s="38" t="str">
        <f ca="1">IF(NOTA[[#This Row],[NB NOTA_C_QTY]]="","",ROW()-2)</f>
        <v/>
      </c>
    </row>
    <row r="63" spans="1:52" ht="20.100000000000001" customHeight="1">
      <c r="A63" s="28">
        <f ca="1">IF(INDIRECT(ADDRESS(ROW()-1,COLUMN(NOTA[[#Headers],[ID]])))="ID",1,IF(NOTA[[#This Row],[FAKTUR]]="","",COUNT(INDIRECT(ADDRESS(ROW(NOTA[ID]),COLUMN(NOTA[ID]))&amp;":"&amp;ADDRESS(ROW()-1,COLUMN(NOTA[ID]))))+1))</f>
        <v>15</v>
      </c>
      <c r="B6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DUT_0406_24H-1</v>
      </c>
      <c r="D63" s="25">
        <f ca="1">IF(NOTA[[#This Row],[NAMA BARANG]]="","",INDEX(NOTA[ID],MATCH(,INDIRECT(ADDRESS(ROW(NOTA[ID]),COLUMN(NOTA[ID]))&amp;":"&amp;ADDRESS(ROW(),COLUMN(NOTA[ID]))),-1)))</f>
        <v>15</v>
      </c>
      <c r="E63" s="33">
        <v>45447</v>
      </c>
      <c r="F63" s="25" t="s">
        <v>275</v>
      </c>
      <c r="G63" s="25" t="s">
        <v>109</v>
      </c>
      <c r="H63" s="34" t="s">
        <v>276</v>
      </c>
      <c r="J63" s="26">
        <v>45440</v>
      </c>
      <c r="L63" s="25" t="s">
        <v>277</v>
      </c>
      <c r="M63" s="27">
        <v>9</v>
      </c>
      <c r="N63" s="25">
        <v>864</v>
      </c>
      <c r="O63" s="25" t="s">
        <v>110</v>
      </c>
      <c r="P63" s="28">
        <v>26500</v>
      </c>
      <c r="Q63" s="29"/>
      <c r="R63" s="35" t="s">
        <v>278</v>
      </c>
      <c r="S63" s="36">
        <v>0.03</v>
      </c>
      <c r="V63" s="37"/>
      <c r="W63" s="32"/>
      <c r="X63" s="37">
        <f>IF(NOTA[[#This Row],[HARGA/ CTN]]="",NOTA[[#This Row],[JUMLAH_H]],NOTA[[#This Row],[HARGA/ CTN]]*IF(NOTA[[#This Row],[C]]="",0,NOTA[[#This Row],[C]]))</f>
        <v>22896000</v>
      </c>
      <c r="Y63" s="37">
        <f>IF(NOTA[[#This Row],[JUMLAH]]="","",NOTA[[#This Row],[JUMLAH]]*NOTA[[#This Row],[DISC 1]])</f>
        <v>686880</v>
      </c>
      <c r="Z63" s="37">
        <f>IF(NOTA[[#This Row],[JUMLAH]]="","",(NOTA[[#This Row],[JUMLAH]]-NOTA[[#This Row],[DISC 1-]])*NOTA[[#This Row],[DISC 2]])</f>
        <v>0</v>
      </c>
      <c r="AA63" s="37">
        <f>IF(NOTA[[#This Row],[JUMLAH]]="","",(NOTA[[#This Row],[JUMLAH]]-NOTA[[#This Row],[DISC 1-]]-NOTA[[#This Row],[DISC 2-]])*NOTA[[#This Row],[DISC 3]])</f>
        <v>0</v>
      </c>
      <c r="AB63" s="37">
        <f>IF(NOTA[[#This Row],[JUMLAH]]="","",NOTA[[#This Row],[DISC 1-]]+NOTA[[#This Row],[DISC 2-]]+NOTA[[#This Row],[DISC 3-]])</f>
        <v>686880</v>
      </c>
      <c r="AC63" s="37">
        <f>IF(NOTA[[#This Row],[JUMLAH]]="","",NOTA[[#This Row],[JUMLAH]]-NOTA[[#This Row],[DISC]])</f>
        <v>22209120</v>
      </c>
      <c r="AD63" s="37"/>
      <c r="AE6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686880</v>
      </c>
      <c r="AF6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22209120</v>
      </c>
      <c r="AG63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63" s="37">
        <f>IF(OR(NOTA[[#This Row],[QTY]]="",NOTA[[#This Row],[HARGA SATUAN]]="",),"",NOTA[[#This Row],[QTY]]*NOTA[[#This Row],[HARGA SATUAN]])</f>
        <v>22896000</v>
      </c>
      <c r="AI63" s="26">
        <f ca="1">IF(NOTA[[#This Row],[ID_H]]="","",INDEX(NOTA[TANGGAL],MATCH(,INDIRECT(ADDRESS(ROW(NOTA[TANGGAL]),COLUMN(NOTA[TANGGAL]))&amp;":"&amp;ADDRESS(ROW(),COLUMN(NOTA[TANGGAL]))),-1)))</f>
        <v>45447</v>
      </c>
      <c r="AJ63" s="26">
        <f ca="1">IF(NOTA[[#This Row],[ID_H]]="","",INDEX(NOTA[TGL.NOTA],MATCH(,INDIRECT(ADDRESS(ROW(NOTA[TGL.NOTA]),COLUMN(NOTA[TGL.NOTA]))&amp;":"&amp;ADDRESS(ROW(),COLUMN(NOTA[TGL.NOTA]))),-1)))</f>
        <v>45440</v>
      </c>
      <c r="AK63" s="26" t="str">
        <f ca="1">IF(NOTA[[#This Row],[ID_H]]="","",INDEX(NOTA[NO.NOTA],MATCH(NOTA[[#This Row],[ID_H]],NOTA[ID_H],0)))</f>
        <v>HM/099/05-24H</v>
      </c>
      <c r="AL63" s="28" t="str">
        <f ca="1">IF(NOTA[[#This Row],[NAMA BARANG]]="","",INDEX(NOTA[SUPPLIER],MATCH(,INDIRECT(ADDRESS(ROW(NOTA[ID]),COLUMN(NOTA[ID]))&amp;":"&amp;ADDRESS(ROW(),COLUMN(NOTA[ID]))),-1)))</f>
        <v>DUTA BUANA</v>
      </c>
      <c r="AM63" s="28" t="str">
        <f ca="1">IF(NOTA[[#This Row],[ID_H]]="","",IF(NOTA[[#This Row],[FAKTUR]]="",INDIRECT(ADDRESS(ROW()-1,COLUMN())),NOTA[[#This Row],[FAKTUR]]))</f>
        <v>UNTANA</v>
      </c>
      <c r="AN63" s="25">
        <f ca="1">IF(NOTA[[#This Row],[ID]]="","",COUNTIF(NOTA[ID_H],NOTA[[#This Row],[ID_H]]))</f>
        <v>1</v>
      </c>
      <c r="AO63" s="25">
        <f>IF(NOTA[[#This Row],[TGL.NOTA]]="",IF(NOTA[[#This Row],[SUPPLIER_H]]="","",AO62),MONTH(NOTA[[#This Row],[TGL.NOTA]]))</f>
        <v>5</v>
      </c>
      <c r="AP63" s="2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Q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ballpengeltf1190htm03mmhightech25440000,03</v>
      </c>
      <c r="AR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ballpengeltf1190htm03mmhightech25440000,03</v>
      </c>
      <c r="AS63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BUANAUNTANAHM/099/05-24H45440ballpengeltf1190htm03mmhightech</v>
      </c>
      <c r="AT63" s="25"/>
      <c r="AU63" s="25">
        <f>IF(NOTA[[#This Row],[CONCAT1]]="","",MATCH(NOTA[[#This Row],[CONCAT1]],[3]!db[NB NOTA_C],0))</f>
        <v>144</v>
      </c>
      <c r="AV63" s="25" t="b">
        <f>IF(NOTA[[#This Row],[QTY/ CTN]]="","",TRUE)</f>
        <v>1</v>
      </c>
      <c r="AW63" s="25" t="str">
        <f ca="1">IF(NOTA[[#This Row],[ID_H]]="","",IF(NOTA[[#This Row],[Column3]]=TRUE,NOTA[[#This Row],[QTY/ CTN]],INDEX([3]!db[QTY/ CTN],NOTA[[#This Row],[//DB]])))</f>
        <v>96 LSN</v>
      </c>
      <c r="AX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Y63" s="25">
        <f ca="1">IF(NOTA[[#This Row],[ID_H]]="","",MATCH(NOTA[[#This Row],[NB NOTA_C_QTY]],[3]!db[NB NOTA_C_QTY+F],0))</f>
        <v>145</v>
      </c>
      <c r="AZ63" s="38">
        <f ca="1">IF(NOTA[[#This Row],[NB NOTA_C_QTY]]="","",ROW()-2)</f>
        <v>61</v>
      </c>
    </row>
    <row r="64" spans="1:52" ht="20.100000000000001" customHeight="1">
      <c r="A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" s="25" t="str">
        <f ca="1">IF(NOTA[[#This Row],[NAMA BARANG]]="","",INDEX(NOTA[ID],MATCH(,INDIRECT(ADDRESS(ROW(NOTA[ID]),COLUMN(NOTA[ID]))&amp;":"&amp;ADDRESS(ROW(),COLUMN(NOTA[ID]))),-1)))</f>
        <v/>
      </c>
      <c r="E64" s="33"/>
      <c r="H64" s="34"/>
      <c r="Q64" s="29"/>
      <c r="R64" s="35"/>
      <c r="S64" s="36"/>
      <c r="V64" s="37"/>
      <c r="W64" s="32"/>
      <c r="X64" s="37" t="str">
        <f>IF(NOTA[[#This Row],[HARGA/ CTN]]="",NOTA[[#This Row],[JUMLAH_H]],NOTA[[#This Row],[HARGA/ CTN]]*IF(NOTA[[#This Row],[C]]="",0,NOTA[[#This Row],[C]]))</f>
        <v/>
      </c>
      <c r="Y64" s="37" t="str">
        <f>IF(NOTA[[#This Row],[JUMLAH]]="","",NOTA[[#This Row],[JUMLAH]]*NOTA[[#This Row],[DISC 1]])</f>
        <v/>
      </c>
      <c r="Z64" s="37" t="str">
        <f>IF(NOTA[[#This Row],[JUMLAH]]="","",(NOTA[[#This Row],[JUMLAH]]-NOTA[[#This Row],[DISC 1-]])*NOTA[[#This Row],[DISC 2]])</f>
        <v/>
      </c>
      <c r="AA64" s="37" t="str">
        <f>IF(NOTA[[#This Row],[JUMLAH]]="","",(NOTA[[#This Row],[JUMLAH]]-NOTA[[#This Row],[DISC 1-]]-NOTA[[#This Row],[DISC 2-]])*NOTA[[#This Row],[DISC 3]])</f>
        <v/>
      </c>
      <c r="AB64" s="37" t="str">
        <f>IF(NOTA[[#This Row],[JUMLAH]]="","",NOTA[[#This Row],[DISC 1-]]+NOTA[[#This Row],[DISC 2-]]+NOTA[[#This Row],[DISC 3-]])</f>
        <v/>
      </c>
      <c r="AC64" s="37" t="str">
        <f>IF(NOTA[[#This Row],[JUMLAH]]="","",NOTA[[#This Row],[JUMLAH]]-NOTA[[#This Row],[DISC]])</f>
        <v/>
      </c>
      <c r="AD64" s="37"/>
      <c r="AE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" s="37" t="str">
        <f>IF(OR(NOTA[[#This Row],[QTY]]="",NOTA[[#This Row],[HARGA SATUAN]]="",),"",NOTA[[#This Row],[QTY]]*NOTA[[#This Row],[HARGA SATUAN]])</f>
        <v/>
      </c>
      <c r="AI64" s="26" t="str">
        <f ca="1">IF(NOTA[[#This Row],[ID_H]]="","",INDEX(NOTA[TANGGAL],MATCH(,INDIRECT(ADDRESS(ROW(NOTA[TANGGAL]),COLUMN(NOTA[TANGGAL]))&amp;":"&amp;ADDRESS(ROW(),COLUMN(NOTA[TANGGAL]))),-1)))</f>
        <v/>
      </c>
      <c r="AJ64" s="26" t="str">
        <f ca="1">IF(NOTA[[#This Row],[ID_H]]="","",INDEX(NOTA[TGL.NOTA],MATCH(,INDIRECT(ADDRESS(ROW(NOTA[TGL.NOTA]),COLUMN(NOTA[TGL.NOTA]))&amp;":"&amp;ADDRESS(ROW(),COLUMN(NOTA[TGL.NOTA]))),-1)))</f>
        <v/>
      </c>
      <c r="AK64" s="26" t="str">
        <f ca="1">IF(NOTA[[#This Row],[ID_H]]="","",INDEX(NOTA[NO.NOTA],MATCH(NOTA[[#This Row],[ID_H]],NOTA[ID_H],0)))</f>
        <v/>
      </c>
      <c r="AL64" s="28" t="str">
        <f ca="1">IF(NOTA[[#This Row],[NAMA BARANG]]="","",INDEX(NOTA[SUPPLIER],MATCH(,INDIRECT(ADDRESS(ROW(NOTA[ID]),COLUMN(NOTA[ID]))&amp;":"&amp;ADDRESS(ROW(),COLUMN(NOTA[ID]))),-1)))</f>
        <v/>
      </c>
      <c r="AM64" s="28" t="str">
        <f ca="1">IF(NOTA[[#This Row],[ID_H]]="","",IF(NOTA[[#This Row],[FAKTUR]]="",INDIRECT(ADDRESS(ROW()-1,COLUMN())),NOTA[[#This Row],[FAKTUR]]))</f>
        <v/>
      </c>
      <c r="AN64" s="25" t="str">
        <f ca="1">IF(NOTA[[#This Row],[ID]]="","",COUNTIF(NOTA[ID_H],NOTA[[#This Row],[ID_H]]))</f>
        <v/>
      </c>
      <c r="AO64" s="25" t="str">
        <f ca="1">IF(NOTA[[#This Row],[TGL.NOTA]]="",IF(NOTA[[#This Row],[SUPPLIER_H]]="","",AO63),MONTH(NOTA[[#This Row],[TGL.NOTA]]))</f>
        <v/>
      </c>
      <c r="AP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" s="25"/>
      <c r="AU64" s="25" t="str">
        <f>IF(NOTA[[#This Row],[CONCAT1]]="","",MATCH(NOTA[[#This Row],[CONCAT1]],[3]!db[NB NOTA_C],0))</f>
        <v/>
      </c>
      <c r="AV64" s="25" t="str">
        <f>IF(NOTA[[#This Row],[QTY/ CTN]]="","",TRUE)</f>
        <v/>
      </c>
      <c r="AW64" s="25" t="str">
        <f ca="1">IF(NOTA[[#This Row],[ID_H]]="","",IF(NOTA[[#This Row],[Column3]]=TRUE,NOTA[[#This Row],[QTY/ CTN]],INDEX([3]!db[QTY/ CTN],NOTA[[#This Row],[//DB]])))</f>
        <v/>
      </c>
      <c r="AX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" s="25" t="str">
        <f ca="1">IF(NOTA[[#This Row],[ID_H]]="","",MATCH(NOTA[[#This Row],[NB NOTA_C_QTY]],[3]!db[NB NOTA_C_QTY+F],0))</f>
        <v/>
      </c>
      <c r="AZ64" s="38" t="str">
        <f ca="1">IF(NOTA[[#This Row],[NB NOTA_C_QTY]]="","",ROW()-2)</f>
        <v/>
      </c>
    </row>
    <row r="65" spans="1:52" ht="20.100000000000001" customHeight="1">
      <c r="A65" s="28">
        <f ca="1">IF(INDIRECT(ADDRESS(ROW()-1,COLUMN(NOTA[[#Headers],[ID]])))="ID",1,IF(NOTA[[#This Row],[FAKTUR]]="","",COUNT(INDIRECT(ADDRESS(ROW(NOTA[ID]),COLUMN(NOTA[ID]))&amp;":"&amp;ADDRESS(ROW()-1,COLUMN(NOTA[ID]))))+1))</f>
        <v>16</v>
      </c>
      <c r="B6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DBS_0406_224-3</v>
      </c>
      <c r="D65" s="25">
        <f ca="1">IF(NOTA[[#This Row],[NAMA BARANG]]="","",INDEX(NOTA[ID],MATCH(,INDIRECT(ADDRESS(ROW(NOTA[ID]),COLUMN(NOTA[ID]))&amp;":"&amp;ADDRESS(ROW(),COLUMN(NOTA[ID]))),-1)))</f>
        <v>16</v>
      </c>
      <c r="E65" s="33"/>
      <c r="F65" s="25" t="s">
        <v>165</v>
      </c>
      <c r="G65" s="25" t="s">
        <v>109</v>
      </c>
      <c r="H65" s="34" t="s">
        <v>279</v>
      </c>
      <c r="J65" s="26">
        <v>45441</v>
      </c>
      <c r="L65" s="25" t="s">
        <v>280</v>
      </c>
      <c r="M65" s="27">
        <v>3</v>
      </c>
      <c r="N65" s="25">
        <v>360</v>
      </c>
      <c r="O65" s="25" t="s">
        <v>110</v>
      </c>
      <c r="P65" s="28">
        <v>25500</v>
      </c>
      <c r="Q65" s="29"/>
      <c r="R65" s="35" t="s">
        <v>171</v>
      </c>
      <c r="S65" s="36"/>
      <c r="V65" s="37"/>
      <c r="W65" s="32"/>
      <c r="X65" s="37">
        <f>IF(NOTA[[#This Row],[HARGA/ CTN]]="",NOTA[[#This Row],[JUMLAH_H]],NOTA[[#This Row],[HARGA/ CTN]]*IF(NOTA[[#This Row],[C]]="",0,NOTA[[#This Row],[C]]))</f>
        <v>9180000</v>
      </c>
      <c r="Y65" s="37">
        <f>IF(NOTA[[#This Row],[JUMLAH]]="","",NOTA[[#This Row],[JUMLAH]]*NOTA[[#This Row],[DISC 1]])</f>
        <v>0</v>
      </c>
      <c r="Z65" s="37">
        <f>IF(NOTA[[#This Row],[JUMLAH]]="","",(NOTA[[#This Row],[JUMLAH]]-NOTA[[#This Row],[DISC 1-]])*NOTA[[#This Row],[DISC 2]])</f>
        <v>0</v>
      </c>
      <c r="AA65" s="37">
        <f>IF(NOTA[[#This Row],[JUMLAH]]="","",(NOTA[[#This Row],[JUMLAH]]-NOTA[[#This Row],[DISC 1-]]-NOTA[[#This Row],[DISC 2-]])*NOTA[[#This Row],[DISC 3]])</f>
        <v>0</v>
      </c>
      <c r="AB65" s="37">
        <f>IF(NOTA[[#This Row],[JUMLAH]]="","",NOTA[[#This Row],[DISC 1-]]+NOTA[[#This Row],[DISC 2-]]+NOTA[[#This Row],[DISC 3-]])</f>
        <v>0</v>
      </c>
      <c r="AC65" s="37">
        <f>IF(NOTA[[#This Row],[JUMLAH]]="","",NOTA[[#This Row],[JUMLAH]]-NOTA[[#This Row],[DISC]])</f>
        <v>9180000</v>
      </c>
      <c r="AD65" s="37"/>
      <c r="AE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" s="28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H65" s="37">
        <f>IF(OR(NOTA[[#This Row],[QTY]]="",NOTA[[#This Row],[HARGA SATUAN]]="",),"",NOTA[[#This Row],[QTY]]*NOTA[[#This Row],[HARGA SATUAN]])</f>
        <v>9180000</v>
      </c>
      <c r="AI65" s="26">
        <f ca="1">IF(NOTA[[#This Row],[ID_H]]="","",INDEX(NOTA[TANGGAL],MATCH(,INDIRECT(ADDRESS(ROW(NOTA[TANGGAL]),COLUMN(NOTA[TANGGAL]))&amp;":"&amp;ADDRESS(ROW(),COLUMN(NOTA[TANGGAL]))),-1)))</f>
        <v>45447</v>
      </c>
      <c r="AJ65" s="26">
        <f ca="1">IF(NOTA[[#This Row],[ID_H]]="","",INDEX(NOTA[TGL.NOTA],MATCH(,INDIRECT(ADDRESS(ROW(NOTA[TGL.NOTA]),COLUMN(NOTA[TGL.NOTA]))&amp;":"&amp;ADDRESS(ROW(),COLUMN(NOTA[TGL.NOTA]))),-1)))</f>
        <v>45441</v>
      </c>
      <c r="AK65" s="26" t="str">
        <f ca="1">IF(NOTA[[#This Row],[ID_H]]="","",INDEX(NOTA[NO.NOTA],MATCH(NOTA[[#This Row],[ID_H]],NOTA[ID_H],0)))</f>
        <v>JUE642/24</v>
      </c>
      <c r="AL65" s="28" t="str">
        <f ca="1">IF(NOTA[[#This Row],[NAMA BARANG]]="","",INDEX(NOTA[SUPPLIER],MATCH(,INDIRECT(ADDRESS(ROW(NOTA[ID]),COLUMN(NOTA[ID]))&amp;":"&amp;ADDRESS(ROW(),COLUMN(NOTA[ID]))),-1)))</f>
        <v>DB STATIONERY</v>
      </c>
      <c r="AM65" s="28" t="str">
        <f ca="1">IF(NOTA[[#This Row],[ID_H]]="","",IF(NOTA[[#This Row],[FAKTUR]]="",INDIRECT(ADDRESS(ROW()-1,COLUMN())),NOTA[[#This Row],[FAKTUR]]))</f>
        <v>UNTANA</v>
      </c>
      <c r="AN65" s="25">
        <f ca="1">IF(NOTA[[#This Row],[ID]]="","",COUNTIF(NOTA[ID_H],NOTA[[#This Row],[ID_H]]))</f>
        <v>3</v>
      </c>
      <c r="AO65" s="25">
        <f>IF(NOTA[[#This Row],[TGL.NOTA]]="",IF(NOTA[[#This Row],[SUPPLIER_H]]="","",AO64),MONTH(NOTA[[#This Row],[TGL.NOTA]]))</f>
        <v>5</v>
      </c>
      <c r="AP65" s="25" t="str">
        <f>LOWER(SUBSTITUTE(SUBSTITUTE(SUBSTITUTE(SUBSTITUTE(SUBSTITUTE(SUBSTITUTE(SUBSTITUTE(SUBSTITUTE(SUBSTITUTE(NOTA[[#This Row],[NAMA BARANG]]," ",),".",""),"-",""),"(",""),")",""),",",""),"/",""),"""",""),"+",""))</f>
        <v>geldebozz05dbg05</v>
      </c>
      <c r="AQ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R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S65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STATIONERYUNTANAJUE642/2445441geldebozz05dbg05</v>
      </c>
      <c r="AT65" s="25"/>
      <c r="AU65" s="25">
        <f>IF(NOTA[[#This Row],[CONCAT1]]="","",MATCH(NOTA[[#This Row],[CONCAT1]],[3]!db[NB NOTA_C],0))</f>
        <v>1044</v>
      </c>
      <c r="AV65" s="25" t="b">
        <f>IF(NOTA[[#This Row],[QTY/ CTN]]="","",TRUE)</f>
        <v>1</v>
      </c>
      <c r="AW65" s="25" t="str">
        <f ca="1">IF(NOTA[[#This Row],[ID_H]]="","",IF(NOTA[[#This Row],[Column3]]=TRUE,NOTA[[#This Row],[QTY/ CTN]],INDEX([3]!db[QTY/ CTN],NOTA[[#This Row],[//DB]])))</f>
        <v>120 LSN</v>
      </c>
      <c r="AX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Y65" s="25">
        <f ca="1">IF(NOTA[[#This Row],[ID_H]]="","",MATCH(NOTA[[#This Row],[NB NOTA_C_QTY]],[3]!db[NB NOTA_C_QTY+F],0))</f>
        <v>1044</v>
      </c>
      <c r="AZ65" s="38">
        <f ca="1">IF(NOTA[[#This Row],[NB NOTA_C_QTY]]="","",ROW()-2)</f>
        <v>63</v>
      </c>
    </row>
    <row r="66" spans="1:52" ht="20.100000000000001" customHeight="1">
      <c r="A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" s="25">
        <f ca="1">IF(NOTA[[#This Row],[NAMA BARANG]]="","",INDEX(NOTA[ID],MATCH(,INDIRECT(ADDRESS(ROW(NOTA[ID]),COLUMN(NOTA[ID]))&amp;":"&amp;ADDRESS(ROW(),COLUMN(NOTA[ID]))),-1)))</f>
        <v>16</v>
      </c>
      <c r="E66" s="33"/>
      <c r="H66" s="34"/>
      <c r="L66" s="25" t="s">
        <v>281</v>
      </c>
      <c r="M66" s="27">
        <v>2</v>
      </c>
      <c r="N66" s="25">
        <v>288</v>
      </c>
      <c r="O66" s="25" t="s">
        <v>110</v>
      </c>
      <c r="P66" s="28">
        <v>25500</v>
      </c>
      <c r="Q66" s="29"/>
      <c r="R66" s="35" t="s">
        <v>168</v>
      </c>
      <c r="S66" s="36"/>
      <c r="V66" s="37"/>
      <c r="W66" s="32"/>
      <c r="X66" s="37">
        <f>IF(NOTA[[#This Row],[HARGA/ CTN]]="",NOTA[[#This Row],[JUMLAH_H]],NOTA[[#This Row],[HARGA/ CTN]]*IF(NOTA[[#This Row],[C]]="",0,NOTA[[#This Row],[C]]))</f>
        <v>7344000</v>
      </c>
      <c r="Y66" s="37">
        <f>IF(NOTA[[#This Row],[JUMLAH]]="","",NOTA[[#This Row],[JUMLAH]]*NOTA[[#This Row],[DISC 1]])</f>
        <v>0</v>
      </c>
      <c r="Z66" s="37">
        <f>IF(NOTA[[#This Row],[JUMLAH]]="","",(NOTA[[#This Row],[JUMLAH]]-NOTA[[#This Row],[DISC 1-]])*NOTA[[#This Row],[DISC 2]])</f>
        <v>0</v>
      </c>
      <c r="AA66" s="37">
        <f>IF(NOTA[[#This Row],[JUMLAH]]="","",(NOTA[[#This Row],[JUMLAH]]-NOTA[[#This Row],[DISC 1-]]-NOTA[[#This Row],[DISC 2-]])*NOTA[[#This Row],[DISC 3]])</f>
        <v>0</v>
      </c>
      <c r="AB66" s="37">
        <f>IF(NOTA[[#This Row],[JUMLAH]]="","",NOTA[[#This Row],[DISC 1-]]+NOTA[[#This Row],[DISC 2-]]+NOTA[[#This Row],[DISC 3-]])</f>
        <v>0</v>
      </c>
      <c r="AC66" s="37">
        <f>IF(NOTA[[#This Row],[JUMLAH]]="","",NOTA[[#This Row],[JUMLAH]]-NOTA[[#This Row],[DISC]])</f>
        <v>7344000</v>
      </c>
      <c r="AD66" s="37"/>
      <c r="AE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" s="28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H66" s="37">
        <f>IF(OR(NOTA[[#This Row],[QTY]]="",NOTA[[#This Row],[HARGA SATUAN]]="",),"",NOTA[[#This Row],[QTY]]*NOTA[[#This Row],[HARGA SATUAN]])</f>
        <v>7344000</v>
      </c>
      <c r="AI66" s="26">
        <f ca="1">IF(NOTA[[#This Row],[ID_H]]="","",INDEX(NOTA[TANGGAL],MATCH(,INDIRECT(ADDRESS(ROW(NOTA[TANGGAL]),COLUMN(NOTA[TANGGAL]))&amp;":"&amp;ADDRESS(ROW(),COLUMN(NOTA[TANGGAL]))),-1)))</f>
        <v>45447</v>
      </c>
      <c r="AJ66" s="26">
        <f ca="1">IF(NOTA[[#This Row],[ID_H]]="","",INDEX(NOTA[TGL.NOTA],MATCH(,INDIRECT(ADDRESS(ROW(NOTA[TGL.NOTA]),COLUMN(NOTA[TGL.NOTA]))&amp;":"&amp;ADDRESS(ROW(),COLUMN(NOTA[TGL.NOTA]))),-1)))</f>
        <v>45441</v>
      </c>
      <c r="AK66" s="26" t="str">
        <f ca="1">IF(NOTA[[#This Row],[ID_H]]="","",INDEX(NOTA[NO.NOTA],MATCH(NOTA[[#This Row],[ID_H]],NOTA[ID_H],0)))</f>
        <v>JUE642/24</v>
      </c>
      <c r="AL66" s="28" t="str">
        <f ca="1">IF(NOTA[[#This Row],[NAMA BARANG]]="","",INDEX(NOTA[SUPPLIER],MATCH(,INDIRECT(ADDRESS(ROW(NOTA[ID]),COLUMN(NOTA[ID]))&amp;":"&amp;ADDRESS(ROW(),COLUMN(NOTA[ID]))),-1)))</f>
        <v>DB STATIONERY</v>
      </c>
      <c r="AM66" s="28" t="str">
        <f ca="1">IF(NOTA[[#This Row],[ID_H]]="","",IF(NOTA[[#This Row],[FAKTUR]]="",INDIRECT(ADDRESS(ROW()-1,COLUMN())),NOTA[[#This Row],[FAKTUR]]))</f>
        <v>UNTANA</v>
      </c>
      <c r="AN66" s="25" t="str">
        <f ca="1">IF(NOTA[[#This Row],[ID]]="","",COUNTIF(NOTA[ID_H],NOTA[[#This Row],[ID_H]]))</f>
        <v/>
      </c>
      <c r="AO66" s="25">
        <f ca="1">IF(NOTA[[#This Row],[TGL.NOTA]]="",IF(NOTA[[#This Row],[SUPPLIER_H]]="","",AO65),MONTH(NOTA[[#This Row],[TGL.NOTA]]))</f>
        <v>5</v>
      </c>
      <c r="AP66" s="25" t="str">
        <f>LOWER(SUBSTITUTE(SUBSTITUTE(SUBSTITUTE(SUBSTITUTE(SUBSTITUTE(SUBSTITUTE(SUBSTITUTE(SUBSTITUTE(SUBSTITUTE(NOTA[[#This Row],[NAMA BARANG]]," ",),".",""),"-",""),"(",""),")",""),",",""),"/",""),"""",""),"+",""))</f>
        <v>geltechjobtg346b</v>
      </c>
      <c r="AQ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geltechjobtg346b3672000</v>
      </c>
      <c r="AR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geltechjobtg346b3672000</v>
      </c>
      <c r="AS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" s="25"/>
      <c r="AU66" s="25">
        <f>IF(NOTA[[#This Row],[CONCAT1]]="","",MATCH(NOTA[[#This Row],[CONCAT1]],[3]!db[NB NOTA_C],0))</f>
        <v>1143</v>
      </c>
      <c r="AV66" s="25" t="b">
        <f>IF(NOTA[[#This Row],[QTY/ CTN]]="","",TRUE)</f>
        <v>1</v>
      </c>
      <c r="AW66" s="25" t="str">
        <f ca="1">IF(NOTA[[#This Row],[ID_H]]="","",IF(NOTA[[#This Row],[Column3]]=TRUE,NOTA[[#This Row],[QTY/ CTN]],INDEX([3]!db[QTY/ CTN],NOTA[[#This Row],[//DB]])))</f>
        <v>144 LSN</v>
      </c>
      <c r="AX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geltechjobtg346b144lsnuntana</v>
      </c>
      <c r="AY66" s="25">
        <f ca="1">IF(NOTA[[#This Row],[ID_H]]="","",MATCH(NOTA[[#This Row],[NB NOTA_C_QTY]],[3]!db[NB NOTA_C_QTY+F],0))</f>
        <v>1143</v>
      </c>
      <c r="AZ66" s="38">
        <f ca="1">IF(NOTA[[#This Row],[NB NOTA_C_QTY]]="","",ROW()-2)</f>
        <v>64</v>
      </c>
    </row>
    <row r="67" spans="1:52" ht="20.100000000000001" customHeight="1">
      <c r="A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" s="25">
        <f ca="1">IF(NOTA[[#This Row],[NAMA BARANG]]="","",INDEX(NOTA[ID],MATCH(,INDIRECT(ADDRESS(ROW(NOTA[ID]),COLUMN(NOTA[ID]))&amp;":"&amp;ADDRESS(ROW(),COLUMN(NOTA[ID]))),-1)))</f>
        <v>16</v>
      </c>
      <c r="E67" s="33"/>
      <c r="H67" s="34"/>
      <c r="L67" s="25" t="s">
        <v>282</v>
      </c>
      <c r="M67" s="27">
        <v>2</v>
      </c>
      <c r="N67" s="25">
        <v>160</v>
      </c>
      <c r="O67" s="25" t="s">
        <v>111</v>
      </c>
      <c r="P67" s="28">
        <v>22500</v>
      </c>
      <c r="Q67" s="29"/>
      <c r="R67" s="35" t="s">
        <v>283</v>
      </c>
      <c r="S67" s="36"/>
      <c r="V67" s="37"/>
      <c r="W67" s="32"/>
      <c r="X67" s="37">
        <f>IF(NOTA[[#This Row],[HARGA/ CTN]]="",NOTA[[#This Row],[JUMLAH_H]],NOTA[[#This Row],[HARGA/ CTN]]*IF(NOTA[[#This Row],[C]]="",0,NOTA[[#This Row],[C]]))</f>
        <v>3600000</v>
      </c>
      <c r="Y67" s="37">
        <f>IF(NOTA[[#This Row],[JUMLAH]]="","",NOTA[[#This Row],[JUMLAH]]*NOTA[[#This Row],[DISC 1]])</f>
        <v>0</v>
      </c>
      <c r="Z67" s="37">
        <f>IF(NOTA[[#This Row],[JUMLAH]]="","",(NOTA[[#This Row],[JUMLAH]]-NOTA[[#This Row],[DISC 1-]])*NOTA[[#This Row],[DISC 2]])</f>
        <v>0</v>
      </c>
      <c r="AA67" s="37">
        <f>IF(NOTA[[#This Row],[JUMLAH]]="","",(NOTA[[#This Row],[JUMLAH]]-NOTA[[#This Row],[DISC 1-]]-NOTA[[#This Row],[DISC 2-]])*NOTA[[#This Row],[DISC 3]])</f>
        <v>0</v>
      </c>
      <c r="AB67" s="37">
        <f>IF(NOTA[[#This Row],[JUMLAH]]="","",NOTA[[#This Row],[DISC 1-]]+NOTA[[#This Row],[DISC 2-]]+NOTA[[#This Row],[DISC 3-]])</f>
        <v>0</v>
      </c>
      <c r="AC67" s="37">
        <f>IF(NOTA[[#This Row],[JUMLAH]]="","",NOTA[[#This Row],[JUMLAH]]-NOTA[[#This Row],[DISC]])</f>
        <v>3600000</v>
      </c>
      <c r="AD67" s="37"/>
      <c r="AE6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6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20124000</v>
      </c>
      <c r="AG67" s="28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67" s="37">
        <f>IF(OR(NOTA[[#This Row],[QTY]]="",NOTA[[#This Row],[HARGA SATUAN]]="",),"",NOTA[[#This Row],[QTY]]*NOTA[[#This Row],[HARGA SATUAN]])</f>
        <v>3600000</v>
      </c>
      <c r="AI67" s="26">
        <f ca="1">IF(NOTA[[#This Row],[ID_H]]="","",INDEX(NOTA[TANGGAL],MATCH(,INDIRECT(ADDRESS(ROW(NOTA[TANGGAL]),COLUMN(NOTA[TANGGAL]))&amp;":"&amp;ADDRESS(ROW(),COLUMN(NOTA[TANGGAL]))),-1)))</f>
        <v>45447</v>
      </c>
      <c r="AJ67" s="26">
        <f ca="1">IF(NOTA[[#This Row],[ID_H]]="","",INDEX(NOTA[TGL.NOTA],MATCH(,INDIRECT(ADDRESS(ROW(NOTA[TGL.NOTA]),COLUMN(NOTA[TGL.NOTA]))&amp;":"&amp;ADDRESS(ROW(),COLUMN(NOTA[TGL.NOTA]))),-1)))</f>
        <v>45441</v>
      </c>
      <c r="AK67" s="26" t="str">
        <f ca="1">IF(NOTA[[#This Row],[ID_H]]="","",INDEX(NOTA[NO.NOTA],MATCH(NOTA[[#This Row],[ID_H]],NOTA[ID_H],0)))</f>
        <v>JUE642/24</v>
      </c>
      <c r="AL67" s="28" t="str">
        <f ca="1">IF(NOTA[[#This Row],[NAMA BARANG]]="","",INDEX(NOTA[SUPPLIER],MATCH(,INDIRECT(ADDRESS(ROW(NOTA[ID]),COLUMN(NOTA[ID]))&amp;":"&amp;ADDRESS(ROW(),COLUMN(NOTA[ID]))),-1)))</f>
        <v>DB STATIONERY</v>
      </c>
      <c r="AM67" s="28" t="str">
        <f ca="1">IF(NOTA[[#This Row],[ID_H]]="","",IF(NOTA[[#This Row],[FAKTUR]]="",INDIRECT(ADDRESS(ROW()-1,COLUMN())),NOTA[[#This Row],[FAKTUR]]))</f>
        <v>UNTANA</v>
      </c>
      <c r="AN67" s="25" t="str">
        <f ca="1">IF(NOTA[[#This Row],[ID]]="","",COUNTIF(NOTA[ID_H],NOTA[[#This Row],[ID_H]]))</f>
        <v/>
      </c>
      <c r="AO67" s="25">
        <f ca="1">IF(NOTA[[#This Row],[TGL.NOTA]]="",IF(NOTA[[#This Row],[SUPPLIER_H]]="","",AO66),MONTH(NOTA[[#This Row],[TGL.NOTA]]))</f>
        <v>5</v>
      </c>
      <c r="AP67" s="25" t="str">
        <f>LOWER(SUBSTITUTE(SUBSTITUTE(SUBSTITUTE(SUBSTITUTE(SUBSTITUTE(SUBSTITUTE(SUBSTITUTE(SUBSTITUTE(SUBSTITUTE(NOTA[[#This Row],[NAMA BARANG]]," ",),".",""),"-",""),"(",""),")",""),",",""),"/",""),"""",""),"+",""))</f>
        <v>isigeltizo10tg308ar</v>
      </c>
      <c r="AQ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isigeltizo10tg308ar1800000</v>
      </c>
      <c r="AR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isigeltizo10tg308ar1800000</v>
      </c>
      <c r="AS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" s="25"/>
      <c r="AU67" s="25">
        <f>IF(NOTA[[#This Row],[CONCAT1]]="","",MATCH(NOTA[[#This Row],[CONCAT1]],[3]!db[NB NOTA_C],0))</f>
        <v>1484</v>
      </c>
      <c r="AV67" s="25" t="b">
        <f>IF(NOTA[[#This Row],[QTY/ CTN]]="","",TRUE)</f>
        <v>1</v>
      </c>
      <c r="AW67" s="25" t="str">
        <f ca="1">IF(NOTA[[#This Row],[ID_H]]="","",IF(NOTA[[#This Row],[Column3]]=TRUE,NOTA[[#This Row],[QTY/ CTN]],INDEX([3]!db[QTY/ CTN],NOTA[[#This Row],[//DB]])))</f>
        <v>80 PCS</v>
      </c>
      <c r="AX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isigeltizo10tg308ar80pcsuntana</v>
      </c>
      <c r="AY67" s="25" t="e">
        <f ca="1">IF(NOTA[[#This Row],[ID_H]]="","",MATCH(NOTA[[#This Row],[NB NOTA_C_QTY]],[3]!db[NB NOTA_C_QTY+F],0))</f>
        <v>#N/A</v>
      </c>
      <c r="AZ67" s="38">
        <f ca="1">IF(NOTA[[#This Row],[NB NOTA_C_QTY]]="","",ROW()-2)</f>
        <v>65</v>
      </c>
    </row>
    <row r="68" spans="1:52" ht="20.100000000000001" customHeight="1">
      <c r="A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" s="25" t="str">
        <f ca="1">IF(NOTA[[#This Row],[NAMA BARANG]]="","",INDEX(NOTA[ID],MATCH(,INDIRECT(ADDRESS(ROW(NOTA[ID]),COLUMN(NOTA[ID]))&amp;":"&amp;ADDRESS(ROW(),COLUMN(NOTA[ID]))),-1)))</f>
        <v/>
      </c>
      <c r="E68" s="33"/>
      <c r="H68" s="34"/>
      <c r="Q68" s="29"/>
      <c r="R68" s="35"/>
      <c r="S68" s="36"/>
      <c r="V68" s="37"/>
      <c r="W68" s="32"/>
      <c r="X68" s="37" t="str">
        <f>IF(NOTA[[#This Row],[HARGA/ CTN]]="",NOTA[[#This Row],[JUMLAH_H]],NOTA[[#This Row],[HARGA/ CTN]]*IF(NOTA[[#This Row],[C]]="",0,NOTA[[#This Row],[C]]))</f>
        <v/>
      </c>
      <c r="Y68" s="37" t="str">
        <f>IF(NOTA[[#This Row],[JUMLAH]]="","",NOTA[[#This Row],[JUMLAH]]*NOTA[[#This Row],[DISC 1]])</f>
        <v/>
      </c>
      <c r="Z68" s="37" t="str">
        <f>IF(NOTA[[#This Row],[JUMLAH]]="","",(NOTA[[#This Row],[JUMLAH]]-NOTA[[#This Row],[DISC 1-]])*NOTA[[#This Row],[DISC 2]])</f>
        <v/>
      </c>
      <c r="AA68" s="37" t="str">
        <f>IF(NOTA[[#This Row],[JUMLAH]]="","",(NOTA[[#This Row],[JUMLAH]]-NOTA[[#This Row],[DISC 1-]]-NOTA[[#This Row],[DISC 2-]])*NOTA[[#This Row],[DISC 3]])</f>
        <v/>
      </c>
      <c r="AB68" s="37" t="str">
        <f>IF(NOTA[[#This Row],[JUMLAH]]="","",NOTA[[#This Row],[DISC 1-]]+NOTA[[#This Row],[DISC 2-]]+NOTA[[#This Row],[DISC 3-]])</f>
        <v/>
      </c>
      <c r="AC68" s="37" t="str">
        <f>IF(NOTA[[#This Row],[JUMLAH]]="","",NOTA[[#This Row],[JUMLAH]]-NOTA[[#This Row],[DISC]])</f>
        <v/>
      </c>
      <c r="AD68" s="37"/>
      <c r="AE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" s="37" t="str">
        <f>IF(OR(NOTA[[#This Row],[QTY]]="",NOTA[[#This Row],[HARGA SATUAN]]="",),"",NOTA[[#This Row],[QTY]]*NOTA[[#This Row],[HARGA SATUAN]])</f>
        <v/>
      </c>
      <c r="AI68" s="26" t="str">
        <f ca="1">IF(NOTA[[#This Row],[ID_H]]="","",INDEX(NOTA[TANGGAL],MATCH(,INDIRECT(ADDRESS(ROW(NOTA[TANGGAL]),COLUMN(NOTA[TANGGAL]))&amp;":"&amp;ADDRESS(ROW(),COLUMN(NOTA[TANGGAL]))),-1)))</f>
        <v/>
      </c>
      <c r="AJ68" s="26" t="str">
        <f ca="1">IF(NOTA[[#This Row],[ID_H]]="","",INDEX(NOTA[TGL.NOTA],MATCH(,INDIRECT(ADDRESS(ROW(NOTA[TGL.NOTA]),COLUMN(NOTA[TGL.NOTA]))&amp;":"&amp;ADDRESS(ROW(),COLUMN(NOTA[TGL.NOTA]))),-1)))</f>
        <v/>
      </c>
      <c r="AK68" s="26" t="str">
        <f ca="1">IF(NOTA[[#This Row],[ID_H]]="","",INDEX(NOTA[NO.NOTA],MATCH(NOTA[[#This Row],[ID_H]],NOTA[ID_H],0)))</f>
        <v/>
      </c>
      <c r="AL68" s="28" t="str">
        <f ca="1">IF(NOTA[[#This Row],[NAMA BARANG]]="","",INDEX(NOTA[SUPPLIER],MATCH(,INDIRECT(ADDRESS(ROW(NOTA[ID]),COLUMN(NOTA[ID]))&amp;":"&amp;ADDRESS(ROW(),COLUMN(NOTA[ID]))),-1)))</f>
        <v/>
      </c>
      <c r="AM68" s="28" t="str">
        <f ca="1">IF(NOTA[[#This Row],[ID_H]]="","",IF(NOTA[[#This Row],[FAKTUR]]="",INDIRECT(ADDRESS(ROW()-1,COLUMN())),NOTA[[#This Row],[FAKTUR]]))</f>
        <v/>
      </c>
      <c r="AN68" s="25" t="str">
        <f ca="1">IF(NOTA[[#This Row],[ID]]="","",COUNTIF(NOTA[ID_H],NOTA[[#This Row],[ID_H]]))</f>
        <v/>
      </c>
      <c r="AO68" s="25" t="str">
        <f ca="1">IF(NOTA[[#This Row],[TGL.NOTA]]="",IF(NOTA[[#This Row],[SUPPLIER_H]]="","",AO67),MONTH(NOTA[[#This Row],[TGL.NOTA]]))</f>
        <v/>
      </c>
      <c r="AP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" s="25"/>
      <c r="AU68" s="25" t="str">
        <f>IF(NOTA[[#This Row],[CONCAT1]]="","",MATCH(NOTA[[#This Row],[CONCAT1]],[3]!db[NB NOTA_C],0))</f>
        <v/>
      </c>
      <c r="AV68" s="25" t="str">
        <f>IF(NOTA[[#This Row],[QTY/ CTN]]="","",TRUE)</f>
        <v/>
      </c>
      <c r="AW68" s="25" t="str">
        <f ca="1">IF(NOTA[[#This Row],[ID_H]]="","",IF(NOTA[[#This Row],[Column3]]=TRUE,NOTA[[#This Row],[QTY/ CTN]],INDEX([3]!db[QTY/ CTN],NOTA[[#This Row],[//DB]])))</f>
        <v/>
      </c>
      <c r="AX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" s="25" t="str">
        <f ca="1">IF(NOTA[[#This Row],[ID_H]]="","",MATCH(NOTA[[#This Row],[NB NOTA_C_QTY]],[3]!db[NB NOTA_C_QTY+F],0))</f>
        <v/>
      </c>
      <c r="AZ68" s="38" t="str">
        <f ca="1">IF(NOTA[[#This Row],[NB NOTA_C_QTY]]="","",ROW()-2)</f>
        <v/>
      </c>
    </row>
    <row r="69" spans="1:52" ht="20.100000000000001" customHeight="1">
      <c r="A69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6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SBS_0406_2B1-3</v>
      </c>
      <c r="D69" s="25">
        <f ca="1">IF(NOTA[[#This Row],[NAMA BARANG]]="","",INDEX(NOTA[ID],MATCH(,INDIRECT(ADDRESS(ROW(NOTA[ID]),COLUMN(NOTA[ID]))&amp;":"&amp;ADDRESS(ROW(),COLUMN(NOTA[ID]))),-1)))</f>
        <v>17</v>
      </c>
      <c r="E69" s="33"/>
      <c r="F69" s="25" t="s">
        <v>186</v>
      </c>
      <c r="G69" s="25" t="s">
        <v>109</v>
      </c>
      <c r="H69" s="34" t="s">
        <v>295</v>
      </c>
      <c r="J69" s="26">
        <v>45446</v>
      </c>
      <c r="L69" s="25" t="s">
        <v>306</v>
      </c>
      <c r="M69" s="27">
        <v>1</v>
      </c>
      <c r="N69" s="25">
        <v>240</v>
      </c>
      <c r="O69" s="25" t="s">
        <v>111</v>
      </c>
      <c r="P69" s="28">
        <v>8100</v>
      </c>
      <c r="Q69" s="29"/>
      <c r="R69" s="35" t="s">
        <v>296</v>
      </c>
      <c r="S69" s="36"/>
      <c r="V69" s="37"/>
      <c r="W69" s="32"/>
      <c r="X69" s="37">
        <f>IF(NOTA[[#This Row],[HARGA/ CTN]]="",NOTA[[#This Row],[JUMLAH_H]],NOTA[[#This Row],[HARGA/ CTN]]*IF(NOTA[[#This Row],[C]]="",0,NOTA[[#This Row],[C]]))</f>
        <v>1944000</v>
      </c>
      <c r="Y69" s="37">
        <f>IF(NOTA[[#This Row],[JUMLAH]]="","",NOTA[[#This Row],[JUMLAH]]*NOTA[[#This Row],[DISC 1]])</f>
        <v>0</v>
      </c>
      <c r="Z69" s="37">
        <f>IF(NOTA[[#This Row],[JUMLAH]]="","",(NOTA[[#This Row],[JUMLAH]]-NOTA[[#This Row],[DISC 1-]])*NOTA[[#This Row],[DISC 2]])</f>
        <v>0</v>
      </c>
      <c r="AA69" s="37">
        <f>IF(NOTA[[#This Row],[JUMLAH]]="","",(NOTA[[#This Row],[JUMLAH]]-NOTA[[#This Row],[DISC 1-]]-NOTA[[#This Row],[DISC 2-]])*NOTA[[#This Row],[DISC 3]])</f>
        <v>0</v>
      </c>
      <c r="AB69" s="37">
        <f>IF(NOTA[[#This Row],[JUMLAH]]="","",NOTA[[#This Row],[DISC 1-]]+NOTA[[#This Row],[DISC 2-]]+NOTA[[#This Row],[DISC 3-]])</f>
        <v>0</v>
      </c>
      <c r="AC69" s="37">
        <f>IF(NOTA[[#This Row],[JUMLAH]]="","",NOTA[[#This Row],[JUMLAH]]-NOTA[[#This Row],[DISC]])</f>
        <v>1944000</v>
      </c>
      <c r="AD69" s="37"/>
      <c r="AE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" s="28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69" s="37">
        <f>IF(OR(NOTA[[#This Row],[QTY]]="",NOTA[[#This Row],[HARGA SATUAN]]="",),"",NOTA[[#This Row],[QTY]]*NOTA[[#This Row],[HARGA SATUAN]])</f>
        <v>1944000</v>
      </c>
      <c r="AI69" s="26">
        <f ca="1">IF(NOTA[[#This Row],[ID_H]]="","",INDEX(NOTA[TANGGAL],MATCH(,INDIRECT(ADDRESS(ROW(NOTA[TANGGAL]),COLUMN(NOTA[TANGGAL]))&amp;":"&amp;ADDRESS(ROW(),COLUMN(NOTA[TANGGAL]))),-1)))</f>
        <v>45447</v>
      </c>
      <c r="AJ69" s="26">
        <f ca="1">IF(NOTA[[#This Row],[ID_H]]="","",INDEX(NOTA[TGL.NOTA],MATCH(,INDIRECT(ADDRESS(ROW(NOTA[TGL.NOTA]),COLUMN(NOTA[TGL.NOTA]))&amp;":"&amp;ADDRESS(ROW(),COLUMN(NOTA[TGL.NOTA]))),-1)))</f>
        <v>45446</v>
      </c>
      <c r="AK69" s="26" t="str">
        <f ca="1">IF(NOTA[[#This Row],[ID_H]]="","",INDEX(NOTA[NO.NOTA],MATCH(NOTA[[#This Row],[ID_H]],NOTA[ID_H],0)))</f>
        <v>WF0002B1</v>
      </c>
      <c r="AL69" s="28" t="str">
        <f ca="1">IF(NOTA[[#This Row],[NAMA BARANG]]="","",INDEX(NOTA[SUPPLIER],MATCH(,INDIRECT(ADDRESS(ROW(NOTA[ID]),COLUMN(NOTA[ID]))&amp;":"&amp;ADDRESS(ROW(),COLUMN(NOTA[ID]))),-1)))</f>
        <v>SBS</v>
      </c>
      <c r="AM69" s="28" t="str">
        <f ca="1">IF(NOTA[[#This Row],[ID_H]]="","",IF(NOTA[[#This Row],[FAKTUR]]="",INDIRECT(ADDRESS(ROW()-1,COLUMN())),NOTA[[#This Row],[FAKTUR]]))</f>
        <v>UNTANA</v>
      </c>
      <c r="AN69" s="25">
        <f ca="1">IF(NOTA[[#This Row],[ID]]="","",COUNTIF(NOTA[ID_H],NOTA[[#This Row],[ID_H]]))</f>
        <v>3</v>
      </c>
      <c r="AO69" s="25">
        <f>IF(NOTA[[#This Row],[TGL.NOTA]]="",IF(NOTA[[#This Row],[SUPPLIER_H]]="","",AO68),MONTH(NOTA[[#This Row],[TGL.NOTA]]))</f>
        <v>6</v>
      </c>
      <c r="AP69" s="25" t="str">
        <f>LOWER(SUBSTITUTE(SUBSTITUTE(SUBSTITUTE(SUBSTITUTE(SUBSTITUTE(SUBSTITUTE(SUBSTITUTE(SUBSTITUTE(SUBSTITUTE(NOTA[[#This Row],[NAMA BARANG]]," ",),".",""),"-",""),"(",""),")",""),",",""),"/",""),"""",""),"+",""))</f>
        <v>bnlaa032101a680fruit</v>
      </c>
      <c r="AQ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bnlaa032101a680fruit1944000</v>
      </c>
      <c r="AR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bnlaa032101a680fruit1944000</v>
      </c>
      <c r="AS69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SBSUNTANAWF0002B145446bnlaa032101a680fruit</v>
      </c>
      <c r="AT69" s="25"/>
      <c r="AU69" s="25">
        <f>IF(NOTA[[#This Row],[CONCAT1]]="","",MATCH(NOTA[[#This Row],[CONCAT1]],[3]!db[NB NOTA_C],0))</f>
        <v>407</v>
      </c>
      <c r="AV69" s="25" t="b">
        <f>IF(NOTA[[#This Row],[QTY/ CTN]]="","",TRUE)</f>
        <v>1</v>
      </c>
      <c r="AW69" s="25" t="str">
        <f ca="1">IF(NOTA[[#This Row],[ID_H]]="","",IF(NOTA[[#This Row],[Column3]]=TRUE,NOTA[[#This Row],[QTY/ CTN]],INDEX([3]!db[QTY/ CTN],NOTA[[#This Row],[//DB]])))</f>
        <v>240 PCS</v>
      </c>
      <c r="AX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bnlaa032101a680fruit240pcsuntana</v>
      </c>
      <c r="AY69" s="25">
        <f ca="1">IF(NOTA[[#This Row],[ID_H]]="","",MATCH(NOTA[[#This Row],[NB NOTA_C_QTY]],[3]!db[NB NOTA_C_QTY+F],0))</f>
        <v>407</v>
      </c>
      <c r="AZ69" s="38">
        <f ca="1">IF(NOTA[[#This Row],[NB NOTA_C_QTY]]="","",ROW()-2)</f>
        <v>67</v>
      </c>
    </row>
    <row r="70" spans="1:52" ht="20.100000000000001" customHeight="1">
      <c r="A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" s="25">
        <f ca="1">IF(NOTA[[#This Row],[NAMA BARANG]]="","",INDEX(NOTA[ID],MATCH(,INDIRECT(ADDRESS(ROW(NOTA[ID]),COLUMN(NOTA[ID]))&amp;":"&amp;ADDRESS(ROW(),COLUMN(NOTA[ID]))),-1)))</f>
        <v>17</v>
      </c>
      <c r="E70" s="33"/>
      <c r="H70" s="34"/>
      <c r="L70" s="25" t="s">
        <v>304</v>
      </c>
      <c r="M70" s="27">
        <v>1</v>
      </c>
      <c r="N70" s="25">
        <v>240</v>
      </c>
      <c r="O70" s="25" t="s">
        <v>111</v>
      </c>
      <c r="P70" s="28">
        <v>8100</v>
      </c>
      <c r="Q70" s="29"/>
      <c r="R70" s="35" t="s">
        <v>296</v>
      </c>
      <c r="S70" s="36"/>
      <c r="V70" s="37"/>
      <c r="W70" s="32"/>
      <c r="X70" s="37">
        <f>IF(NOTA[[#This Row],[HARGA/ CTN]]="",NOTA[[#This Row],[JUMLAH_H]],NOTA[[#This Row],[HARGA/ CTN]]*IF(NOTA[[#This Row],[C]]="",0,NOTA[[#This Row],[C]]))</f>
        <v>1944000</v>
      </c>
      <c r="Y70" s="37">
        <f>IF(NOTA[[#This Row],[JUMLAH]]="","",NOTA[[#This Row],[JUMLAH]]*NOTA[[#This Row],[DISC 1]])</f>
        <v>0</v>
      </c>
      <c r="Z70" s="37">
        <f>IF(NOTA[[#This Row],[JUMLAH]]="","",(NOTA[[#This Row],[JUMLAH]]-NOTA[[#This Row],[DISC 1-]])*NOTA[[#This Row],[DISC 2]])</f>
        <v>0</v>
      </c>
      <c r="AA70" s="37">
        <f>IF(NOTA[[#This Row],[JUMLAH]]="","",(NOTA[[#This Row],[JUMLAH]]-NOTA[[#This Row],[DISC 1-]]-NOTA[[#This Row],[DISC 2-]])*NOTA[[#This Row],[DISC 3]])</f>
        <v>0</v>
      </c>
      <c r="AB70" s="37">
        <f>IF(NOTA[[#This Row],[JUMLAH]]="","",NOTA[[#This Row],[DISC 1-]]+NOTA[[#This Row],[DISC 2-]]+NOTA[[#This Row],[DISC 3-]])</f>
        <v>0</v>
      </c>
      <c r="AC70" s="37">
        <f>IF(NOTA[[#This Row],[JUMLAH]]="","",NOTA[[#This Row],[JUMLAH]]-NOTA[[#This Row],[DISC]])</f>
        <v>1944000</v>
      </c>
      <c r="AD70" s="37"/>
      <c r="AE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" s="28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70" s="37">
        <f>IF(OR(NOTA[[#This Row],[QTY]]="",NOTA[[#This Row],[HARGA SATUAN]]="",),"",NOTA[[#This Row],[QTY]]*NOTA[[#This Row],[HARGA SATUAN]])</f>
        <v>1944000</v>
      </c>
      <c r="AI70" s="26">
        <f ca="1">IF(NOTA[[#This Row],[ID_H]]="","",INDEX(NOTA[TANGGAL],MATCH(,INDIRECT(ADDRESS(ROW(NOTA[TANGGAL]),COLUMN(NOTA[TANGGAL]))&amp;":"&amp;ADDRESS(ROW(),COLUMN(NOTA[TANGGAL]))),-1)))</f>
        <v>45447</v>
      </c>
      <c r="AJ70" s="26">
        <f ca="1">IF(NOTA[[#This Row],[ID_H]]="","",INDEX(NOTA[TGL.NOTA],MATCH(,INDIRECT(ADDRESS(ROW(NOTA[TGL.NOTA]),COLUMN(NOTA[TGL.NOTA]))&amp;":"&amp;ADDRESS(ROW(),COLUMN(NOTA[TGL.NOTA]))),-1)))</f>
        <v>45446</v>
      </c>
      <c r="AK70" s="26" t="str">
        <f ca="1">IF(NOTA[[#This Row],[ID_H]]="","",INDEX(NOTA[NO.NOTA],MATCH(NOTA[[#This Row],[ID_H]],NOTA[ID_H],0)))</f>
        <v>WF0002B1</v>
      </c>
      <c r="AL70" s="28" t="str">
        <f ca="1">IF(NOTA[[#This Row],[NAMA BARANG]]="","",INDEX(NOTA[SUPPLIER],MATCH(,INDIRECT(ADDRESS(ROW(NOTA[ID]),COLUMN(NOTA[ID]))&amp;":"&amp;ADDRESS(ROW(),COLUMN(NOTA[ID]))),-1)))</f>
        <v>SBS</v>
      </c>
      <c r="AM70" s="28" t="str">
        <f ca="1">IF(NOTA[[#This Row],[ID_H]]="","",IF(NOTA[[#This Row],[FAKTUR]]="",INDIRECT(ADDRESS(ROW()-1,COLUMN())),NOTA[[#This Row],[FAKTUR]]))</f>
        <v>UNTANA</v>
      </c>
      <c r="AN70" s="25" t="str">
        <f ca="1">IF(NOTA[[#This Row],[ID]]="","",COUNTIF(NOTA[ID_H],NOTA[[#This Row],[ID_H]]))</f>
        <v/>
      </c>
      <c r="AO70" s="25">
        <f ca="1">IF(NOTA[[#This Row],[TGL.NOTA]]="",IF(NOTA[[#This Row],[SUPPLIER_H]]="","",AO69),MONTH(NOTA[[#This Row],[TGL.NOTA]]))</f>
        <v>6</v>
      </c>
      <c r="AP70" s="25" t="str">
        <f>LOWER(SUBSTITUTE(SUBSTITUTE(SUBSTITUTE(SUBSTITUTE(SUBSTITUTE(SUBSTITUTE(SUBSTITUTE(SUBSTITUTE(SUBSTITUTE(NOTA[[#This Row],[NAMA BARANG]]," ",),".",""),"-",""),"(",""),")",""),",",""),"/",""),"""",""),"+",""))</f>
        <v>bnlaa032102a680lifeglowing</v>
      </c>
      <c r="AQ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bnlaa032102a680lifeglowing1944000</v>
      </c>
      <c r="AR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bnlaa032102a680lifeglowing1944000</v>
      </c>
      <c r="AS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" s="25"/>
      <c r="AU70" s="25">
        <f>IF(NOTA[[#This Row],[CONCAT1]]="","",MATCH(NOTA[[#This Row],[CONCAT1]],[3]!db[NB NOTA_C],0))</f>
        <v>408</v>
      </c>
      <c r="AV70" s="25" t="b">
        <f>IF(NOTA[[#This Row],[QTY/ CTN]]="","",TRUE)</f>
        <v>1</v>
      </c>
      <c r="AW70" s="25" t="str">
        <f ca="1">IF(NOTA[[#This Row],[ID_H]]="","",IF(NOTA[[#This Row],[Column3]]=TRUE,NOTA[[#This Row],[QTY/ CTN]],INDEX([3]!db[QTY/ CTN],NOTA[[#This Row],[//DB]])))</f>
        <v>240 PCS</v>
      </c>
      <c r="AX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bnlaa032102a680lifeglowing240pcsuntana</v>
      </c>
      <c r="AY70" s="25">
        <f ca="1">IF(NOTA[[#This Row],[ID_H]]="","",MATCH(NOTA[[#This Row],[NB NOTA_C_QTY]],[3]!db[NB NOTA_C_QTY+F],0))</f>
        <v>408</v>
      </c>
      <c r="AZ70" s="38">
        <f ca="1">IF(NOTA[[#This Row],[NB NOTA_C_QTY]]="","",ROW()-2)</f>
        <v>68</v>
      </c>
    </row>
    <row r="71" spans="1:52" ht="20.100000000000001" customHeight="1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" s="25">
        <f ca="1">IF(NOTA[[#This Row],[NAMA BARANG]]="","",INDEX(NOTA[ID],MATCH(,INDIRECT(ADDRESS(ROW(NOTA[ID]),COLUMN(NOTA[ID]))&amp;":"&amp;ADDRESS(ROW(),COLUMN(NOTA[ID]))),-1)))</f>
        <v>17</v>
      </c>
      <c r="E71" s="33"/>
      <c r="H71" s="34"/>
      <c r="L71" s="25" t="s">
        <v>305</v>
      </c>
      <c r="M71" s="27">
        <v>1</v>
      </c>
      <c r="N71" s="25">
        <v>240</v>
      </c>
      <c r="O71" s="25" t="s">
        <v>111</v>
      </c>
      <c r="P71" s="28">
        <v>8100</v>
      </c>
      <c r="Q71" s="29"/>
      <c r="R71" s="35" t="s">
        <v>296</v>
      </c>
      <c r="S71" s="36"/>
      <c r="V71" s="37"/>
      <c r="W71" s="32"/>
      <c r="X71" s="37">
        <f>IF(NOTA[[#This Row],[HARGA/ CTN]]="",NOTA[[#This Row],[JUMLAH_H]],NOTA[[#This Row],[HARGA/ CTN]]*IF(NOTA[[#This Row],[C]]="",0,NOTA[[#This Row],[C]]))</f>
        <v>1944000</v>
      </c>
      <c r="Y71" s="37">
        <f>IF(NOTA[[#This Row],[JUMLAH]]="","",NOTA[[#This Row],[JUMLAH]]*NOTA[[#This Row],[DISC 1]])</f>
        <v>0</v>
      </c>
      <c r="Z71" s="37">
        <f>IF(NOTA[[#This Row],[JUMLAH]]="","",(NOTA[[#This Row],[JUMLAH]]-NOTA[[#This Row],[DISC 1-]])*NOTA[[#This Row],[DISC 2]])</f>
        <v>0</v>
      </c>
      <c r="AA71" s="37">
        <f>IF(NOTA[[#This Row],[JUMLAH]]="","",(NOTA[[#This Row],[JUMLAH]]-NOTA[[#This Row],[DISC 1-]]-NOTA[[#This Row],[DISC 2-]])*NOTA[[#This Row],[DISC 3]])</f>
        <v>0</v>
      </c>
      <c r="AB71" s="37">
        <f>IF(NOTA[[#This Row],[JUMLAH]]="","",NOTA[[#This Row],[DISC 1-]]+NOTA[[#This Row],[DISC 2-]]+NOTA[[#This Row],[DISC 3-]])</f>
        <v>0</v>
      </c>
      <c r="AC71" s="37">
        <f>IF(NOTA[[#This Row],[JUMLAH]]="","",NOTA[[#This Row],[JUMLAH]]-NOTA[[#This Row],[DISC]])</f>
        <v>1944000</v>
      </c>
      <c r="AD71" s="37"/>
      <c r="AE7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5832000</v>
      </c>
      <c r="AG71" s="28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71" s="37">
        <f>IF(OR(NOTA[[#This Row],[QTY]]="",NOTA[[#This Row],[HARGA SATUAN]]="",),"",NOTA[[#This Row],[QTY]]*NOTA[[#This Row],[HARGA SATUAN]])</f>
        <v>1944000</v>
      </c>
      <c r="AI71" s="26">
        <f ca="1">IF(NOTA[[#This Row],[ID_H]]="","",INDEX(NOTA[TANGGAL],MATCH(,INDIRECT(ADDRESS(ROW(NOTA[TANGGAL]),COLUMN(NOTA[TANGGAL]))&amp;":"&amp;ADDRESS(ROW(),COLUMN(NOTA[TANGGAL]))),-1)))</f>
        <v>45447</v>
      </c>
      <c r="AJ71" s="26">
        <f ca="1">IF(NOTA[[#This Row],[ID_H]]="","",INDEX(NOTA[TGL.NOTA],MATCH(,INDIRECT(ADDRESS(ROW(NOTA[TGL.NOTA]),COLUMN(NOTA[TGL.NOTA]))&amp;":"&amp;ADDRESS(ROW(),COLUMN(NOTA[TGL.NOTA]))),-1)))</f>
        <v>45446</v>
      </c>
      <c r="AK71" s="26" t="str">
        <f ca="1">IF(NOTA[[#This Row],[ID_H]]="","",INDEX(NOTA[NO.NOTA],MATCH(NOTA[[#This Row],[ID_H]],NOTA[ID_H],0)))</f>
        <v>WF0002B1</v>
      </c>
      <c r="AL71" s="28" t="str">
        <f ca="1">IF(NOTA[[#This Row],[NAMA BARANG]]="","",INDEX(NOTA[SUPPLIER],MATCH(,INDIRECT(ADDRESS(ROW(NOTA[ID]),COLUMN(NOTA[ID]))&amp;":"&amp;ADDRESS(ROW(),COLUMN(NOTA[ID]))),-1)))</f>
        <v>SBS</v>
      </c>
      <c r="AM71" s="28" t="str">
        <f ca="1">IF(NOTA[[#This Row],[ID_H]]="","",IF(NOTA[[#This Row],[FAKTUR]]="",INDIRECT(ADDRESS(ROW()-1,COLUMN())),NOTA[[#This Row],[FAKTUR]]))</f>
        <v>UNTANA</v>
      </c>
      <c r="AN71" s="25" t="str">
        <f ca="1">IF(NOTA[[#This Row],[ID]]="","",COUNTIF(NOTA[ID_H],NOTA[[#This Row],[ID_H]]))</f>
        <v/>
      </c>
      <c r="AO71" s="25">
        <f ca="1">IF(NOTA[[#This Row],[TGL.NOTA]]="",IF(NOTA[[#This Row],[SUPPLIER_H]]="","",AO70),MONTH(NOTA[[#This Row],[TGL.NOTA]]))</f>
        <v>6</v>
      </c>
      <c r="AP71" s="25" t="str">
        <f>LOWER(SUBSTITUTE(SUBSTITUTE(SUBSTITUTE(SUBSTITUTE(SUBSTITUTE(SUBSTITUTE(SUBSTITUTE(SUBSTITUTE(SUBSTITUTE(NOTA[[#This Row],[NAMA BARANG]]," ",),".",""),"-",""),"(",""),")",""),",",""),"/",""),"""",""),"+",""))</f>
        <v>bnlaa032103a680balloon</v>
      </c>
      <c r="AQ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bnlaa032103a680balloon1944000</v>
      </c>
      <c r="AR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bnlaa032103a680balloon1944000</v>
      </c>
      <c r="AS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" s="25"/>
      <c r="AU71" s="25">
        <f>IF(NOTA[[#This Row],[CONCAT1]]="","",MATCH(NOTA[[#This Row],[CONCAT1]],[3]!db[NB NOTA_C],0))</f>
        <v>410</v>
      </c>
      <c r="AV71" s="25" t="b">
        <f>IF(NOTA[[#This Row],[QTY/ CTN]]="","",TRUE)</f>
        <v>1</v>
      </c>
      <c r="AW71" s="25" t="str">
        <f ca="1">IF(NOTA[[#This Row],[ID_H]]="","",IF(NOTA[[#This Row],[Column3]]=TRUE,NOTA[[#This Row],[QTY/ CTN]],INDEX([3]!db[QTY/ CTN],NOTA[[#This Row],[//DB]])))</f>
        <v>240 PCS</v>
      </c>
      <c r="AX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bnlaa032103a680balloon240pcsuntana</v>
      </c>
      <c r="AY71" s="25">
        <f ca="1">IF(NOTA[[#This Row],[ID_H]]="","",MATCH(NOTA[[#This Row],[NB NOTA_C_QTY]],[3]!db[NB NOTA_C_QTY+F],0))</f>
        <v>410</v>
      </c>
      <c r="AZ71" s="38">
        <f ca="1">IF(NOTA[[#This Row],[NB NOTA_C_QTY]]="","",ROW()-2)</f>
        <v>69</v>
      </c>
    </row>
    <row r="72" spans="1:52" ht="20.100000000000001" customHeight="1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" s="25" t="str">
        <f ca="1">IF(NOTA[[#This Row],[NAMA BARANG]]="","",INDEX(NOTA[ID],MATCH(,INDIRECT(ADDRESS(ROW(NOTA[ID]),COLUMN(NOTA[ID]))&amp;":"&amp;ADDRESS(ROW(),COLUMN(NOTA[ID]))),-1)))</f>
        <v/>
      </c>
      <c r="E72" s="33"/>
      <c r="H72" s="34"/>
      <c r="Q72" s="29"/>
      <c r="R72" s="35"/>
      <c r="S72" s="36"/>
      <c r="V72" s="37"/>
      <c r="W72" s="32"/>
      <c r="X72" s="37" t="str">
        <f>IF(NOTA[[#This Row],[HARGA/ CTN]]="",NOTA[[#This Row],[JUMLAH_H]],NOTA[[#This Row],[HARGA/ CTN]]*IF(NOTA[[#This Row],[C]]="",0,NOTA[[#This Row],[C]]))</f>
        <v/>
      </c>
      <c r="Y72" s="37" t="str">
        <f>IF(NOTA[[#This Row],[JUMLAH]]="","",NOTA[[#This Row],[JUMLAH]]*NOTA[[#This Row],[DISC 1]])</f>
        <v/>
      </c>
      <c r="Z72" s="37" t="str">
        <f>IF(NOTA[[#This Row],[JUMLAH]]="","",(NOTA[[#This Row],[JUMLAH]]-NOTA[[#This Row],[DISC 1-]])*NOTA[[#This Row],[DISC 2]])</f>
        <v/>
      </c>
      <c r="AA72" s="37" t="str">
        <f>IF(NOTA[[#This Row],[JUMLAH]]="","",(NOTA[[#This Row],[JUMLAH]]-NOTA[[#This Row],[DISC 1-]]-NOTA[[#This Row],[DISC 2-]])*NOTA[[#This Row],[DISC 3]])</f>
        <v/>
      </c>
      <c r="AB72" s="37" t="str">
        <f>IF(NOTA[[#This Row],[JUMLAH]]="","",NOTA[[#This Row],[DISC 1-]]+NOTA[[#This Row],[DISC 2-]]+NOTA[[#This Row],[DISC 3-]])</f>
        <v/>
      </c>
      <c r="AC72" s="37" t="str">
        <f>IF(NOTA[[#This Row],[JUMLAH]]="","",NOTA[[#This Row],[JUMLAH]]-NOTA[[#This Row],[DISC]])</f>
        <v/>
      </c>
      <c r="AD72" s="37"/>
      <c r="AE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" s="37" t="str">
        <f>IF(OR(NOTA[[#This Row],[QTY]]="",NOTA[[#This Row],[HARGA SATUAN]]="",),"",NOTA[[#This Row],[QTY]]*NOTA[[#This Row],[HARGA SATUAN]])</f>
        <v/>
      </c>
      <c r="AI72" s="26" t="str">
        <f ca="1">IF(NOTA[[#This Row],[ID_H]]="","",INDEX(NOTA[TANGGAL],MATCH(,INDIRECT(ADDRESS(ROW(NOTA[TANGGAL]),COLUMN(NOTA[TANGGAL]))&amp;":"&amp;ADDRESS(ROW(),COLUMN(NOTA[TANGGAL]))),-1)))</f>
        <v/>
      </c>
      <c r="AJ72" s="26" t="str">
        <f ca="1">IF(NOTA[[#This Row],[ID_H]]="","",INDEX(NOTA[TGL.NOTA],MATCH(,INDIRECT(ADDRESS(ROW(NOTA[TGL.NOTA]),COLUMN(NOTA[TGL.NOTA]))&amp;":"&amp;ADDRESS(ROW(),COLUMN(NOTA[TGL.NOTA]))),-1)))</f>
        <v/>
      </c>
      <c r="AK72" s="26" t="str">
        <f ca="1">IF(NOTA[[#This Row],[ID_H]]="","",INDEX(NOTA[NO.NOTA],MATCH(NOTA[[#This Row],[ID_H]],NOTA[ID_H],0)))</f>
        <v/>
      </c>
      <c r="AL72" s="28" t="str">
        <f ca="1">IF(NOTA[[#This Row],[NAMA BARANG]]="","",INDEX(NOTA[SUPPLIER],MATCH(,INDIRECT(ADDRESS(ROW(NOTA[ID]),COLUMN(NOTA[ID]))&amp;":"&amp;ADDRESS(ROW(),COLUMN(NOTA[ID]))),-1)))</f>
        <v/>
      </c>
      <c r="AM72" s="28" t="str">
        <f ca="1">IF(NOTA[[#This Row],[ID_H]]="","",IF(NOTA[[#This Row],[FAKTUR]]="",INDIRECT(ADDRESS(ROW()-1,COLUMN())),NOTA[[#This Row],[FAKTUR]]))</f>
        <v/>
      </c>
      <c r="AN72" s="25" t="str">
        <f ca="1">IF(NOTA[[#This Row],[ID]]="","",COUNTIF(NOTA[ID_H],NOTA[[#This Row],[ID_H]]))</f>
        <v/>
      </c>
      <c r="AO72" s="25" t="str">
        <f ca="1">IF(NOTA[[#This Row],[TGL.NOTA]]="",IF(NOTA[[#This Row],[SUPPLIER_H]]="","",#REF!),MONTH(NOTA[[#This Row],[TGL.NOTA]]))</f>
        <v/>
      </c>
      <c r="AP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" s="25"/>
      <c r="AU72" s="25" t="str">
        <f>IF(NOTA[[#This Row],[CONCAT1]]="","",MATCH(NOTA[[#This Row],[CONCAT1]],[3]!db[NB NOTA_C],0))</f>
        <v/>
      </c>
      <c r="AV72" s="25" t="str">
        <f>IF(NOTA[[#This Row],[QTY/ CTN]]="","",TRUE)</f>
        <v/>
      </c>
      <c r="AW72" s="25" t="str">
        <f ca="1">IF(NOTA[[#This Row],[ID_H]]="","",IF(NOTA[[#This Row],[Column3]]=TRUE,NOTA[[#This Row],[QTY/ CTN]],INDEX([3]!db[QTY/ CTN],NOTA[[#This Row],[//DB]])))</f>
        <v/>
      </c>
      <c r="AX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" s="25" t="str">
        <f ca="1">IF(NOTA[[#This Row],[ID_H]]="","",MATCH(NOTA[[#This Row],[NB NOTA_C_QTY]],[3]!db[NB NOTA_C_QTY+F],0))</f>
        <v/>
      </c>
      <c r="AZ72" s="38" t="str">
        <f ca="1">IF(NOTA[[#This Row],[NB NOTA_C_QTY]]="","",ROW()-2)</f>
        <v/>
      </c>
    </row>
    <row r="73" spans="1:52" ht="20.100000000000001" customHeight="1">
      <c r="A73" s="28">
        <f ca="1">IF(INDIRECT(ADDRESS(ROW()-1,COLUMN(NOTA[[#Headers],[ID]])))="ID",1,IF(NOTA[[#This Row],[FAKTUR]]="","",COUNT(INDIRECT(ADDRESS(ROW(NOTA[ID]),COLUMN(NOTA[ID]))&amp;":"&amp;ADDRESS(ROW()-1,COLUMN(NOTA[ID]))))+1))</f>
        <v>18</v>
      </c>
      <c r="B7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SBS_0406_3B1-1</v>
      </c>
      <c r="D73" s="25">
        <f ca="1">IF(NOTA[[#This Row],[NAMA BARANG]]="","",INDEX(NOTA[ID],MATCH(,INDIRECT(ADDRESS(ROW(NOTA[ID]),COLUMN(NOTA[ID]))&amp;":"&amp;ADDRESS(ROW(),COLUMN(NOTA[ID]))),-1)))</f>
        <v>18</v>
      </c>
      <c r="E73" s="33"/>
      <c r="F73" s="25" t="s">
        <v>186</v>
      </c>
      <c r="G73" s="25" t="s">
        <v>109</v>
      </c>
      <c r="H73" s="34" t="s">
        <v>297</v>
      </c>
      <c r="J73" s="26">
        <v>45446</v>
      </c>
      <c r="L73" s="25" t="s">
        <v>298</v>
      </c>
      <c r="M73" s="27">
        <v>5</v>
      </c>
      <c r="N73" s="25">
        <v>120</v>
      </c>
      <c r="O73" s="25" t="s">
        <v>110</v>
      </c>
      <c r="P73" s="28">
        <v>48300</v>
      </c>
      <c r="Q73" s="29"/>
      <c r="R73" s="35" t="s">
        <v>299</v>
      </c>
      <c r="S73" s="36"/>
      <c r="V73" s="37"/>
      <c r="W73" s="32"/>
      <c r="X73" s="37">
        <f>IF(NOTA[[#This Row],[HARGA/ CTN]]="",NOTA[[#This Row],[JUMLAH_H]],NOTA[[#This Row],[HARGA/ CTN]]*IF(NOTA[[#This Row],[C]]="",0,NOTA[[#This Row],[C]]))</f>
        <v>5796000</v>
      </c>
      <c r="Y73" s="37">
        <f>IF(NOTA[[#This Row],[JUMLAH]]="","",NOTA[[#This Row],[JUMLAH]]*NOTA[[#This Row],[DISC 1]])</f>
        <v>0</v>
      </c>
      <c r="Z73" s="37">
        <f>IF(NOTA[[#This Row],[JUMLAH]]="","",(NOTA[[#This Row],[JUMLAH]]-NOTA[[#This Row],[DISC 1-]])*NOTA[[#This Row],[DISC 2]])</f>
        <v>0</v>
      </c>
      <c r="AA73" s="37">
        <f>IF(NOTA[[#This Row],[JUMLAH]]="","",(NOTA[[#This Row],[JUMLAH]]-NOTA[[#This Row],[DISC 1-]]-NOTA[[#This Row],[DISC 2-]])*NOTA[[#This Row],[DISC 3]])</f>
        <v>0</v>
      </c>
      <c r="AB73" s="37">
        <f>IF(NOTA[[#This Row],[JUMLAH]]="","",NOTA[[#This Row],[DISC 1-]]+NOTA[[#This Row],[DISC 2-]]+NOTA[[#This Row],[DISC 3-]])</f>
        <v>0</v>
      </c>
      <c r="AC73" s="37">
        <f>IF(NOTA[[#This Row],[JUMLAH]]="","",NOTA[[#This Row],[JUMLAH]]-NOTA[[#This Row],[DISC]])</f>
        <v>5796000</v>
      </c>
      <c r="AD73" s="37"/>
      <c r="AE7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5796000</v>
      </c>
      <c r="AG73" s="28">
        <f>IF(NOTA[[#This Row],[NAMA BARANG]]="","",IF(NOTA[[#This Row],[JUMLAH_H]]="",NOTA[[#This Row],[HARGA/ CTN]],NOTA[[#This Row],[QTY]]*NOTA[[#This Row],[HARGA SATUAN]]/IF(ISNUMBER(NOTA[[#This Row],[C]]),NOTA[[#This Row],[C]],1)))</f>
        <v>1159200</v>
      </c>
      <c r="AH73" s="37">
        <f>IF(OR(NOTA[[#This Row],[QTY]]="",NOTA[[#This Row],[HARGA SATUAN]]="",),"",NOTA[[#This Row],[QTY]]*NOTA[[#This Row],[HARGA SATUAN]])</f>
        <v>5796000</v>
      </c>
      <c r="AI73" s="26">
        <f ca="1">IF(NOTA[[#This Row],[ID_H]]="","",INDEX(NOTA[TANGGAL],MATCH(,INDIRECT(ADDRESS(ROW(NOTA[TANGGAL]),COLUMN(NOTA[TANGGAL]))&amp;":"&amp;ADDRESS(ROW(),COLUMN(NOTA[TANGGAL]))),-1)))</f>
        <v>45447</v>
      </c>
      <c r="AJ73" s="26">
        <f ca="1">IF(NOTA[[#This Row],[ID_H]]="","",INDEX(NOTA[TGL.NOTA],MATCH(,INDIRECT(ADDRESS(ROW(NOTA[TGL.NOTA]),COLUMN(NOTA[TGL.NOTA]))&amp;":"&amp;ADDRESS(ROW(),COLUMN(NOTA[TGL.NOTA]))),-1)))</f>
        <v>45446</v>
      </c>
      <c r="AK73" s="26" t="str">
        <f ca="1">IF(NOTA[[#This Row],[ID_H]]="","",INDEX(NOTA[NO.NOTA],MATCH(NOTA[[#This Row],[ID_H]],NOTA[ID_H],0)))</f>
        <v>WF0003B1</v>
      </c>
      <c r="AL73" s="28" t="str">
        <f ca="1">IF(NOTA[[#This Row],[NAMA BARANG]]="","",INDEX(NOTA[SUPPLIER],MATCH(,INDIRECT(ADDRESS(ROW(NOTA[ID]),COLUMN(NOTA[ID]))&amp;":"&amp;ADDRESS(ROW(),COLUMN(NOTA[ID]))),-1)))</f>
        <v>SBS</v>
      </c>
      <c r="AM73" s="28" t="str">
        <f ca="1">IF(NOTA[[#This Row],[ID_H]]="","",IF(NOTA[[#This Row],[FAKTUR]]="",INDIRECT(ADDRESS(ROW()-1,COLUMN())),NOTA[[#This Row],[FAKTUR]]))</f>
        <v>UNTANA</v>
      </c>
      <c r="AN73" s="25">
        <f ca="1">IF(NOTA[[#This Row],[ID]]="","",COUNTIF(NOTA[ID_H],NOTA[[#This Row],[ID_H]]))</f>
        <v>1</v>
      </c>
      <c r="AO73" s="25">
        <f>IF(NOTA[[#This Row],[TGL.NOTA]]="",IF(NOTA[[#This Row],[SUPPLIER_H]]="","",AO72),MONTH(NOTA[[#This Row],[TGL.NOTA]]))</f>
        <v>6</v>
      </c>
      <c r="AP73" s="25" t="str">
        <f>LOWER(SUBSTITUTE(SUBSTITUTE(SUBSTITUTE(SUBSTITUTE(SUBSTITUTE(SUBSTITUTE(SUBSTITUTE(SUBSTITUTE(SUBSTITUTE(NOTA[[#This Row],[NAMA BARANG]]," ",),".",""),"-",""),"(",""),")",""),",",""),"/",""),"""",""),"+",""))</f>
        <v>pcpgastapc201mmetalik</v>
      </c>
      <c r="AQ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pcpgastapc201mmetalik1159200</v>
      </c>
      <c r="AR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pcpgastapc201mmetalik1159200</v>
      </c>
      <c r="AS73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SBSUNTANAWF0003B145446pcpgastapc201mmetalik</v>
      </c>
      <c r="AT73" s="25"/>
      <c r="AU73" s="25">
        <f>IF(NOTA[[#This Row],[CONCAT1]]="","",MATCH(NOTA[[#This Row],[CONCAT1]],[3]!db[NB NOTA_C],0))</f>
        <v>3423</v>
      </c>
      <c r="AV73" s="25" t="b">
        <f>IF(NOTA[[#This Row],[QTY/ CTN]]="","",TRUE)</f>
        <v>1</v>
      </c>
      <c r="AW73" s="25" t="str">
        <f ca="1">IF(NOTA[[#This Row],[ID_H]]="","",IF(NOTA[[#This Row],[Column3]]=TRUE,NOTA[[#This Row],[QTY/ CTN]],INDEX([3]!db[QTY/ CTN],NOTA[[#This Row],[//DB]])))</f>
        <v>24 LSN</v>
      </c>
      <c r="AX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pcpgastapc201mmetalik24lsnuntana</v>
      </c>
      <c r="AY73" s="25">
        <f ca="1">IF(NOTA[[#This Row],[ID_H]]="","",MATCH(NOTA[[#This Row],[NB NOTA_C_QTY]],[3]!db[NB NOTA_C_QTY+F],0))</f>
        <v>3423</v>
      </c>
      <c r="AZ73" s="38">
        <f ca="1">IF(NOTA[[#This Row],[NB NOTA_C_QTY]]="","",ROW()-2)</f>
        <v>71</v>
      </c>
    </row>
    <row r="74" spans="1:52" ht="20.100000000000001" customHeight="1">
      <c r="A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" s="25" t="str">
        <f ca="1">IF(NOTA[[#This Row],[NAMA BARANG]]="","",INDEX(NOTA[ID],MATCH(,INDIRECT(ADDRESS(ROW(NOTA[ID]),COLUMN(NOTA[ID]))&amp;":"&amp;ADDRESS(ROW(),COLUMN(NOTA[ID]))),-1)))</f>
        <v/>
      </c>
      <c r="E74" s="33"/>
      <c r="H74" s="34"/>
      <c r="Q74" s="29"/>
      <c r="R74" s="35"/>
      <c r="S74" s="36"/>
      <c r="V74" s="37"/>
      <c r="W74" s="32"/>
      <c r="X74" s="37" t="str">
        <f>IF(NOTA[[#This Row],[HARGA/ CTN]]="",NOTA[[#This Row],[JUMLAH_H]],NOTA[[#This Row],[HARGA/ CTN]]*IF(NOTA[[#This Row],[C]]="",0,NOTA[[#This Row],[C]]))</f>
        <v/>
      </c>
      <c r="Y74" s="37" t="str">
        <f>IF(NOTA[[#This Row],[JUMLAH]]="","",NOTA[[#This Row],[JUMLAH]]*NOTA[[#This Row],[DISC 1]])</f>
        <v/>
      </c>
      <c r="Z74" s="37" t="str">
        <f>IF(NOTA[[#This Row],[JUMLAH]]="","",(NOTA[[#This Row],[JUMLAH]]-NOTA[[#This Row],[DISC 1-]])*NOTA[[#This Row],[DISC 2]])</f>
        <v/>
      </c>
      <c r="AA74" s="37" t="str">
        <f>IF(NOTA[[#This Row],[JUMLAH]]="","",(NOTA[[#This Row],[JUMLAH]]-NOTA[[#This Row],[DISC 1-]]-NOTA[[#This Row],[DISC 2-]])*NOTA[[#This Row],[DISC 3]])</f>
        <v/>
      </c>
      <c r="AB74" s="37" t="str">
        <f>IF(NOTA[[#This Row],[JUMLAH]]="","",NOTA[[#This Row],[DISC 1-]]+NOTA[[#This Row],[DISC 2-]]+NOTA[[#This Row],[DISC 3-]])</f>
        <v/>
      </c>
      <c r="AC74" s="37" t="str">
        <f>IF(NOTA[[#This Row],[JUMLAH]]="","",NOTA[[#This Row],[JUMLAH]]-NOTA[[#This Row],[DISC]])</f>
        <v/>
      </c>
      <c r="AD74" s="37"/>
      <c r="AE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" s="37" t="str">
        <f>IF(OR(NOTA[[#This Row],[QTY]]="",NOTA[[#This Row],[HARGA SATUAN]]="",),"",NOTA[[#This Row],[QTY]]*NOTA[[#This Row],[HARGA SATUAN]])</f>
        <v/>
      </c>
      <c r="AI74" s="26" t="str">
        <f ca="1">IF(NOTA[[#This Row],[ID_H]]="","",INDEX(NOTA[TANGGAL],MATCH(,INDIRECT(ADDRESS(ROW(NOTA[TANGGAL]),COLUMN(NOTA[TANGGAL]))&amp;":"&amp;ADDRESS(ROW(),COLUMN(NOTA[TANGGAL]))),-1)))</f>
        <v/>
      </c>
      <c r="AJ74" s="26" t="str">
        <f ca="1">IF(NOTA[[#This Row],[ID_H]]="","",INDEX(NOTA[TGL.NOTA],MATCH(,INDIRECT(ADDRESS(ROW(NOTA[TGL.NOTA]),COLUMN(NOTA[TGL.NOTA]))&amp;":"&amp;ADDRESS(ROW(),COLUMN(NOTA[TGL.NOTA]))),-1)))</f>
        <v/>
      </c>
      <c r="AK74" s="26" t="str">
        <f ca="1">IF(NOTA[[#This Row],[ID_H]]="","",INDEX(NOTA[NO.NOTA],MATCH(NOTA[[#This Row],[ID_H]],NOTA[ID_H],0)))</f>
        <v/>
      </c>
      <c r="AL74" s="28" t="str">
        <f ca="1">IF(NOTA[[#This Row],[NAMA BARANG]]="","",INDEX(NOTA[SUPPLIER],MATCH(,INDIRECT(ADDRESS(ROW(NOTA[ID]),COLUMN(NOTA[ID]))&amp;":"&amp;ADDRESS(ROW(),COLUMN(NOTA[ID]))),-1)))</f>
        <v/>
      </c>
      <c r="AM74" s="28" t="str">
        <f ca="1">IF(NOTA[[#This Row],[ID_H]]="","",IF(NOTA[[#This Row],[FAKTUR]]="",INDIRECT(ADDRESS(ROW()-1,COLUMN())),NOTA[[#This Row],[FAKTUR]]))</f>
        <v/>
      </c>
      <c r="AN74" s="25" t="str">
        <f ca="1">IF(NOTA[[#This Row],[ID]]="","",COUNTIF(NOTA[ID_H],NOTA[[#This Row],[ID_H]]))</f>
        <v/>
      </c>
      <c r="AO74" s="25" t="str">
        <f ca="1">IF(NOTA[[#This Row],[TGL.NOTA]]="",IF(NOTA[[#This Row],[SUPPLIER_H]]="","",AO73),MONTH(NOTA[[#This Row],[TGL.NOTA]]))</f>
        <v/>
      </c>
      <c r="AP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" s="25"/>
      <c r="AU74" s="25" t="str">
        <f>IF(NOTA[[#This Row],[CONCAT1]]="","",MATCH(NOTA[[#This Row],[CONCAT1]],[3]!db[NB NOTA_C],0))</f>
        <v/>
      </c>
      <c r="AV74" s="25" t="str">
        <f>IF(NOTA[[#This Row],[QTY/ CTN]]="","",TRUE)</f>
        <v/>
      </c>
      <c r="AW74" s="25" t="str">
        <f ca="1">IF(NOTA[[#This Row],[ID_H]]="","",IF(NOTA[[#This Row],[Column3]]=TRUE,NOTA[[#This Row],[QTY/ CTN]],INDEX([3]!db[QTY/ CTN],NOTA[[#This Row],[//DB]])))</f>
        <v/>
      </c>
      <c r="AX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" s="25" t="str">
        <f ca="1">IF(NOTA[[#This Row],[ID_H]]="","",MATCH(NOTA[[#This Row],[NB NOTA_C_QTY]],[3]!db[NB NOTA_C_QTY+F],0))</f>
        <v/>
      </c>
      <c r="AZ74" s="38" t="str">
        <f ca="1">IF(NOTA[[#This Row],[NB NOTA_C_QTY]]="","",ROW()-2)</f>
        <v/>
      </c>
    </row>
    <row r="75" spans="1:52" ht="20.100000000000001" customHeight="1">
      <c r="A75" s="28">
        <f ca="1">IF(INDIRECT(ADDRESS(ROW()-1,COLUMN(NOTA[[#Headers],[ID]])))="ID",1,IF(NOTA[[#This Row],[FAKTUR]]="","",COUNT(INDIRECT(ADDRESS(ROW(NOTA[ID]),COLUMN(NOTA[ID]))&amp;":"&amp;ADDRESS(ROW()-1,COLUMN(NOTA[ID]))))+1))</f>
        <v>19</v>
      </c>
      <c r="B7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SBS_0406_04A-2</v>
      </c>
      <c r="D75" s="25">
        <f ca="1">IF(NOTA[[#This Row],[NAMA BARANG]]="","",INDEX(NOTA[ID],MATCH(,INDIRECT(ADDRESS(ROW(NOTA[ID]),COLUMN(NOTA[ID]))&amp;":"&amp;ADDRESS(ROW(),COLUMN(NOTA[ID]))),-1)))</f>
        <v>19</v>
      </c>
      <c r="E75" s="33"/>
      <c r="F75" s="25" t="s">
        <v>186</v>
      </c>
      <c r="G75" s="25" t="s">
        <v>109</v>
      </c>
      <c r="H75" s="34" t="s">
        <v>300</v>
      </c>
      <c r="J75" s="26">
        <v>45446</v>
      </c>
      <c r="L75" s="25" t="s">
        <v>307</v>
      </c>
      <c r="M75" s="27">
        <v>3</v>
      </c>
      <c r="N75" s="25">
        <v>180</v>
      </c>
      <c r="O75" s="25" t="s">
        <v>110</v>
      </c>
      <c r="P75" s="28">
        <v>9300</v>
      </c>
      <c r="Q75" s="29"/>
      <c r="R75" s="35" t="s">
        <v>167</v>
      </c>
      <c r="S75" s="36"/>
      <c r="V75" s="37"/>
      <c r="W75" s="32"/>
      <c r="X75" s="37">
        <f>IF(NOTA[[#This Row],[HARGA/ CTN]]="",NOTA[[#This Row],[JUMLAH_H]],NOTA[[#This Row],[HARGA/ CTN]]*IF(NOTA[[#This Row],[C]]="",0,NOTA[[#This Row],[C]]))</f>
        <v>1674000</v>
      </c>
      <c r="Y75" s="37">
        <f>IF(NOTA[[#This Row],[JUMLAH]]="","",NOTA[[#This Row],[JUMLAH]]*NOTA[[#This Row],[DISC 1]])</f>
        <v>0</v>
      </c>
      <c r="Z75" s="37">
        <f>IF(NOTA[[#This Row],[JUMLAH]]="","",(NOTA[[#This Row],[JUMLAH]]-NOTA[[#This Row],[DISC 1-]])*NOTA[[#This Row],[DISC 2]])</f>
        <v>0</v>
      </c>
      <c r="AA75" s="37">
        <f>IF(NOTA[[#This Row],[JUMLAH]]="","",(NOTA[[#This Row],[JUMLAH]]-NOTA[[#This Row],[DISC 1-]]-NOTA[[#This Row],[DISC 2-]])*NOTA[[#This Row],[DISC 3]])</f>
        <v>0</v>
      </c>
      <c r="AB75" s="37">
        <f>IF(NOTA[[#This Row],[JUMLAH]]="","",NOTA[[#This Row],[DISC 1-]]+NOTA[[#This Row],[DISC 2-]]+NOTA[[#This Row],[DISC 3-]])</f>
        <v>0</v>
      </c>
      <c r="AC75" s="37">
        <f>IF(NOTA[[#This Row],[JUMLAH]]="","",NOTA[[#This Row],[JUMLAH]]-NOTA[[#This Row],[DISC]])</f>
        <v>1674000</v>
      </c>
      <c r="AD75" s="37"/>
      <c r="AE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" s="28">
        <f>IF(NOTA[[#This Row],[NAMA BARANG]]="","",IF(NOTA[[#This Row],[JUMLAH_H]]="",NOTA[[#This Row],[HARGA/ CTN]],NOTA[[#This Row],[QTY]]*NOTA[[#This Row],[HARGA SATUAN]]/IF(ISNUMBER(NOTA[[#This Row],[C]]),NOTA[[#This Row],[C]],1)))</f>
        <v>558000</v>
      </c>
      <c r="AH75" s="37">
        <f>IF(OR(NOTA[[#This Row],[QTY]]="",NOTA[[#This Row],[HARGA SATUAN]]="",),"",NOTA[[#This Row],[QTY]]*NOTA[[#This Row],[HARGA SATUAN]])</f>
        <v>1674000</v>
      </c>
      <c r="AI75" s="26">
        <f ca="1">IF(NOTA[[#This Row],[ID_H]]="","",INDEX(NOTA[TANGGAL],MATCH(,INDIRECT(ADDRESS(ROW(NOTA[TANGGAL]),COLUMN(NOTA[TANGGAL]))&amp;":"&amp;ADDRESS(ROW(),COLUMN(NOTA[TANGGAL]))),-1)))</f>
        <v>45447</v>
      </c>
      <c r="AJ75" s="26">
        <f ca="1">IF(NOTA[[#This Row],[ID_H]]="","",INDEX(NOTA[TGL.NOTA],MATCH(,INDIRECT(ADDRESS(ROW(NOTA[TGL.NOTA]),COLUMN(NOTA[TGL.NOTA]))&amp;":"&amp;ADDRESS(ROW(),COLUMN(NOTA[TGL.NOTA]))),-1)))</f>
        <v>45446</v>
      </c>
      <c r="AK75" s="26" t="str">
        <f ca="1">IF(NOTA[[#This Row],[ID_H]]="","",INDEX(NOTA[NO.NOTA],MATCH(NOTA[[#This Row],[ID_H]],NOTA[ID_H],0)))</f>
        <v>WF0004A</v>
      </c>
      <c r="AL75" s="28" t="str">
        <f ca="1">IF(NOTA[[#This Row],[NAMA BARANG]]="","",INDEX(NOTA[SUPPLIER],MATCH(,INDIRECT(ADDRESS(ROW(NOTA[ID]),COLUMN(NOTA[ID]))&amp;":"&amp;ADDRESS(ROW(),COLUMN(NOTA[ID]))),-1)))</f>
        <v>SBS</v>
      </c>
      <c r="AM75" s="28" t="str">
        <f ca="1">IF(NOTA[[#This Row],[ID_H]]="","",IF(NOTA[[#This Row],[FAKTUR]]="",INDIRECT(ADDRESS(ROW()-1,COLUMN())),NOTA[[#This Row],[FAKTUR]]))</f>
        <v>UNTANA</v>
      </c>
      <c r="AN75" s="25">
        <f ca="1">IF(NOTA[[#This Row],[ID]]="","",COUNTIF(NOTA[ID_H],NOTA[[#This Row],[ID_H]]))</f>
        <v>2</v>
      </c>
      <c r="AO75" s="25">
        <f>IF(NOTA[[#This Row],[TGL.NOTA]]="",IF(NOTA[[#This Row],[SUPPLIER_H]]="","",AO74),MONTH(NOTA[[#This Row],[TGL.NOTA]]))</f>
        <v>6</v>
      </c>
      <c r="AP75" s="25" t="str">
        <f>LOWER(SUBSTITUTE(SUBSTITUTE(SUBSTITUTE(SUBSTITUTE(SUBSTITUTE(SUBSTITUTE(SUBSTITUTE(SUBSTITUTE(SUBSTITUTE(NOTA[[#This Row],[NAMA BARANG]]," ",),".",""),"-",""),"(",""),")",""),",",""),"/",""),"""",""),"+",""))</f>
        <v>paletgambarbiolaanggurbutekwag201</v>
      </c>
      <c r="AQ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paletgambarbiolaanggurbutekwag201558000</v>
      </c>
      <c r="AR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paletgambarbiolaanggurbutekwag201558000</v>
      </c>
      <c r="AS75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SBSUNTANAWF0004A45446paletgambarbiolaanggurbutekwag201</v>
      </c>
      <c r="AT75" s="25"/>
      <c r="AU75" s="25">
        <f>IF(NOTA[[#This Row],[CONCAT1]]="","",MATCH(NOTA[[#This Row],[CONCAT1]],[3]!db[NB NOTA_C],0))</f>
        <v>3424</v>
      </c>
      <c r="AV75" s="25" t="b">
        <f>IF(NOTA[[#This Row],[QTY/ CTN]]="","",TRUE)</f>
        <v>1</v>
      </c>
      <c r="AW75" s="25" t="str">
        <f ca="1">IF(NOTA[[#This Row],[ID_H]]="","",IF(NOTA[[#This Row],[Column3]]=TRUE,NOTA[[#This Row],[QTY/ CTN]],INDEX([3]!db[QTY/ CTN],NOTA[[#This Row],[//DB]])))</f>
        <v>60 LSN</v>
      </c>
      <c r="AX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paletgambarbiolaanggurbutekwag20160lsnuntana</v>
      </c>
      <c r="AY75" s="25">
        <f ca="1">IF(NOTA[[#This Row],[ID_H]]="","",MATCH(NOTA[[#This Row],[NB NOTA_C_QTY]],[3]!db[NB NOTA_C_QTY+F],0))</f>
        <v>3424</v>
      </c>
      <c r="AZ75" s="38">
        <f ca="1">IF(NOTA[[#This Row],[NB NOTA_C_QTY]]="","",ROW()-2)</f>
        <v>73</v>
      </c>
    </row>
    <row r="76" spans="1:52" ht="20.100000000000001" customHeight="1">
      <c r="A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" s="25">
        <f ca="1">IF(NOTA[[#This Row],[NAMA BARANG]]="","",INDEX(NOTA[ID],MATCH(,INDIRECT(ADDRESS(ROW(NOTA[ID]),COLUMN(NOTA[ID]))&amp;":"&amp;ADDRESS(ROW(),COLUMN(NOTA[ID]))),-1)))</f>
        <v>19</v>
      </c>
      <c r="E76" s="33"/>
      <c r="H76" s="34"/>
      <c r="L76" s="25" t="s">
        <v>301</v>
      </c>
      <c r="M76" s="27">
        <v>3</v>
      </c>
      <c r="N76" s="25">
        <v>180</v>
      </c>
      <c r="O76" s="25" t="s">
        <v>110</v>
      </c>
      <c r="P76" s="28">
        <v>9300</v>
      </c>
      <c r="Q76" s="29"/>
      <c r="R76" s="35" t="s">
        <v>167</v>
      </c>
      <c r="S76" s="36"/>
      <c r="V76" s="37"/>
      <c r="W76" s="32"/>
      <c r="X76" s="37">
        <f>IF(NOTA[[#This Row],[HARGA/ CTN]]="",NOTA[[#This Row],[JUMLAH_H]],NOTA[[#This Row],[HARGA/ CTN]]*IF(NOTA[[#This Row],[C]]="",0,NOTA[[#This Row],[C]]))</f>
        <v>1674000</v>
      </c>
      <c r="Y76" s="37">
        <f>IF(NOTA[[#This Row],[JUMLAH]]="","",NOTA[[#This Row],[JUMLAH]]*NOTA[[#This Row],[DISC 1]])</f>
        <v>0</v>
      </c>
      <c r="Z76" s="37">
        <f>IF(NOTA[[#This Row],[JUMLAH]]="","",(NOTA[[#This Row],[JUMLAH]]-NOTA[[#This Row],[DISC 1-]])*NOTA[[#This Row],[DISC 2]])</f>
        <v>0</v>
      </c>
      <c r="AA76" s="37">
        <f>IF(NOTA[[#This Row],[JUMLAH]]="","",(NOTA[[#This Row],[JUMLAH]]-NOTA[[#This Row],[DISC 1-]]-NOTA[[#This Row],[DISC 2-]])*NOTA[[#This Row],[DISC 3]])</f>
        <v>0</v>
      </c>
      <c r="AB76" s="37">
        <f>IF(NOTA[[#This Row],[JUMLAH]]="","",NOTA[[#This Row],[DISC 1-]]+NOTA[[#This Row],[DISC 2-]]+NOTA[[#This Row],[DISC 3-]])</f>
        <v>0</v>
      </c>
      <c r="AC76" s="37">
        <f>IF(NOTA[[#This Row],[JUMLAH]]="","",NOTA[[#This Row],[JUMLAH]]-NOTA[[#This Row],[DISC]])</f>
        <v>1674000</v>
      </c>
      <c r="AD76" s="37"/>
      <c r="AE7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3348000</v>
      </c>
      <c r="AG76" s="28">
        <f>IF(NOTA[[#This Row],[NAMA BARANG]]="","",IF(NOTA[[#This Row],[JUMLAH_H]]="",NOTA[[#This Row],[HARGA/ CTN]],NOTA[[#This Row],[QTY]]*NOTA[[#This Row],[HARGA SATUAN]]/IF(ISNUMBER(NOTA[[#This Row],[C]]),NOTA[[#This Row],[C]],1)))</f>
        <v>558000</v>
      </c>
      <c r="AH76" s="37">
        <f>IF(OR(NOTA[[#This Row],[QTY]]="",NOTA[[#This Row],[HARGA SATUAN]]="",),"",NOTA[[#This Row],[QTY]]*NOTA[[#This Row],[HARGA SATUAN]])</f>
        <v>1674000</v>
      </c>
      <c r="AI76" s="26">
        <f ca="1">IF(NOTA[[#This Row],[ID_H]]="","",INDEX(NOTA[TANGGAL],MATCH(,INDIRECT(ADDRESS(ROW(NOTA[TANGGAL]),COLUMN(NOTA[TANGGAL]))&amp;":"&amp;ADDRESS(ROW(),COLUMN(NOTA[TANGGAL]))),-1)))</f>
        <v>45447</v>
      </c>
      <c r="AJ76" s="26">
        <f ca="1">IF(NOTA[[#This Row],[ID_H]]="","",INDEX(NOTA[TGL.NOTA],MATCH(,INDIRECT(ADDRESS(ROW(NOTA[TGL.NOTA]),COLUMN(NOTA[TGL.NOTA]))&amp;":"&amp;ADDRESS(ROW(),COLUMN(NOTA[TGL.NOTA]))),-1)))</f>
        <v>45446</v>
      </c>
      <c r="AK76" s="26" t="str">
        <f ca="1">IF(NOTA[[#This Row],[ID_H]]="","",INDEX(NOTA[NO.NOTA],MATCH(NOTA[[#This Row],[ID_H]],NOTA[ID_H],0)))</f>
        <v>WF0004A</v>
      </c>
      <c r="AL76" s="28" t="str">
        <f ca="1">IF(NOTA[[#This Row],[NAMA BARANG]]="","",INDEX(NOTA[SUPPLIER],MATCH(,INDIRECT(ADDRESS(ROW(NOTA[ID]),COLUMN(NOTA[ID]))&amp;":"&amp;ADDRESS(ROW(),COLUMN(NOTA[ID]))),-1)))</f>
        <v>SBS</v>
      </c>
      <c r="AM76" s="28" t="str">
        <f ca="1">IF(NOTA[[#This Row],[ID_H]]="","",IF(NOTA[[#This Row],[FAKTUR]]="",INDIRECT(ADDRESS(ROW()-1,COLUMN())),NOTA[[#This Row],[FAKTUR]]))</f>
        <v>UNTANA</v>
      </c>
      <c r="AN76" s="25" t="str">
        <f ca="1">IF(NOTA[[#This Row],[ID]]="","",COUNTIF(NOTA[ID_H],NOTA[[#This Row],[ID_H]]))</f>
        <v/>
      </c>
      <c r="AO76" s="25">
        <f ca="1">IF(NOTA[[#This Row],[TGL.NOTA]]="",IF(NOTA[[#This Row],[SUPPLIER_H]]="","",AO75),MONTH(NOTA[[#This Row],[TGL.NOTA]]))</f>
        <v>6</v>
      </c>
      <c r="AP76" s="25" t="str">
        <f>LOWER(SUBSTITUTE(SUBSTITUTE(SUBSTITUTE(SUBSTITUTE(SUBSTITUTE(SUBSTITUTE(SUBSTITUTE(SUBSTITUTE(SUBSTITUTE(NOTA[[#This Row],[NAMA BARANG]]," ",),".",""),"-",""),"(",""),")",""),",",""),"/",""),"""",""),"+",""))</f>
        <v>paletgambarbiolaapelbutekwap202</v>
      </c>
      <c r="AQ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paletgambarbiolaapelbutekwap202558000</v>
      </c>
      <c r="AR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paletgambarbiolaapelbutekwap202558000</v>
      </c>
      <c r="AS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" s="25"/>
      <c r="AU76" s="25">
        <f>IF(NOTA[[#This Row],[CONCAT1]]="","",MATCH(NOTA[[#This Row],[CONCAT1]],[3]!db[NB NOTA_C],0))</f>
        <v>3425</v>
      </c>
      <c r="AV76" s="25" t="b">
        <f>IF(NOTA[[#This Row],[QTY/ CTN]]="","",TRUE)</f>
        <v>1</v>
      </c>
      <c r="AW76" s="25" t="str">
        <f ca="1">IF(NOTA[[#This Row],[ID_H]]="","",IF(NOTA[[#This Row],[Column3]]=TRUE,NOTA[[#This Row],[QTY/ CTN]],INDEX([3]!db[QTY/ CTN],NOTA[[#This Row],[//DB]])))</f>
        <v>60 LSN</v>
      </c>
      <c r="AX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paletgambarbiolaapelbutekwap20260lsnuntana</v>
      </c>
      <c r="AY76" s="25">
        <f ca="1">IF(NOTA[[#This Row],[ID_H]]="","",MATCH(NOTA[[#This Row],[NB NOTA_C_QTY]],[3]!db[NB NOTA_C_QTY+F],0))</f>
        <v>3425</v>
      </c>
      <c r="AZ76" s="38">
        <f ca="1">IF(NOTA[[#This Row],[NB NOTA_C_QTY]]="","",ROW()-2)</f>
        <v>74</v>
      </c>
    </row>
    <row r="77" spans="1:52" ht="20.100000000000001" customHeight="1">
      <c r="A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" s="25" t="str">
        <f ca="1">IF(NOTA[[#This Row],[NAMA BARANG]]="","",INDEX(NOTA[ID],MATCH(,INDIRECT(ADDRESS(ROW(NOTA[ID]),COLUMN(NOTA[ID]))&amp;":"&amp;ADDRESS(ROW(),COLUMN(NOTA[ID]))),-1)))</f>
        <v/>
      </c>
      <c r="E77" s="33"/>
      <c r="H77" s="34"/>
      <c r="Q77" s="29"/>
      <c r="R77" s="35"/>
      <c r="S77" s="36"/>
      <c r="V77" s="37"/>
      <c r="W77" s="32"/>
      <c r="X77" s="37" t="str">
        <f>IF(NOTA[[#This Row],[HARGA/ CTN]]="",NOTA[[#This Row],[JUMLAH_H]],NOTA[[#This Row],[HARGA/ CTN]]*IF(NOTA[[#This Row],[C]]="",0,NOTA[[#This Row],[C]]))</f>
        <v/>
      </c>
      <c r="Y77" s="37" t="str">
        <f>IF(NOTA[[#This Row],[JUMLAH]]="","",NOTA[[#This Row],[JUMLAH]]*NOTA[[#This Row],[DISC 1]])</f>
        <v/>
      </c>
      <c r="Z77" s="37" t="str">
        <f>IF(NOTA[[#This Row],[JUMLAH]]="","",(NOTA[[#This Row],[JUMLAH]]-NOTA[[#This Row],[DISC 1-]])*NOTA[[#This Row],[DISC 2]])</f>
        <v/>
      </c>
      <c r="AA77" s="37" t="str">
        <f>IF(NOTA[[#This Row],[JUMLAH]]="","",(NOTA[[#This Row],[JUMLAH]]-NOTA[[#This Row],[DISC 1-]]-NOTA[[#This Row],[DISC 2-]])*NOTA[[#This Row],[DISC 3]])</f>
        <v/>
      </c>
      <c r="AB77" s="37" t="str">
        <f>IF(NOTA[[#This Row],[JUMLAH]]="","",NOTA[[#This Row],[DISC 1-]]+NOTA[[#This Row],[DISC 2-]]+NOTA[[#This Row],[DISC 3-]])</f>
        <v/>
      </c>
      <c r="AC77" s="37" t="str">
        <f>IF(NOTA[[#This Row],[JUMLAH]]="","",NOTA[[#This Row],[JUMLAH]]-NOTA[[#This Row],[DISC]])</f>
        <v/>
      </c>
      <c r="AD77" s="37"/>
      <c r="AE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" s="37" t="str">
        <f>IF(OR(NOTA[[#This Row],[QTY]]="",NOTA[[#This Row],[HARGA SATUAN]]="",),"",NOTA[[#This Row],[QTY]]*NOTA[[#This Row],[HARGA SATUAN]])</f>
        <v/>
      </c>
      <c r="AI77" s="26" t="str">
        <f ca="1">IF(NOTA[[#This Row],[ID_H]]="","",INDEX(NOTA[TANGGAL],MATCH(,INDIRECT(ADDRESS(ROW(NOTA[TANGGAL]),COLUMN(NOTA[TANGGAL]))&amp;":"&amp;ADDRESS(ROW(),COLUMN(NOTA[TANGGAL]))),-1)))</f>
        <v/>
      </c>
      <c r="AJ77" s="26" t="str">
        <f ca="1">IF(NOTA[[#This Row],[ID_H]]="","",INDEX(NOTA[TGL.NOTA],MATCH(,INDIRECT(ADDRESS(ROW(NOTA[TGL.NOTA]),COLUMN(NOTA[TGL.NOTA]))&amp;":"&amp;ADDRESS(ROW(),COLUMN(NOTA[TGL.NOTA]))),-1)))</f>
        <v/>
      </c>
      <c r="AK77" s="26" t="str">
        <f ca="1">IF(NOTA[[#This Row],[ID_H]]="","",INDEX(NOTA[NO.NOTA],MATCH(NOTA[[#This Row],[ID_H]],NOTA[ID_H],0)))</f>
        <v/>
      </c>
      <c r="AL77" s="28" t="str">
        <f ca="1">IF(NOTA[[#This Row],[NAMA BARANG]]="","",INDEX(NOTA[SUPPLIER],MATCH(,INDIRECT(ADDRESS(ROW(NOTA[ID]),COLUMN(NOTA[ID]))&amp;":"&amp;ADDRESS(ROW(),COLUMN(NOTA[ID]))),-1)))</f>
        <v/>
      </c>
      <c r="AM77" s="28" t="str">
        <f ca="1">IF(NOTA[[#This Row],[ID_H]]="","",IF(NOTA[[#This Row],[FAKTUR]]="",INDIRECT(ADDRESS(ROW()-1,COLUMN())),NOTA[[#This Row],[FAKTUR]]))</f>
        <v/>
      </c>
      <c r="AN77" s="25" t="str">
        <f ca="1">IF(NOTA[[#This Row],[ID]]="","",COUNTIF(NOTA[ID_H],NOTA[[#This Row],[ID_H]]))</f>
        <v/>
      </c>
      <c r="AO77" s="25" t="str">
        <f ca="1">IF(NOTA[[#This Row],[TGL.NOTA]]="",IF(NOTA[[#This Row],[SUPPLIER_H]]="","",AO74),MONTH(NOTA[[#This Row],[TGL.NOTA]]))</f>
        <v/>
      </c>
      <c r="AP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" s="25"/>
      <c r="AU77" s="25" t="str">
        <f>IF(NOTA[[#This Row],[CONCAT1]]="","",MATCH(NOTA[[#This Row],[CONCAT1]],[3]!db[NB NOTA_C],0))</f>
        <v/>
      </c>
      <c r="AV77" s="25" t="str">
        <f>IF(NOTA[[#This Row],[QTY/ CTN]]="","",TRUE)</f>
        <v/>
      </c>
      <c r="AW77" s="25" t="str">
        <f ca="1">IF(NOTA[[#This Row],[ID_H]]="","",IF(NOTA[[#This Row],[Column3]]=TRUE,NOTA[[#This Row],[QTY/ CTN]],INDEX([3]!db[QTY/ CTN],NOTA[[#This Row],[//DB]])))</f>
        <v/>
      </c>
      <c r="AX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" s="25" t="str">
        <f ca="1">IF(NOTA[[#This Row],[ID_H]]="","",MATCH(NOTA[[#This Row],[NB NOTA_C_QTY]],[3]!db[NB NOTA_C_QTY+F],0))</f>
        <v/>
      </c>
      <c r="AZ77" s="38" t="str">
        <f ca="1">IF(NOTA[[#This Row],[NB NOTA_C_QTY]]="","",ROW()-2)</f>
        <v/>
      </c>
    </row>
    <row r="78" spans="1:52" ht="20.100000000000001" customHeight="1">
      <c r="A78" s="28">
        <f ca="1">IF(INDIRECT(ADDRESS(ROW()-1,COLUMN(NOTA[[#Headers],[ID]])))="ID",1,IF(NOTA[[#This Row],[FAKTUR]]="","",COUNT(INDIRECT(ADDRESS(ROW(NOTA[ID]),COLUMN(NOTA[ID]))&amp;":"&amp;ADDRESS(ROW()-1,COLUMN(NOTA[ID]))))+1))</f>
        <v>20</v>
      </c>
      <c r="B7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COM_0506_606-2</v>
      </c>
      <c r="D78" s="25">
        <f ca="1">IF(NOTA[[#This Row],[NAMA BARANG]]="","",INDEX(NOTA[ID],MATCH(,INDIRECT(ADDRESS(ROW(NOTA[ID]),COLUMN(NOTA[ID]))&amp;":"&amp;ADDRESS(ROW(),COLUMN(NOTA[ID]))),-1)))</f>
        <v>20</v>
      </c>
      <c r="E78" s="33">
        <v>45448</v>
      </c>
      <c r="F78" s="25" t="s">
        <v>284</v>
      </c>
      <c r="G78" s="25" t="s">
        <v>109</v>
      </c>
      <c r="H78" s="34" t="s">
        <v>285</v>
      </c>
      <c r="J78" s="26">
        <v>45448</v>
      </c>
      <c r="L78" s="25" t="s">
        <v>308</v>
      </c>
      <c r="M78" s="27">
        <v>2</v>
      </c>
      <c r="N78" s="25">
        <v>16</v>
      </c>
      <c r="O78" s="25" t="s">
        <v>110</v>
      </c>
      <c r="P78" s="28">
        <v>180000</v>
      </c>
      <c r="Q78" s="29"/>
      <c r="R78" s="35" t="s">
        <v>286</v>
      </c>
      <c r="S78" s="36"/>
      <c r="V78" s="37"/>
      <c r="W78" s="32" t="s">
        <v>310</v>
      </c>
      <c r="X78" s="37">
        <f>IF(NOTA[[#This Row],[HARGA/ CTN]]="",NOTA[[#This Row],[JUMLAH_H]],NOTA[[#This Row],[HARGA/ CTN]]*IF(NOTA[[#This Row],[C]]="",0,NOTA[[#This Row],[C]]))</f>
        <v>2880000</v>
      </c>
      <c r="Y78" s="37">
        <f>IF(NOTA[[#This Row],[JUMLAH]]="","",NOTA[[#This Row],[JUMLAH]]*NOTA[[#This Row],[DISC 1]])</f>
        <v>0</v>
      </c>
      <c r="Z78" s="37">
        <f>IF(NOTA[[#This Row],[JUMLAH]]="","",(NOTA[[#This Row],[JUMLAH]]-NOTA[[#This Row],[DISC 1-]])*NOTA[[#This Row],[DISC 2]])</f>
        <v>0</v>
      </c>
      <c r="AA78" s="37">
        <f>IF(NOTA[[#This Row],[JUMLAH]]="","",(NOTA[[#This Row],[JUMLAH]]-NOTA[[#This Row],[DISC 1-]]-NOTA[[#This Row],[DISC 2-]])*NOTA[[#This Row],[DISC 3]])</f>
        <v>0</v>
      </c>
      <c r="AB78" s="37">
        <f>IF(NOTA[[#This Row],[JUMLAH]]="","",NOTA[[#This Row],[DISC 1-]]+NOTA[[#This Row],[DISC 2-]]+NOTA[[#This Row],[DISC 3-]])</f>
        <v>0</v>
      </c>
      <c r="AC78" s="37">
        <f>IF(NOTA[[#This Row],[JUMLAH]]="","",NOTA[[#This Row],[JUMLAH]]-NOTA[[#This Row],[DISC]])</f>
        <v>2880000</v>
      </c>
      <c r="AD78" s="37"/>
      <c r="AE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78" s="37">
        <f>IF(OR(NOTA[[#This Row],[QTY]]="",NOTA[[#This Row],[HARGA SATUAN]]="",),"",NOTA[[#This Row],[QTY]]*NOTA[[#This Row],[HARGA SATUAN]])</f>
        <v>2880000</v>
      </c>
      <c r="AI78" s="26">
        <f ca="1">IF(NOTA[[#This Row],[ID_H]]="","",INDEX(NOTA[TANGGAL],MATCH(,INDIRECT(ADDRESS(ROW(NOTA[TANGGAL]),COLUMN(NOTA[TANGGAL]))&amp;":"&amp;ADDRESS(ROW(),COLUMN(NOTA[TANGGAL]))),-1)))</f>
        <v>45448</v>
      </c>
      <c r="AJ78" s="26">
        <f ca="1">IF(NOTA[[#This Row],[ID_H]]="","",INDEX(NOTA[TGL.NOTA],MATCH(,INDIRECT(ADDRESS(ROW(NOTA[TGL.NOTA]),COLUMN(NOTA[TGL.NOTA]))&amp;":"&amp;ADDRESS(ROW(),COLUMN(NOTA[TGL.NOTA]))),-1)))</f>
        <v>45448</v>
      </c>
      <c r="AK78" s="26" t="str">
        <f ca="1">IF(NOTA[[#This Row],[ID_H]]="","",INDEX(NOTA[NO.NOTA],MATCH(NOTA[[#This Row],[ID_H]],NOTA[ID_H],0)))</f>
        <v>0606</v>
      </c>
      <c r="AL78" s="28" t="str">
        <f ca="1">IF(NOTA[[#This Row],[NAMA BARANG]]="","",INDEX(NOTA[SUPPLIER],MATCH(,INDIRECT(ADDRESS(ROW(NOTA[ID]),COLUMN(NOTA[ID]))&amp;":"&amp;ADDRESS(ROW(),COLUMN(NOTA[ID]))),-1)))</f>
        <v>COMBI</v>
      </c>
      <c r="AM78" s="28" t="str">
        <f ca="1">IF(NOTA[[#This Row],[ID_H]]="","",IF(NOTA[[#This Row],[FAKTUR]]="",INDIRECT(ADDRESS(ROW()-1,COLUMN())),NOTA[[#This Row],[FAKTUR]]))</f>
        <v>UNTANA</v>
      </c>
      <c r="AN78" s="25">
        <f ca="1">IF(NOTA[[#This Row],[ID]]="","",COUNTIF(NOTA[ID_H],NOTA[[#This Row],[ID_H]]))</f>
        <v>2</v>
      </c>
      <c r="AO78" s="25">
        <f>IF(NOTA[[#This Row],[TGL.NOTA]]="",IF(NOTA[[#This Row],[SUPPLIER_H]]="","",AO68),MONTH(NOTA[[#This Row],[TGL.NOTA]]))</f>
        <v>6</v>
      </c>
      <c r="AP78" s="25" t="str">
        <f>LOWER(SUBSTITUTE(SUBSTITUTE(SUBSTITUTE(SUBSTITUTE(SUBSTITUTE(SUBSTITUTE(SUBSTITUTE(SUBSTITUTE(SUBSTITUTE(NOTA[[#This Row],[NAMA BARANG]]," ",),".",""),"-",""),"(",""),")",""),",",""),"/",""),"""",""),"+",""))</f>
        <v>docritinfinity</v>
      </c>
      <c r="AQ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R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S78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COMBIUNTANA060645448docritinfinity</v>
      </c>
      <c r="AT78" s="25"/>
      <c r="AU78" s="25">
        <f>IF(NOTA[[#This Row],[CONCAT1]]="","",MATCH(NOTA[[#This Row],[CONCAT1]],[3]!db[NB NOTA_C],0))</f>
        <v>865</v>
      </c>
      <c r="AV78" s="25" t="b">
        <f>IF(NOTA[[#This Row],[QTY/ CTN]]="","",TRUE)</f>
        <v>1</v>
      </c>
      <c r="AW78" s="25" t="str">
        <f ca="1">IF(NOTA[[#This Row],[ID_H]]="","",IF(NOTA[[#This Row],[Column3]]=TRUE,NOTA[[#This Row],[QTY/ CTN]],INDEX([3]!db[QTY/ CTN],NOTA[[#This Row],[//DB]])))</f>
        <v>8 LSN</v>
      </c>
      <c r="AX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Y78" s="25">
        <f ca="1">IF(NOTA[[#This Row],[ID_H]]="","",MATCH(NOTA[[#This Row],[NB NOTA_C_QTY]],[3]!db[NB NOTA_C_QTY+F],0))</f>
        <v>865</v>
      </c>
      <c r="AZ78" s="38">
        <f ca="1">IF(NOTA[[#This Row],[NB NOTA_C_QTY]]="","",ROW()-2)</f>
        <v>76</v>
      </c>
    </row>
    <row r="79" spans="1:52" ht="20.100000000000001" customHeight="1">
      <c r="A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" s="25">
        <f ca="1">IF(NOTA[[#This Row],[NAMA BARANG]]="","",INDEX(NOTA[ID],MATCH(,INDIRECT(ADDRESS(ROW(NOTA[ID]),COLUMN(NOTA[ID]))&amp;":"&amp;ADDRESS(ROW(),COLUMN(NOTA[ID]))),-1)))</f>
        <v>20</v>
      </c>
      <c r="E79" s="33"/>
      <c r="H79" s="34"/>
      <c r="L79" s="25" t="s">
        <v>309</v>
      </c>
      <c r="M79" s="27">
        <v>2</v>
      </c>
      <c r="N79" s="25">
        <v>16</v>
      </c>
      <c r="O79" s="25" t="s">
        <v>110</v>
      </c>
      <c r="P79" s="28">
        <v>195000</v>
      </c>
      <c r="Q79" s="29"/>
      <c r="R79" s="35" t="s">
        <v>286</v>
      </c>
      <c r="S79" s="36"/>
      <c r="V79" s="37"/>
      <c r="W79" s="32" t="s">
        <v>311</v>
      </c>
      <c r="X79" s="37">
        <f>IF(NOTA[[#This Row],[HARGA/ CTN]]="",NOTA[[#This Row],[JUMLAH_H]],NOTA[[#This Row],[HARGA/ CTN]]*IF(NOTA[[#This Row],[C]]="",0,NOTA[[#This Row],[C]]))</f>
        <v>3120000</v>
      </c>
      <c r="Y79" s="37">
        <f>IF(NOTA[[#This Row],[JUMLAH]]="","",NOTA[[#This Row],[JUMLAH]]*NOTA[[#This Row],[DISC 1]])</f>
        <v>0</v>
      </c>
      <c r="Z79" s="37">
        <f>IF(NOTA[[#This Row],[JUMLAH]]="","",(NOTA[[#This Row],[JUMLAH]]-NOTA[[#This Row],[DISC 1-]])*NOTA[[#This Row],[DISC 2]])</f>
        <v>0</v>
      </c>
      <c r="AA79" s="37">
        <f>IF(NOTA[[#This Row],[JUMLAH]]="","",(NOTA[[#This Row],[JUMLAH]]-NOTA[[#This Row],[DISC 1-]]-NOTA[[#This Row],[DISC 2-]])*NOTA[[#This Row],[DISC 3]])</f>
        <v>0</v>
      </c>
      <c r="AB79" s="37">
        <f>IF(NOTA[[#This Row],[JUMLAH]]="","",NOTA[[#This Row],[DISC 1-]]+NOTA[[#This Row],[DISC 2-]]+NOTA[[#This Row],[DISC 3-]])</f>
        <v>0</v>
      </c>
      <c r="AC79" s="37">
        <f>IF(NOTA[[#This Row],[JUMLAH]]="","",NOTA[[#This Row],[JUMLAH]]-NOTA[[#This Row],[DISC]])</f>
        <v>3120000</v>
      </c>
      <c r="AD79" s="37"/>
      <c r="AE7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6000000</v>
      </c>
      <c r="AG79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79" s="37">
        <f>IF(OR(NOTA[[#This Row],[QTY]]="",NOTA[[#This Row],[HARGA SATUAN]]="",),"",NOTA[[#This Row],[QTY]]*NOTA[[#This Row],[HARGA SATUAN]])</f>
        <v>3120000</v>
      </c>
      <c r="AI79" s="26">
        <f ca="1">IF(NOTA[[#This Row],[ID_H]]="","",INDEX(NOTA[TANGGAL],MATCH(,INDIRECT(ADDRESS(ROW(NOTA[TANGGAL]),COLUMN(NOTA[TANGGAL]))&amp;":"&amp;ADDRESS(ROW(),COLUMN(NOTA[TANGGAL]))),-1)))</f>
        <v>45448</v>
      </c>
      <c r="AJ79" s="26">
        <f ca="1">IF(NOTA[[#This Row],[ID_H]]="","",INDEX(NOTA[TGL.NOTA],MATCH(,INDIRECT(ADDRESS(ROW(NOTA[TGL.NOTA]),COLUMN(NOTA[TGL.NOTA]))&amp;":"&amp;ADDRESS(ROW(),COLUMN(NOTA[TGL.NOTA]))),-1)))</f>
        <v>45448</v>
      </c>
      <c r="AK79" s="26" t="str">
        <f ca="1">IF(NOTA[[#This Row],[ID_H]]="","",INDEX(NOTA[NO.NOTA],MATCH(NOTA[[#This Row],[ID_H]],NOTA[ID_H],0)))</f>
        <v>0606</v>
      </c>
      <c r="AL79" s="28" t="str">
        <f ca="1">IF(NOTA[[#This Row],[NAMA BARANG]]="","",INDEX(NOTA[SUPPLIER],MATCH(,INDIRECT(ADDRESS(ROW(NOTA[ID]),COLUMN(NOTA[ID]))&amp;":"&amp;ADDRESS(ROW(),COLUMN(NOTA[ID]))),-1)))</f>
        <v>COMBI</v>
      </c>
      <c r="AM79" s="28" t="str">
        <f ca="1">IF(NOTA[[#This Row],[ID_H]]="","",IF(NOTA[[#This Row],[FAKTUR]]="",INDIRECT(ADDRESS(ROW()-1,COLUMN())),NOTA[[#This Row],[FAKTUR]]))</f>
        <v>UNTANA</v>
      </c>
      <c r="AN79" s="25" t="str">
        <f ca="1">IF(NOTA[[#This Row],[ID]]="","",COUNTIF(NOTA[ID_H],NOTA[[#This Row],[ID_H]]))</f>
        <v/>
      </c>
      <c r="AO79" s="25">
        <f ca="1">IF(NOTA[[#This Row],[TGL.NOTA]]="",IF(NOTA[[#This Row],[SUPPLIER_H]]="","",AO78),MONTH(NOTA[[#This Row],[TGL.NOTA]]))</f>
        <v>6</v>
      </c>
      <c r="AP79" s="25" t="str">
        <f>LOWER(SUBSTITUTE(SUBSTITUTE(SUBSTITUTE(SUBSTITUTE(SUBSTITUTE(SUBSTITUTE(SUBSTITUTE(SUBSTITUTE(SUBSTITUTE(NOTA[[#This Row],[NAMA BARANG]]," ",),".",""),"-",""),"(",""),")",""),",",""),"/",""),"""",""),"+",""))</f>
        <v>docritprestige</v>
      </c>
      <c r="AQ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R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S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" s="25"/>
      <c r="AU79" s="25">
        <f>IF(NOTA[[#This Row],[CONCAT1]]="","",MATCH(NOTA[[#This Row],[CONCAT1]],[3]!db[NB NOTA_C],0))</f>
        <v>873</v>
      </c>
      <c r="AV79" s="25" t="b">
        <f>IF(NOTA[[#This Row],[QTY/ CTN]]="","",TRUE)</f>
        <v>1</v>
      </c>
      <c r="AW79" s="25" t="str">
        <f ca="1">IF(NOTA[[#This Row],[ID_H]]="","",IF(NOTA[[#This Row],[Column3]]=TRUE,NOTA[[#This Row],[QTY/ CTN]],INDEX([3]!db[QTY/ CTN],NOTA[[#This Row],[//DB]])))</f>
        <v>8 LSN</v>
      </c>
      <c r="AX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Y79" s="25">
        <f ca="1">IF(NOTA[[#This Row],[ID_H]]="","",MATCH(NOTA[[#This Row],[NB NOTA_C_QTY]],[3]!db[NB NOTA_C_QTY+F],0))</f>
        <v>873</v>
      </c>
      <c r="AZ79" s="38">
        <f ca="1">IF(NOTA[[#This Row],[NB NOTA_C_QTY]]="","",ROW()-2)</f>
        <v>77</v>
      </c>
    </row>
    <row r="80" spans="1:52" ht="20.100000000000001" customHeight="1">
      <c r="A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" s="25" t="str">
        <f ca="1">IF(NOTA[[#This Row],[NAMA BARANG]]="","",INDEX(NOTA[ID],MATCH(,INDIRECT(ADDRESS(ROW(NOTA[ID]),COLUMN(NOTA[ID]))&amp;":"&amp;ADDRESS(ROW(),COLUMN(NOTA[ID]))),-1)))</f>
        <v/>
      </c>
      <c r="E80" s="33"/>
      <c r="H80" s="34"/>
      <c r="Q80" s="29"/>
      <c r="R80" s="35"/>
      <c r="S80" s="36"/>
      <c r="V80" s="37"/>
      <c r="W80" s="32"/>
      <c r="X80" s="37" t="str">
        <f>IF(NOTA[[#This Row],[HARGA/ CTN]]="",NOTA[[#This Row],[JUMLAH_H]],NOTA[[#This Row],[HARGA/ CTN]]*IF(NOTA[[#This Row],[C]]="",0,NOTA[[#This Row],[C]]))</f>
        <v/>
      </c>
      <c r="Y80" s="37" t="str">
        <f>IF(NOTA[[#This Row],[JUMLAH]]="","",NOTA[[#This Row],[JUMLAH]]*NOTA[[#This Row],[DISC 1]])</f>
        <v/>
      </c>
      <c r="Z80" s="37" t="str">
        <f>IF(NOTA[[#This Row],[JUMLAH]]="","",(NOTA[[#This Row],[JUMLAH]]-NOTA[[#This Row],[DISC 1-]])*NOTA[[#This Row],[DISC 2]])</f>
        <v/>
      </c>
      <c r="AA80" s="37" t="str">
        <f>IF(NOTA[[#This Row],[JUMLAH]]="","",(NOTA[[#This Row],[JUMLAH]]-NOTA[[#This Row],[DISC 1-]]-NOTA[[#This Row],[DISC 2-]])*NOTA[[#This Row],[DISC 3]])</f>
        <v/>
      </c>
      <c r="AB80" s="37" t="str">
        <f>IF(NOTA[[#This Row],[JUMLAH]]="","",NOTA[[#This Row],[DISC 1-]]+NOTA[[#This Row],[DISC 2-]]+NOTA[[#This Row],[DISC 3-]])</f>
        <v/>
      </c>
      <c r="AC80" s="37" t="str">
        <f>IF(NOTA[[#This Row],[JUMLAH]]="","",NOTA[[#This Row],[JUMLAH]]-NOTA[[#This Row],[DISC]])</f>
        <v/>
      </c>
      <c r="AD80" s="37"/>
      <c r="AE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" s="37" t="str">
        <f>IF(OR(NOTA[[#This Row],[QTY]]="",NOTA[[#This Row],[HARGA SATUAN]]="",),"",NOTA[[#This Row],[QTY]]*NOTA[[#This Row],[HARGA SATUAN]])</f>
        <v/>
      </c>
      <c r="AI80" s="26" t="str">
        <f ca="1">IF(NOTA[[#This Row],[ID_H]]="","",INDEX(NOTA[TANGGAL],MATCH(,INDIRECT(ADDRESS(ROW(NOTA[TANGGAL]),COLUMN(NOTA[TANGGAL]))&amp;":"&amp;ADDRESS(ROW(),COLUMN(NOTA[TANGGAL]))),-1)))</f>
        <v/>
      </c>
      <c r="AJ80" s="26" t="str">
        <f ca="1">IF(NOTA[[#This Row],[ID_H]]="","",INDEX(NOTA[TGL.NOTA],MATCH(,INDIRECT(ADDRESS(ROW(NOTA[TGL.NOTA]),COLUMN(NOTA[TGL.NOTA]))&amp;":"&amp;ADDRESS(ROW(),COLUMN(NOTA[TGL.NOTA]))),-1)))</f>
        <v/>
      </c>
      <c r="AK80" s="26" t="str">
        <f ca="1">IF(NOTA[[#This Row],[ID_H]]="","",INDEX(NOTA[NO.NOTA],MATCH(NOTA[[#This Row],[ID_H]],NOTA[ID_H],0)))</f>
        <v/>
      </c>
      <c r="AL80" s="28" t="str">
        <f ca="1">IF(NOTA[[#This Row],[NAMA BARANG]]="","",INDEX(NOTA[SUPPLIER],MATCH(,INDIRECT(ADDRESS(ROW(NOTA[ID]),COLUMN(NOTA[ID]))&amp;":"&amp;ADDRESS(ROW(),COLUMN(NOTA[ID]))),-1)))</f>
        <v/>
      </c>
      <c r="AM80" s="28" t="str">
        <f ca="1">IF(NOTA[[#This Row],[ID_H]]="","",IF(NOTA[[#This Row],[FAKTUR]]="",INDIRECT(ADDRESS(ROW()-1,COLUMN())),NOTA[[#This Row],[FAKTUR]]))</f>
        <v/>
      </c>
      <c r="AN80" s="25" t="str">
        <f ca="1">IF(NOTA[[#This Row],[ID]]="","",COUNTIF(NOTA[ID_H],NOTA[[#This Row],[ID_H]]))</f>
        <v/>
      </c>
      <c r="AO80" s="25" t="str">
        <f ca="1">IF(NOTA[[#This Row],[TGL.NOTA]]="",IF(NOTA[[#This Row],[SUPPLIER_H]]="","",AO79),MONTH(NOTA[[#This Row],[TGL.NOTA]]))</f>
        <v/>
      </c>
      <c r="AP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" s="25"/>
      <c r="AU80" s="25" t="str">
        <f>IF(NOTA[[#This Row],[CONCAT1]]="","",MATCH(NOTA[[#This Row],[CONCAT1]],[3]!db[NB NOTA_C],0))</f>
        <v/>
      </c>
      <c r="AV80" s="25" t="str">
        <f>IF(NOTA[[#This Row],[QTY/ CTN]]="","",TRUE)</f>
        <v/>
      </c>
      <c r="AW80" s="25" t="str">
        <f ca="1">IF(NOTA[[#This Row],[ID_H]]="","",IF(NOTA[[#This Row],[Column3]]=TRUE,NOTA[[#This Row],[QTY/ CTN]],INDEX([3]!db[QTY/ CTN],NOTA[[#This Row],[//DB]])))</f>
        <v/>
      </c>
      <c r="AX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" s="25" t="str">
        <f ca="1">IF(NOTA[[#This Row],[ID_H]]="","",MATCH(NOTA[[#This Row],[NB NOTA_C_QTY]],[3]!db[NB NOTA_C_QTY+F],0))</f>
        <v/>
      </c>
      <c r="AZ80" s="38" t="str">
        <f ca="1">IF(NOTA[[#This Row],[NB NOTA_C_QTY]]="","",ROW()-2)</f>
        <v/>
      </c>
    </row>
    <row r="81" spans="1:52" ht="20.100000000000001" customHeight="1">
      <c r="A81" s="28">
        <f ca="1">IF(INDIRECT(ADDRESS(ROW()-1,COLUMN(NOTA[[#Headers],[ID]])))="ID",1,IF(NOTA[[#This Row],[FAKTUR]]="","",COUNT(INDIRECT(ADDRESS(ROW(NOTA[ID]),COLUMN(NOTA[ID]))&amp;":"&amp;ADDRESS(ROW()-1,COLUMN(NOTA[ID]))))+1))</f>
        <v>21</v>
      </c>
      <c r="B8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SBS_0506_024-2</v>
      </c>
      <c r="D81" s="25">
        <f ca="1">IF(NOTA[[#This Row],[NAMA BARANG]]="","",INDEX(NOTA[ID],MATCH(,INDIRECT(ADDRESS(ROW(NOTA[ID]),COLUMN(NOTA[ID]))&amp;":"&amp;ADDRESS(ROW(),COLUMN(NOTA[ID]))),-1)))</f>
        <v>21</v>
      </c>
      <c r="E81" s="33"/>
      <c r="F81" s="25" t="s">
        <v>186</v>
      </c>
      <c r="G81" s="25" t="s">
        <v>109</v>
      </c>
      <c r="H81" s="34" t="s">
        <v>289</v>
      </c>
      <c r="J81" s="26">
        <v>45441</v>
      </c>
      <c r="L81" s="61" t="s">
        <v>312</v>
      </c>
      <c r="M81" s="27">
        <v>10</v>
      </c>
      <c r="N81" s="25">
        <v>480</v>
      </c>
      <c r="O81" s="25" t="s">
        <v>110</v>
      </c>
      <c r="Q81" s="29"/>
      <c r="R81" s="35" t="s">
        <v>287</v>
      </c>
      <c r="S81" s="36"/>
      <c r="V81" s="37"/>
      <c r="W81" s="32" t="s">
        <v>245</v>
      </c>
      <c r="X81" s="37" t="str">
        <f>IF(NOTA[[#This Row],[HARGA/ CTN]]="",NOTA[[#This Row],[JUMLAH_H]],NOTA[[#This Row],[HARGA/ CTN]]*IF(NOTA[[#This Row],[C]]="",0,NOTA[[#This Row],[C]]))</f>
        <v/>
      </c>
      <c r="Y81" s="37" t="str">
        <f>IF(NOTA[[#This Row],[JUMLAH]]="","",NOTA[[#This Row],[JUMLAH]]*NOTA[[#This Row],[DISC 1]])</f>
        <v/>
      </c>
      <c r="Z81" s="37" t="str">
        <f>IF(NOTA[[#This Row],[JUMLAH]]="","",(NOTA[[#This Row],[JUMLAH]]-NOTA[[#This Row],[DISC 1-]])*NOTA[[#This Row],[DISC 2]])</f>
        <v/>
      </c>
      <c r="AA81" s="37" t="str">
        <f>IF(NOTA[[#This Row],[JUMLAH]]="","",(NOTA[[#This Row],[JUMLAH]]-NOTA[[#This Row],[DISC 1-]]-NOTA[[#This Row],[DISC 2-]])*NOTA[[#This Row],[DISC 3]])</f>
        <v/>
      </c>
      <c r="AB81" s="37" t="str">
        <f>IF(NOTA[[#This Row],[JUMLAH]]="","",NOTA[[#This Row],[DISC 1-]]+NOTA[[#This Row],[DISC 2-]]+NOTA[[#This Row],[DISC 3-]])</f>
        <v/>
      </c>
      <c r="AC81" s="37" t="str">
        <f>IF(NOTA[[#This Row],[JUMLAH]]="","",NOTA[[#This Row],[JUMLAH]]-NOTA[[#This Row],[DISC]])</f>
        <v/>
      </c>
      <c r="AD81" s="37"/>
      <c r="AE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81" s="37" t="str">
        <f>IF(OR(NOTA[[#This Row],[QTY]]="",NOTA[[#This Row],[HARGA SATUAN]]="",),"",NOTA[[#This Row],[QTY]]*NOTA[[#This Row],[HARGA SATUAN]])</f>
        <v/>
      </c>
      <c r="AI81" s="26">
        <f ca="1">IF(NOTA[[#This Row],[ID_H]]="","",INDEX(NOTA[TANGGAL],MATCH(,INDIRECT(ADDRESS(ROW(NOTA[TANGGAL]),COLUMN(NOTA[TANGGAL]))&amp;":"&amp;ADDRESS(ROW(),COLUMN(NOTA[TANGGAL]))),-1)))</f>
        <v>45448</v>
      </c>
      <c r="AJ81" s="26">
        <f ca="1">IF(NOTA[[#This Row],[ID_H]]="","",INDEX(NOTA[TGL.NOTA],MATCH(,INDIRECT(ADDRESS(ROW(NOTA[TGL.NOTA]),COLUMN(NOTA[TGL.NOTA]))&amp;":"&amp;ADDRESS(ROW(),COLUMN(NOTA[TGL.NOTA]))),-1)))</f>
        <v>45441</v>
      </c>
      <c r="AK81" s="26" t="str">
        <f ca="1">IF(NOTA[[#This Row],[ID_H]]="","",INDEX(NOTA[NO.NOTA],MATCH(NOTA[[#This Row],[ID_H]],NOTA[ID_H],0)))</f>
        <v>SURAT JALAN : TH033/5/2024</v>
      </c>
      <c r="AL81" s="28" t="str">
        <f ca="1">IF(NOTA[[#This Row],[NAMA BARANG]]="","",INDEX(NOTA[SUPPLIER],MATCH(,INDIRECT(ADDRESS(ROW(NOTA[ID]),COLUMN(NOTA[ID]))&amp;":"&amp;ADDRESS(ROW(),COLUMN(NOTA[ID]))),-1)))</f>
        <v>SBS</v>
      </c>
      <c r="AM81" s="28" t="str">
        <f ca="1">IF(NOTA[[#This Row],[ID_H]]="","",IF(NOTA[[#This Row],[FAKTUR]]="",INDIRECT(ADDRESS(ROW()-1,COLUMN())),NOTA[[#This Row],[FAKTUR]]))</f>
        <v>UNTANA</v>
      </c>
      <c r="AN81" s="25">
        <f ca="1">IF(NOTA[[#This Row],[ID]]="","",COUNTIF(NOTA[ID_H],NOTA[[#This Row],[ID_H]]))</f>
        <v>2</v>
      </c>
      <c r="AO81" s="25">
        <f>IF(NOTA[[#This Row],[TGL.NOTA]]="",IF(NOTA[[#This Row],[SUPPLIER_H]]="","",AO80),MONTH(NOTA[[#This Row],[TGL.NOTA]]))</f>
        <v>5</v>
      </c>
      <c r="AP81" s="25" t="str">
        <f>LOWER(SUBSTITUTE(SUBSTITUTE(SUBSTITUTE(SUBSTITUTE(SUBSTITUTE(SUBSTITUTE(SUBSTITUTE(SUBSTITUTE(SUBSTITUTE(NOTA[[#This Row],[NAMA BARANG]]," ",),".",""),"-",""),"(",""),")",""),",",""),"/",""),"""",""),"+",""))</f>
        <v>correctiontapemt737a5x16refill</v>
      </c>
      <c r="AQ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correctiontapemt737a5x16refill0</v>
      </c>
      <c r="AR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correctiontapemt737a5x16refill0</v>
      </c>
      <c r="AS81" s="25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 : TH033/5/202445441correctiontapemt737a5x16refill</v>
      </c>
      <c r="AT81" s="25"/>
      <c r="AU81" s="25">
        <f>IF(NOTA[[#This Row],[CONCAT1]]="","",MATCH(NOTA[[#This Row],[CONCAT1]],[3]!db[NB NOTA_C],0))</f>
        <v>755</v>
      </c>
      <c r="AV81" s="25" t="b">
        <f>IF(NOTA[[#This Row],[QTY/ CTN]]="","",TRUE)</f>
        <v>1</v>
      </c>
      <c r="AW81" s="25" t="str">
        <f ca="1">IF(NOTA[[#This Row],[ID_H]]="","",IF(NOTA[[#This Row],[Column3]]=TRUE,NOTA[[#This Row],[QTY/ CTN]],INDEX([3]!db[QTY/ CTN],NOTA[[#This Row],[//DB]])))</f>
        <v>48 LSN</v>
      </c>
      <c r="AX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correctiontapemt737a5x16refill48lsnuntana</v>
      </c>
      <c r="AY81" s="25">
        <f ca="1">IF(NOTA[[#This Row],[ID_H]]="","",MATCH(NOTA[[#This Row],[NB NOTA_C_QTY]],[3]!db[NB NOTA_C_QTY+F],0))</f>
        <v>755</v>
      </c>
      <c r="AZ81" s="38">
        <f ca="1">IF(NOTA[[#This Row],[NB NOTA_C_QTY]]="","",ROW()-2)</f>
        <v>79</v>
      </c>
    </row>
    <row r="82" spans="1:52" ht="20.100000000000001" customHeight="1">
      <c r="A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" s="25">
        <f ca="1">IF(NOTA[[#This Row],[NAMA BARANG]]="","",INDEX(NOTA[ID],MATCH(,INDIRECT(ADDRESS(ROW(NOTA[ID]),COLUMN(NOTA[ID]))&amp;":"&amp;ADDRESS(ROW(),COLUMN(NOTA[ID]))),-1)))</f>
        <v>21</v>
      </c>
      <c r="E82" s="33"/>
      <c r="H82" s="34"/>
      <c r="L82" s="61" t="s">
        <v>313</v>
      </c>
      <c r="M82" s="27">
        <v>2</v>
      </c>
      <c r="N82" s="25">
        <v>12</v>
      </c>
      <c r="O82" s="25" t="s">
        <v>111</v>
      </c>
      <c r="Q82" s="29"/>
      <c r="R82" s="35" t="s">
        <v>288</v>
      </c>
      <c r="S82" s="36"/>
      <c r="V82" s="37"/>
      <c r="W82" s="32" t="s">
        <v>245</v>
      </c>
      <c r="X82" s="37" t="str">
        <f>IF(NOTA[[#This Row],[HARGA/ CTN]]="",NOTA[[#This Row],[JUMLAH_H]],NOTA[[#This Row],[HARGA/ CTN]]*IF(NOTA[[#This Row],[C]]="",0,NOTA[[#This Row],[C]]))</f>
        <v/>
      </c>
      <c r="Y82" s="37" t="str">
        <f>IF(NOTA[[#This Row],[JUMLAH]]="","",NOTA[[#This Row],[JUMLAH]]*NOTA[[#This Row],[DISC 1]])</f>
        <v/>
      </c>
      <c r="Z82" s="37" t="str">
        <f>IF(NOTA[[#This Row],[JUMLAH]]="","",(NOTA[[#This Row],[JUMLAH]]-NOTA[[#This Row],[DISC 1-]])*NOTA[[#This Row],[DISC 2]])</f>
        <v/>
      </c>
      <c r="AA82" s="37" t="str">
        <f>IF(NOTA[[#This Row],[JUMLAH]]="","",(NOTA[[#This Row],[JUMLAH]]-NOTA[[#This Row],[DISC 1-]]-NOTA[[#This Row],[DISC 2-]])*NOTA[[#This Row],[DISC 3]])</f>
        <v/>
      </c>
      <c r="AB82" s="37" t="str">
        <f>IF(NOTA[[#This Row],[JUMLAH]]="","",NOTA[[#This Row],[DISC 1-]]+NOTA[[#This Row],[DISC 2-]]+NOTA[[#This Row],[DISC 3-]])</f>
        <v/>
      </c>
      <c r="AC82" s="37" t="str">
        <f>IF(NOTA[[#This Row],[JUMLAH]]="","",NOTA[[#This Row],[JUMLAH]]-NOTA[[#This Row],[DISC]])</f>
        <v/>
      </c>
      <c r="AD82" s="37"/>
      <c r="AE8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8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G82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82" s="37" t="str">
        <f>IF(OR(NOTA[[#This Row],[QTY]]="",NOTA[[#This Row],[HARGA SATUAN]]="",),"",NOTA[[#This Row],[QTY]]*NOTA[[#This Row],[HARGA SATUAN]])</f>
        <v/>
      </c>
      <c r="AI82" s="26">
        <f ca="1">IF(NOTA[[#This Row],[ID_H]]="","",INDEX(NOTA[TANGGAL],MATCH(,INDIRECT(ADDRESS(ROW(NOTA[TANGGAL]),COLUMN(NOTA[TANGGAL]))&amp;":"&amp;ADDRESS(ROW(),COLUMN(NOTA[TANGGAL]))),-1)))</f>
        <v>45448</v>
      </c>
      <c r="AJ82" s="26">
        <f ca="1">IF(NOTA[[#This Row],[ID_H]]="","",INDEX(NOTA[TGL.NOTA],MATCH(,INDIRECT(ADDRESS(ROW(NOTA[TGL.NOTA]),COLUMN(NOTA[TGL.NOTA]))&amp;":"&amp;ADDRESS(ROW(),COLUMN(NOTA[TGL.NOTA]))),-1)))</f>
        <v>45441</v>
      </c>
      <c r="AK82" s="26" t="str">
        <f ca="1">IF(NOTA[[#This Row],[ID_H]]="","",INDEX(NOTA[NO.NOTA],MATCH(NOTA[[#This Row],[ID_H]],NOTA[ID_H],0)))</f>
        <v>SURAT JALAN : TH033/5/2024</v>
      </c>
      <c r="AL82" s="28" t="str">
        <f ca="1">IF(NOTA[[#This Row],[NAMA BARANG]]="","",INDEX(NOTA[SUPPLIER],MATCH(,INDIRECT(ADDRESS(ROW(NOTA[ID]),COLUMN(NOTA[ID]))&amp;":"&amp;ADDRESS(ROW(),COLUMN(NOTA[ID]))),-1)))</f>
        <v>SBS</v>
      </c>
      <c r="AM82" s="28" t="str">
        <f ca="1">IF(NOTA[[#This Row],[ID_H]]="","",IF(NOTA[[#This Row],[FAKTUR]]="",INDIRECT(ADDRESS(ROW()-1,COLUMN())),NOTA[[#This Row],[FAKTUR]]))</f>
        <v>UNTANA</v>
      </c>
      <c r="AN82" s="25" t="str">
        <f ca="1">IF(NOTA[[#This Row],[ID]]="","",COUNTIF(NOTA[ID_H],NOTA[[#This Row],[ID_H]]))</f>
        <v/>
      </c>
      <c r="AO82" s="25">
        <f ca="1">IF(NOTA[[#This Row],[TGL.NOTA]]="",IF(NOTA[[#This Row],[SUPPLIER_H]]="","",AO81),MONTH(NOTA[[#This Row],[TGL.NOTA]]))</f>
        <v>5</v>
      </c>
      <c r="AP82" s="25" t="str">
        <f>LOWER(SUBSTITUTE(SUBSTITUTE(SUBSTITUTE(SUBSTITUTE(SUBSTITUTE(SUBSTITUTE(SUBSTITUTE(SUBSTITUTE(SUBSTITUTE(NOTA[[#This Row],[NAMA BARANG]]," ",),".",""),"-",""),"(",""),")",""),",",""),"/",""),"""",""),"+",""))</f>
        <v>elevatedtraymicrotop604hitam</v>
      </c>
      <c r="AQ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elevatedtraymicrotop604hitam0</v>
      </c>
      <c r="AR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elevatedtraymicrotop604hitam0</v>
      </c>
      <c r="AS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" s="25"/>
      <c r="AU82" s="25">
        <f>IF(NOTA[[#This Row],[CONCAT1]]="","",MATCH(NOTA[[#This Row],[CONCAT1]],[3]!db[NB NOTA_C],0))</f>
        <v>930</v>
      </c>
      <c r="AV82" s="25" t="b">
        <f>IF(NOTA[[#This Row],[QTY/ CTN]]="","",TRUE)</f>
        <v>1</v>
      </c>
      <c r="AW82" s="25" t="str">
        <f ca="1">IF(NOTA[[#This Row],[ID_H]]="","",IF(NOTA[[#This Row],[Column3]]=TRUE,NOTA[[#This Row],[QTY/ CTN]],INDEX([3]!db[QTY/ CTN],NOTA[[#This Row],[//DB]])))</f>
        <v>6 PCS</v>
      </c>
      <c r="AX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elevatedtraymicrotop604hitam6pcsuntana</v>
      </c>
      <c r="AY82" s="25" t="e">
        <f ca="1">IF(NOTA[[#This Row],[ID_H]]="","",MATCH(NOTA[[#This Row],[NB NOTA_C_QTY]],[3]!db[NB NOTA_C_QTY+F],0))</f>
        <v>#N/A</v>
      </c>
      <c r="AZ82" s="38">
        <f ca="1">IF(NOTA[[#This Row],[NB NOTA_C_QTY]]="","",ROW()-2)</f>
        <v>80</v>
      </c>
    </row>
    <row r="83" spans="1:52" ht="20.100000000000001" customHeight="1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" s="25" t="str">
        <f ca="1">IF(NOTA[[#This Row],[NAMA BARANG]]="","",INDEX(NOTA[ID],MATCH(,INDIRECT(ADDRESS(ROW(NOTA[ID]),COLUMN(NOTA[ID]))&amp;":"&amp;ADDRESS(ROW(),COLUMN(NOTA[ID]))),-1)))</f>
        <v/>
      </c>
      <c r="E83" s="33"/>
      <c r="H83" s="34"/>
      <c r="Q83" s="29"/>
      <c r="R83" s="35"/>
      <c r="S83" s="36"/>
      <c r="V83" s="37"/>
      <c r="W83" s="32"/>
      <c r="X83" s="37" t="str">
        <f>IF(NOTA[[#This Row],[HARGA/ CTN]]="",NOTA[[#This Row],[JUMLAH_H]],NOTA[[#This Row],[HARGA/ CTN]]*IF(NOTA[[#This Row],[C]]="",0,NOTA[[#This Row],[C]]))</f>
        <v/>
      </c>
      <c r="Y83" s="37" t="str">
        <f>IF(NOTA[[#This Row],[JUMLAH]]="","",NOTA[[#This Row],[JUMLAH]]*NOTA[[#This Row],[DISC 1]])</f>
        <v/>
      </c>
      <c r="Z83" s="37" t="str">
        <f>IF(NOTA[[#This Row],[JUMLAH]]="","",(NOTA[[#This Row],[JUMLAH]]-NOTA[[#This Row],[DISC 1-]])*NOTA[[#This Row],[DISC 2]])</f>
        <v/>
      </c>
      <c r="AA83" s="37" t="str">
        <f>IF(NOTA[[#This Row],[JUMLAH]]="","",(NOTA[[#This Row],[JUMLAH]]-NOTA[[#This Row],[DISC 1-]]-NOTA[[#This Row],[DISC 2-]])*NOTA[[#This Row],[DISC 3]])</f>
        <v/>
      </c>
      <c r="AB83" s="37" t="str">
        <f>IF(NOTA[[#This Row],[JUMLAH]]="","",NOTA[[#This Row],[DISC 1-]]+NOTA[[#This Row],[DISC 2-]]+NOTA[[#This Row],[DISC 3-]])</f>
        <v/>
      </c>
      <c r="AC83" s="37" t="str">
        <f>IF(NOTA[[#This Row],[JUMLAH]]="","",NOTA[[#This Row],[JUMLAH]]-NOTA[[#This Row],[DISC]])</f>
        <v/>
      </c>
      <c r="AD83" s="37"/>
      <c r="AE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" s="37" t="str">
        <f>IF(OR(NOTA[[#This Row],[QTY]]="",NOTA[[#This Row],[HARGA SATUAN]]="",),"",NOTA[[#This Row],[QTY]]*NOTA[[#This Row],[HARGA SATUAN]])</f>
        <v/>
      </c>
      <c r="AI83" s="26" t="str">
        <f ca="1">IF(NOTA[[#This Row],[ID_H]]="","",INDEX(NOTA[TANGGAL],MATCH(,INDIRECT(ADDRESS(ROW(NOTA[TANGGAL]),COLUMN(NOTA[TANGGAL]))&amp;":"&amp;ADDRESS(ROW(),COLUMN(NOTA[TANGGAL]))),-1)))</f>
        <v/>
      </c>
      <c r="AJ83" s="26" t="str">
        <f ca="1">IF(NOTA[[#This Row],[ID_H]]="","",INDEX(NOTA[TGL.NOTA],MATCH(,INDIRECT(ADDRESS(ROW(NOTA[TGL.NOTA]),COLUMN(NOTA[TGL.NOTA]))&amp;":"&amp;ADDRESS(ROW(),COLUMN(NOTA[TGL.NOTA]))),-1)))</f>
        <v/>
      </c>
      <c r="AK83" s="26" t="str">
        <f ca="1">IF(NOTA[[#This Row],[ID_H]]="","",INDEX(NOTA[NO.NOTA],MATCH(NOTA[[#This Row],[ID_H]],NOTA[ID_H],0)))</f>
        <v/>
      </c>
      <c r="AL83" s="28" t="str">
        <f ca="1">IF(NOTA[[#This Row],[NAMA BARANG]]="","",INDEX(NOTA[SUPPLIER],MATCH(,INDIRECT(ADDRESS(ROW(NOTA[ID]),COLUMN(NOTA[ID]))&amp;":"&amp;ADDRESS(ROW(),COLUMN(NOTA[ID]))),-1)))</f>
        <v/>
      </c>
      <c r="AM83" s="28" t="str">
        <f ca="1">IF(NOTA[[#This Row],[ID_H]]="","",IF(NOTA[[#This Row],[FAKTUR]]="",INDIRECT(ADDRESS(ROW()-1,COLUMN())),NOTA[[#This Row],[FAKTUR]]))</f>
        <v/>
      </c>
      <c r="AN83" s="25" t="str">
        <f ca="1">IF(NOTA[[#This Row],[ID]]="","",COUNTIF(NOTA[ID_H],NOTA[[#This Row],[ID_H]]))</f>
        <v/>
      </c>
      <c r="AO83" s="25" t="str">
        <f ca="1">IF(NOTA[[#This Row],[TGL.NOTA]]="",IF(NOTA[[#This Row],[SUPPLIER_H]]="","",AO82),MONTH(NOTA[[#This Row],[TGL.NOTA]]))</f>
        <v/>
      </c>
      <c r="AP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" s="25"/>
      <c r="AU83" s="25" t="str">
        <f>IF(NOTA[[#This Row],[CONCAT1]]="","",MATCH(NOTA[[#This Row],[CONCAT1]],[3]!db[NB NOTA_C],0))</f>
        <v/>
      </c>
      <c r="AV83" s="25" t="str">
        <f>IF(NOTA[[#This Row],[QTY/ CTN]]="","",TRUE)</f>
        <v/>
      </c>
      <c r="AW83" s="25" t="str">
        <f ca="1">IF(NOTA[[#This Row],[ID_H]]="","",IF(NOTA[[#This Row],[Column3]]=TRUE,NOTA[[#This Row],[QTY/ CTN]],INDEX([3]!db[QTY/ CTN],NOTA[[#This Row],[//DB]])))</f>
        <v/>
      </c>
      <c r="AX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" s="25" t="str">
        <f ca="1">IF(NOTA[[#This Row],[ID_H]]="","",MATCH(NOTA[[#This Row],[NB NOTA_C_QTY]],[3]!db[NB NOTA_C_QTY+F],0))</f>
        <v/>
      </c>
      <c r="AZ83" s="38" t="str">
        <f ca="1">IF(NOTA[[#This Row],[NB NOTA_C_QTY]]="","",ROW()-2)</f>
        <v/>
      </c>
    </row>
    <row r="84" spans="1:52" ht="20.100000000000001" customHeight="1">
      <c r="A84" s="28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YUS_0506_105-10</v>
      </c>
      <c r="D84" s="25">
        <f ca="1">IF(NOTA[[#This Row],[NAMA BARANG]]="","",INDEX(NOTA[ID],MATCH(,INDIRECT(ADDRESS(ROW(NOTA[ID]),COLUMN(NOTA[ID]))&amp;":"&amp;ADDRESS(ROW(),COLUMN(NOTA[ID]))),-1)))</f>
        <v>22</v>
      </c>
      <c r="E84" s="33"/>
      <c r="F84" s="25" t="s">
        <v>290</v>
      </c>
      <c r="G84" s="25" t="s">
        <v>109</v>
      </c>
      <c r="H84" s="34" t="s">
        <v>291</v>
      </c>
      <c r="J84" s="26">
        <v>45443</v>
      </c>
      <c r="L84" s="25" t="s">
        <v>314</v>
      </c>
      <c r="M84" s="27">
        <v>2</v>
      </c>
      <c r="N84" s="25">
        <v>48</v>
      </c>
      <c r="O84" s="25" t="s">
        <v>111</v>
      </c>
      <c r="P84" s="28">
        <v>32500</v>
      </c>
      <c r="Q84" s="29"/>
      <c r="R84" s="35" t="s">
        <v>292</v>
      </c>
      <c r="S84" s="36">
        <v>0.2</v>
      </c>
      <c r="V84" s="37"/>
      <c r="W84" s="32"/>
      <c r="X84" s="37">
        <f>IF(NOTA[[#This Row],[HARGA/ CTN]]="",NOTA[[#This Row],[JUMLAH_H]],NOTA[[#This Row],[HARGA/ CTN]]*IF(NOTA[[#This Row],[C]]="",0,NOTA[[#This Row],[C]]))</f>
        <v>1560000</v>
      </c>
      <c r="Y84" s="37">
        <f>IF(NOTA[[#This Row],[JUMLAH]]="","",NOTA[[#This Row],[JUMLAH]]*NOTA[[#This Row],[DISC 1]])</f>
        <v>312000</v>
      </c>
      <c r="Z84" s="37">
        <f>IF(NOTA[[#This Row],[JUMLAH]]="","",(NOTA[[#This Row],[JUMLAH]]-NOTA[[#This Row],[DISC 1-]])*NOTA[[#This Row],[DISC 2]])</f>
        <v>0</v>
      </c>
      <c r="AA84" s="37">
        <f>IF(NOTA[[#This Row],[JUMLAH]]="","",(NOTA[[#This Row],[JUMLAH]]-NOTA[[#This Row],[DISC 1-]]-NOTA[[#This Row],[DISC 2-]])*NOTA[[#This Row],[DISC 3]])</f>
        <v>0</v>
      </c>
      <c r="AB84" s="37">
        <f>IF(NOTA[[#This Row],[JUMLAH]]="","",NOTA[[#This Row],[DISC 1-]]+NOTA[[#This Row],[DISC 2-]]+NOTA[[#This Row],[DISC 3-]])</f>
        <v>312000</v>
      </c>
      <c r="AC84" s="37">
        <f>IF(NOTA[[#This Row],[JUMLAH]]="","",NOTA[[#This Row],[JUMLAH]]-NOTA[[#This Row],[DISC]])</f>
        <v>1248000</v>
      </c>
      <c r="AD84" s="37"/>
      <c r="AE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H84" s="37">
        <f>IF(OR(NOTA[[#This Row],[QTY]]="",NOTA[[#This Row],[HARGA SATUAN]]="",),"",NOTA[[#This Row],[QTY]]*NOTA[[#This Row],[HARGA SATUAN]])</f>
        <v>1560000</v>
      </c>
      <c r="AI84" s="26">
        <f ca="1">IF(NOTA[[#This Row],[ID_H]]="","",INDEX(NOTA[TANGGAL],MATCH(,INDIRECT(ADDRESS(ROW(NOTA[TANGGAL]),COLUMN(NOTA[TANGGAL]))&amp;":"&amp;ADDRESS(ROW(),COLUMN(NOTA[TANGGAL]))),-1)))</f>
        <v>45448</v>
      </c>
      <c r="AJ84" s="26">
        <f ca="1">IF(NOTA[[#This Row],[ID_H]]="","",INDEX(NOTA[TGL.NOTA],MATCH(,INDIRECT(ADDRESS(ROW(NOTA[TGL.NOTA]),COLUMN(NOTA[TGL.NOTA]))&amp;":"&amp;ADDRESS(ROW(),COLUMN(NOTA[TGL.NOTA]))),-1)))</f>
        <v>45443</v>
      </c>
      <c r="AK84" s="26" t="str">
        <f ca="1">IF(NOTA[[#This Row],[ID_H]]="","",INDEX(NOTA[NO.NOTA],MATCH(NOTA[[#This Row],[ID_H]],NOTA[ID_H],0)))</f>
        <v>24/YS/V/105</v>
      </c>
      <c r="AL84" s="28" t="str">
        <f ca="1">IF(NOTA[[#This Row],[NAMA BARANG]]="","",INDEX(NOTA[SUPPLIER],MATCH(,INDIRECT(ADDRESS(ROW(NOTA[ID]),COLUMN(NOTA[ID]))&amp;":"&amp;ADDRESS(ROW(),COLUMN(NOTA[ID]))),-1)))</f>
        <v>YUSHINCA</v>
      </c>
      <c r="AM84" s="28" t="str">
        <f ca="1">IF(NOTA[[#This Row],[ID_H]]="","",IF(NOTA[[#This Row],[FAKTUR]]="",INDIRECT(ADDRESS(ROW()-1,COLUMN())),NOTA[[#This Row],[FAKTUR]]))</f>
        <v>UNTANA</v>
      </c>
      <c r="AN84" s="25">
        <f ca="1">IF(NOTA[[#This Row],[ID]]="","",COUNTIF(NOTA[ID_H],NOTA[[#This Row],[ID_H]]))</f>
        <v>10</v>
      </c>
      <c r="AO84" s="25">
        <f>IF(NOTA[[#This Row],[TGL.NOTA]]="",IF(NOTA[[#This Row],[SUPPLIER_H]]="","",AO83),MONTH(NOTA[[#This Row],[TGL.NOTA]]))</f>
        <v>5</v>
      </c>
      <c r="AP84" s="25" t="str">
        <f>LOWER(SUBSTITUTE(SUBSTITUTE(SUBSTITUTE(SUBSTITUTE(SUBSTITUTE(SUBSTITUTE(SUBSTITUTE(SUBSTITUTE(SUBSTITUTE(NOTA[[#This Row],[NAMA BARANG]]," ",),".",""),"-",""),"(",""),")",""),",",""),"/",""),"""",""),"+",""))</f>
        <v>dokumenkeeperdk40biru</v>
      </c>
      <c r="AQ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dokumenkeeperdk40biru7800000,2</v>
      </c>
      <c r="AR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dokumenkeeperdk40biru7800000,2</v>
      </c>
      <c r="AS84" s="25" t="str">
        <f>IF(NOTA[[#This Row],[SUPPLIER]]="","",NOTA[[#This Row],[SUPPLIER]]&amp;NOTA[[#This Row],[FAKTUR]]&amp;NOTA[[#This Row],[NO.NOTA]]&amp;NOTA[[#This Row],[NO.SJ]]&amp;NOTA[[#This Row],[TGL.NOTA]]&amp;NOTA[[#This Row],[CONCAT1]])</f>
        <v>YUSHINCAUNTANA24/YS/V/10545443dokumenkeeperdk40biru</v>
      </c>
      <c r="AT84" s="25"/>
      <c r="AU84" s="25">
        <f>IF(NOTA[[#This Row],[CONCAT1]]="","",MATCH(NOTA[[#This Row],[CONCAT1]],[3]!db[NB NOTA_C],0))</f>
        <v>886</v>
      </c>
      <c r="AV84" s="25" t="b">
        <f>IF(NOTA[[#This Row],[QTY/ CTN]]="","",TRUE)</f>
        <v>1</v>
      </c>
      <c r="AW84" s="25" t="str">
        <f ca="1">IF(NOTA[[#This Row],[ID_H]]="","",IF(NOTA[[#This Row],[Column3]]=TRUE,NOTA[[#This Row],[QTY/ CTN]],INDEX([3]!db[QTY/ CTN],NOTA[[#This Row],[//DB]])))</f>
        <v>24 PCS</v>
      </c>
      <c r="AX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dokumenkeeperdk40biru24pcsuntana</v>
      </c>
      <c r="AY84" s="25">
        <f ca="1">IF(NOTA[[#This Row],[ID_H]]="","",MATCH(NOTA[[#This Row],[NB NOTA_C_QTY]],[3]!db[NB NOTA_C_QTY+F],0))</f>
        <v>886</v>
      </c>
      <c r="AZ84" s="38">
        <f ca="1">IF(NOTA[[#This Row],[NB NOTA_C_QTY]]="","",ROW()-2)</f>
        <v>82</v>
      </c>
    </row>
    <row r="85" spans="1:52" ht="20.100000000000001" customHeight="1">
      <c r="A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" s="25">
        <f ca="1">IF(NOTA[[#This Row],[NAMA BARANG]]="","",INDEX(NOTA[ID],MATCH(,INDIRECT(ADDRESS(ROW(NOTA[ID]),COLUMN(NOTA[ID]))&amp;":"&amp;ADDRESS(ROW(),COLUMN(NOTA[ID]))),-1)))</f>
        <v>22</v>
      </c>
      <c r="E85" s="33"/>
      <c r="H85" s="34"/>
      <c r="L85" s="25" t="s">
        <v>315</v>
      </c>
      <c r="M85" s="27">
        <v>3</v>
      </c>
      <c r="N85" s="25">
        <f>24*3</f>
        <v>72</v>
      </c>
      <c r="O85" s="25" t="s">
        <v>111</v>
      </c>
      <c r="P85" s="28">
        <v>32500</v>
      </c>
      <c r="Q85" s="29"/>
      <c r="R85" s="35" t="s">
        <v>292</v>
      </c>
      <c r="S85" s="36">
        <v>0.2</v>
      </c>
      <c r="V85" s="37"/>
      <c r="W85" s="32"/>
      <c r="X85" s="37">
        <f>IF(NOTA[[#This Row],[HARGA/ CTN]]="",NOTA[[#This Row],[JUMLAH_H]],NOTA[[#This Row],[HARGA/ CTN]]*IF(NOTA[[#This Row],[C]]="",0,NOTA[[#This Row],[C]]))</f>
        <v>2340000</v>
      </c>
      <c r="Y85" s="37">
        <f>IF(NOTA[[#This Row],[JUMLAH]]="","",NOTA[[#This Row],[JUMLAH]]*NOTA[[#This Row],[DISC 1]])</f>
        <v>468000</v>
      </c>
      <c r="Z85" s="37">
        <f>IF(NOTA[[#This Row],[JUMLAH]]="","",(NOTA[[#This Row],[JUMLAH]]-NOTA[[#This Row],[DISC 1-]])*NOTA[[#This Row],[DISC 2]])</f>
        <v>0</v>
      </c>
      <c r="AA85" s="37">
        <f>IF(NOTA[[#This Row],[JUMLAH]]="","",(NOTA[[#This Row],[JUMLAH]]-NOTA[[#This Row],[DISC 1-]]-NOTA[[#This Row],[DISC 2-]])*NOTA[[#This Row],[DISC 3]])</f>
        <v>0</v>
      </c>
      <c r="AB85" s="37">
        <f>IF(NOTA[[#This Row],[JUMLAH]]="","",NOTA[[#This Row],[DISC 1-]]+NOTA[[#This Row],[DISC 2-]]+NOTA[[#This Row],[DISC 3-]])</f>
        <v>468000</v>
      </c>
      <c r="AC85" s="37">
        <f>IF(NOTA[[#This Row],[JUMLAH]]="","",NOTA[[#This Row],[JUMLAH]]-NOTA[[#This Row],[DISC]])</f>
        <v>1872000</v>
      </c>
      <c r="AD85" s="37"/>
      <c r="AE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H85" s="37">
        <f>IF(OR(NOTA[[#This Row],[QTY]]="",NOTA[[#This Row],[HARGA SATUAN]]="",),"",NOTA[[#This Row],[QTY]]*NOTA[[#This Row],[HARGA SATUAN]])</f>
        <v>2340000</v>
      </c>
      <c r="AI85" s="26">
        <f ca="1">IF(NOTA[[#This Row],[ID_H]]="","",INDEX(NOTA[TANGGAL],MATCH(,INDIRECT(ADDRESS(ROW(NOTA[TANGGAL]),COLUMN(NOTA[TANGGAL]))&amp;":"&amp;ADDRESS(ROW(),COLUMN(NOTA[TANGGAL]))),-1)))</f>
        <v>45448</v>
      </c>
      <c r="AJ85" s="26">
        <f ca="1">IF(NOTA[[#This Row],[ID_H]]="","",INDEX(NOTA[TGL.NOTA],MATCH(,INDIRECT(ADDRESS(ROW(NOTA[TGL.NOTA]),COLUMN(NOTA[TGL.NOTA]))&amp;":"&amp;ADDRESS(ROW(),COLUMN(NOTA[TGL.NOTA]))),-1)))</f>
        <v>45443</v>
      </c>
      <c r="AK85" s="26" t="str">
        <f ca="1">IF(NOTA[[#This Row],[ID_H]]="","",INDEX(NOTA[NO.NOTA],MATCH(NOTA[[#This Row],[ID_H]],NOTA[ID_H],0)))</f>
        <v>24/YS/V/105</v>
      </c>
      <c r="AL85" s="28" t="str">
        <f ca="1">IF(NOTA[[#This Row],[NAMA BARANG]]="","",INDEX(NOTA[SUPPLIER],MATCH(,INDIRECT(ADDRESS(ROW(NOTA[ID]),COLUMN(NOTA[ID]))&amp;":"&amp;ADDRESS(ROW(),COLUMN(NOTA[ID]))),-1)))</f>
        <v>YUSHINCA</v>
      </c>
      <c r="AM85" s="28" t="str">
        <f ca="1">IF(NOTA[[#This Row],[ID_H]]="","",IF(NOTA[[#This Row],[FAKTUR]]="",INDIRECT(ADDRESS(ROW()-1,COLUMN())),NOTA[[#This Row],[FAKTUR]]))</f>
        <v>UNTANA</v>
      </c>
      <c r="AN85" s="25" t="str">
        <f ca="1">IF(NOTA[[#This Row],[ID]]="","",COUNTIF(NOTA[ID_H],NOTA[[#This Row],[ID_H]]))</f>
        <v/>
      </c>
      <c r="AO85" s="25">
        <f ca="1">IF(NOTA[[#This Row],[TGL.NOTA]]="",IF(NOTA[[#This Row],[SUPPLIER_H]]="","",AO84),MONTH(NOTA[[#This Row],[TGL.NOTA]]))</f>
        <v>5</v>
      </c>
      <c r="AP85" s="25" t="str">
        <f>LOWER(SUBSTITUTE(SUBSTITUTE(SUBSTITUTE(SUBSTITUTE(SUBSTITUTE(SUBSTITUTE(SUBSTITUTE(SUBSTITUTE(SUBSTITUTE(NOTA[[#This Row],[NAMA BARANG]]," ",),".",""),"-",""),"(",""),")",""),",",""),"/",""),"""",""),"+",""))</f>
        <v>dokumenkeeperdk40hitam</v>
      </c>
      <c r="AQ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dokumenkeeperdk40hitam7800000,2</v>
      </c>
      <c r="AR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dokumenkeeperdk40hitam7800000,2</v>
      </c>
      <c r="AS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" s="25"/>
      <c r="AU85" s="25">
        <f>IF(NOTA[[#This Row],[CONCAT1]]="","",MATCH(NOTA[[#This Row],[CONCAT1]],[3]!db[NB NOTA_C],0))</f>
        <v>888</v>
      </c>
      <c r="AV85" s="25" t="b">
        <f>IF(NOTA[[#This Row],[QTY/ CTN]]="","",TRUE)</f>
        <v>1</v>
      </c>
      <c r="AW85" s="25" t="str">
        <f ca="1">IF(NOTA[[#This Row],[ID_H]]="","",IF(NOTA[[#This Row],[Column3]]=TRUE,NOTA[[#This Row],[QTY/ CTN]],INDEX([3]!db[QTY/ CTN],NOTA[[#This Row],[//DB]])))</f>
        <v>24 PCS</v>
      </c>
      <c r="AX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dokumenkeeperdk40hitam24pcsuntana</v>
      </c>
      <c r="AY85" s="25">
        <f ca="1">IF(NOTA[[#This Row],[ID_H]]="","",MATCH(NOTA[[#This Row],[NB NOTA_C_QTY]],[3]!db[NB NOTA_C_QTY+F],0))</f>
        <v>888</v>
      </c>
      <c r="AZ85" s="38">
        <f ca="1">IF(NOTA[[#This Row],[NB NOTA_C_QTY]]="","",ROW()-2)</f>
        <v>83</v>
      </c>
    </row>
    <row r="86" spans="1:52" ht="20.100000000000001" customHeight="1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" s="25">
        <f ca="1">IF(NOTA[[#This Row],[NAMA BARANG]]="","",INDEX(NOTA[ID],MATCH(,INDIRECT(ADDRESS(ROW(NOTA[ID]),COLUMN(NOTA[ID]))&amp;":"&amp;ADDRESS(ROW(),COLUMN(NOTA[ID]))),-1)))</f>
        <v>22</v>
      </c>
      <c r="E86" s="33"/>
      <c r="H86" s="34"/>
      <c r="L86" s="25" t="s">
        <v>316</v>
      </c>
      <c r="M86" s="27">
        <v>1</v>
      </c>
      <c r="N86" s="25">
        <v>24</v>
      </c>
      <c r="O86" s="25" t="s">
        <v>111</v>
      </c>
      <c r="P86" s="28">
        <v>32500</v>
      </c>
      <c r="Q86" s="29"/>
      <c r="R86" s="35" t="s">
        <v>292</v>
      </c>
      <c r="S86" s="36">
        <v>0.2</v>
      </c>
      <c r="V86" s="37"/>
      <c r="W86" s="32"/>
      <c r="X86" s="37">
        <f>IF(NOTA[[#This Row],[HARGA/ CTN]]="",NOTA[[#This Row],[JUMLAH_H]],NOTA[[#This Row],[HARGA/ CTN]]*IF(NOTA[[#This Row],[C]]="",0,NOTA[[#This Row],[C]]))</f>
        <v>780000</v>
      </c>
      <c r="Y86" s="37">
        <f>IF(NOTA[[#This Row],[JUMLAH]]="","",NOTA[[#This Row],[JUMLAH]]*NOTA[[#This Row],[DISC 1]])</f>
        <v>156000</v>
      </c>
      <c r="Z86" s="37">
        <f>IF(NOTA[[#This Row],[JUMLAH]]="","",(NOTA[[#This Row],[JUMLAH]]-NOTA[[#This Row],[DISC 1-]])*NOTA[[#This Row],[DISC 2]])</f>
        <v>0</v>
      </c>
      <c r="AA86" s="37">
        <f>IF(NOTA[[#This Row],[JUMLAH]]="","",(NOTA[[#This Row],[JUMLAH]]-NOTA[[#This Row],[DISC 1-]]-NOTA[[#This Row],[DISC 2-]])*NOTA[[#This Row],[DISC 3]])</f>
        <v>0</v>
      </c>
      <c r="AB86" s="37">
        <f>IF(NOTA[[#This Row],[JUMLAH]]="","",NOTA[[#This Row],[DISC 1-]]+NOTA[[#This Row],[DISC 2-]]+NOTA[[#This Row],[DISC 3-]])</f>
        <v>156000</v>
      </c>
      <c r="AC86" s="37">
        <f>IF(NOTA[[#This Row],[JUMLAH]]="","",NOTA[[#This Row],[JUMLAH]]-NOTA[[#This Row],[DISC]])</f>
        <v>624000</v>
      </c>
      <c r="AD86" s="37"/>
      <c r="AE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H86" s="37">
        <f>IF(OR(NOTA[[#This Row],[QTY]]="",NOTA[[#This Row],[HARGA SATUAN]]="",),"",NOTA[[#This Row],[QTY]]*NOTA[[#This Row],[HARGA SATUAN]])</f>
        <v>780000</v>
      </c>
      <c r="AI86" s="26">
        <f ca="1">IF(NOTA[[#This Row],[ID_H]]="","",INDEX(NOTA[TANGGAL],MATCH(,INDIRECT(ADDRESS(ROW(NOTA[TANGGAL]),COLUMN(NOTA[TANGGAL]))&amp;":"&amp;ADDRESS(ROW(),COLUMN(NOTA[TANGGAL]))),-1)))</f>
        <v>45448</v>
      </c>
      <c r="AJ86" s="26">
        <f ca="1">IF(NOTA[[#This Row],[ID_H]]="","",INDEX(NOTA[TGL.NOTA],MATCH(,INDIRECT(ADDRESS(ROW(NOTA[TGL.NOTA]),COLUMN(NOTA[TGL.NOTA]))&amp;":"&amp;ADDRESS(ROW(),COLUMN(NOTA[TGL.NOTA]))),-1)))</f>
        <v>45443</v>
      </c>
      <c r="AK86" s="26" t="str">
        <f ca="1">IF(NOTA[[#This Row],[ID_H]]="","",INDEX(NOTA[NO.NOTA],MATCH(NOTA[[#This Row],[ID_H]],NOTA[ID_H],0)))</f>
        <v>24/YS/V/105</v>
      </c>
      <c r="AL86" s="28" t="str">
        <f ca="1">IF(NOTA[[#This Row],[NAMA BARANG]]="","",INDEX(NOTA[SUPPLIER],MATCH(,INDIRECT(ADDRESS(ROW(NOTA[ID]),COLUMN(NOTA[ID]))&amp;":"&amp;ADDRESS(ROW(),COLUMN(NOTA[ID]))),-1)))</f>
        <v>YUSHINCA</v>
      </c>
      <c r="AM86" s="28" t="str">
        <f ca="1">IF(NOTA[[#This Row],[ID_H]]="","",IF(NOTA[[#This Row],[FAKTUR]]="",INDIRECT(ADDRESS(ROW()-1,COLUMN())),NOTA[[#This Row],[FAKTUR]]))</f>
        <v>UNTANA</v>
      </c>
      <c r="AN86" s="25" t="str">
        <f ca="1">IF(NOTA[[#This Row],[ID]]="","",COUNTIF(NOTA[ID_H],NOTA[[#This Row],[ID_H]]))</f>
        <v/>
      </c>
      <c r="AO86" s="25">
        <f ca="1">IF(NOTA[[#This Row],[TGL.NOTA]]="",IF(NOTA[[#This Row],[SUPPLIER_H]]="","",AO85),MONTH(NOTA[[#This Row],[TGL.NOTA]]))</f>
        <v>5</v>
      </c>
      <c r="AP86" s="25" t="str">
        <f>LOWER(SUBSTITUTE(SUBSTITUTE(SUBSTITUTE(SUBSTITUTE(SUBSTITUTE(SUBSTITUTE(SUBSTITUTE(SUBSTITUTE(SUBSTITUTE(NOTA[[#This Row],[NAMA BARANG]]," ",),".",""),"-",""),"(",""),")",""),",",""),"/",""),"""",""),"+",""))</f>
        <v>dokumenkeeperdk40merah</v>
      </c>
      <c r="AQ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dokumenkeeperdk40merah7800000,2</v>
      </c>
      <c r="AR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dokumenkeeperdk40merah7800000,2</v>
      </c>
      <c r="AS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" s="25"/>
      <c r="AU86" s="25">
        <f>IF(NOTA[[#This Row],[CONCAT1]]="","",MATCH(NOTA[[#This Row],[CONCAT1]],[3]!db[NB NOTA_C],0))</f>
        <v>889</v>
      </c>
      <c r="AV86" s="25" t="b">
        <f>IF(NOTA[[#This Row],[QTY/ CTN]]="","",TRUE)</f>
        <v>1</v>
      </c>
      <c r="AW86" s="25" t="str">
        <f ca="1">IF(NOTA[[#This Row],[ID_H]]="","",IF(NOTA[[#This Row],[Column3]]=TRUE,NOTA[[#This Row],[QTY/ CTN]],INDEX([3]!db[QTY/ CTN],NOTA[[#This Row],[//DB]])))</f>
        <v>24 PCS</v>
      </c>
      <c r="AX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dokumenkeeperdk40merah24pcsuntana</v>
      </c>
      <c r="AY86" s="25">
        <f ca="1">IF(NOTA[[#This Row],[ID_H]]="","",MATCH(NOTA[[#This Row],[NB NOTA_C_QTY]],[3]!db[NB NOTA_C_QTY+F],0))</f>
        <v>889</v>
      </c>
      <c r="AZ86" s="38">
        <f ca="1">IF(NOTA[[#This Row],[NB NOTA_C_QTY]]="","",ROW()-2)</f>
        <v>84</v>
      </c>
    </row>
    <row r="87" spans="1:52" ht="20.100000000000001" customHeight="1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" s="25">
        <f ca="1">IF(NOTA[[#This Row],[NAMA BARANG]]="","",INDEX(NOTA[ID],MATCH(,INDIRECT(ADDRESS(ROW(NOTA[ID]),COLUMN(NOTA[ID]))&amp;":"&amp;ADDRESS(ROW(),COLUMN(NOTA[ID]))),-1)))</f>
        <v>22</v>
      </c>
      <c r="E87" s="33"/>
      <c r="H87" s="34"/>
      <c r="L87" s="25" t="s">
        <v>314</v>
      </c>
      <c r="N87" s="25">
        <v>16</v>
      </c>
      <c r="O87" s="25" t="s">
        <v>111</v>
      </c>
      <c r="P87" s="28">
        <v>32500</v>
      </c>
      <c r="Q87" s="29"/>
      <c r="R87" s="35"/>
      <c r="S87" s="36">
        <v>0.2</v>
      </c>
      <c r="V87" s="37"/>
      <c r="W87" s="32"/>
      <c r="X87" s="37">
        <f>IF(NOTA[[#This Row],[HARGA/ CTN]]="",NOTA[[#This Row],[JUMLAH_H]],NOTA[[#This Row],[HARGA/ CTN]]*IF(NOTA[[#This Row],[C]]="",0,NOTA[[#This Row],[C]]))</f>
        <v>520000</v>
      </c>
      <c r="Y87" s="37">
        <f>IF(NOTA[[#This Row],[JUMLAH]]="","",NOTA[[#This Row],[JUMLAH]]*NOTA[[#This Row],[DISC 1]])</f>
        <v>104000</v>
      </c>
      <c r="Z87" s="37">
        <f>IF(NOTA[[#This Row],[JUMLAH]]="","",(NOTA[[#This Row],[JUMLAH]]-NOTA[[#This Row],[DISC 1-]])*NOTA[[#This Row],[DISC 2]])</f>
        <v>0</v>
      </c>
      <c r="AA87" s="37">
        <f>IF(NOTA[[#This Row],[JUMLAH]]="","",(NOTA[[#This Row],[JUMLAH]]-NOTA[[#This Row],[DISC 1-]]-NOTA[[#This Row],[DISC 2-]])*NOTA[[#This Row],[DISC 3]])</f>
        <v>0</v>
      </c>
      <c r="AB87" s="37">
        <f>IF(NOTA[[#This Row],[JUMLAH]]="","",NOTA[[#This Row],[DISC 1-]]+NOTA[[#This Row],[DISC 2-]]+NOTA[[#This Row],[DISC 3-]])</f>
        <v>104000</v>
      </c>
      <c r="AC87" s="37">
        <f>IF(NOTA[[#This Row],[JUMLAH]]="","",NOTA[[#This Row],[JUMLAH]]-NOTA[[#This Row],[DISC]])</f>
        <v>416000</v>
      </c>
      <c r="AD87" s="37"/>
      <c r="AE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" s="28">
        <f>IF(NOTA[[#This Row],[NAMA BARANG]]="","",IF(NOTA[[#This Row],[JUMLAH_H]]="",NOTA[[#This Row],[HARGA/ CTN]],NOTA[[#This Row],[QTY]]*NOTA[[#This Row],[HARGA SATUAN]]/IF(ISNUMBER(NOTA[[#This Row],[C]]),NOTA[[#This Row],[C]],1)))</f>
        <v>520000</v>
      </c>
      <c r="AH87" s="37">
        <f>IF(OR(NOTA[[#This Row],[QTY]]="",NOTA[[#This Row],[HARGA SATUAN]]="",),"",NOTA[[#This Row],[QTY]]*NOTA[[#This Row],[HARGA SATUAN]])</f>
        <v>520000</v>
      </c>
      <c r="AI87" s="26">
        <f ca="1">IF(NOTA[[#This Row],[ID_H]]="","",INDEX(NOTA[TANGGAL],MATCH(,INDIRECT(ADDRESS(ROW(NOTA[TANGGAL]),COLUMN(NOTA[TANGGAL]))&amp;":"&amp;ADDRESS(ROW(),COLUMN(NOTA[TANGGAL]))),-1)))</f>
        <v>45448</v>
      </c>
      <c r="AJ87" s="26">
        <f ca="1">IF(NOTA[[#This Row],[ID_H]]="","",INDEX(NOTA[TGL.NOTA],MATCH(,INDIRECT(ADDRESS(ROW(NOTA[TGL.NOTA]),COLUMN(NOTA[TGL.NOTA]))&amp;":"&amp;ADDRESS(ROW(),COLUMN(NOTA[TGL.NOTA]))),-1)))</f>
        <v>45443</v>
      </c>
      <c r="AK87" s="26" t="str">
        <f ca="1">IF(NOTA[[#This Row],[ID_H]]="","",INDEX(NOTA[NO.NOTA],MATCH(NOTA[[#This Row],[ID_H]],NOTA[ID_H],0)))</f>
        <v>24/YS/V/105</v>
      </c>
      <c r="AL87" s="28" t="str">
        <f ca="1">IF(NOTA[[#This Row],[NAMA BARANG]]="","",INDEX(NOTA[SUPPLIER],MATCH(,INDIRECT(ADDRESS(ROW(NOTA[ID]),COLUMN(NOTA[ID]))&amp;":"&amp;ADDRESS(ROW(),COLUMN(NOTA[ID]))),-1)))</f>
        <v>YUSHINCA</v>
      </c>
      <c r="AM87" s="28" t="str">
        <f ca="1">IF(NOTA[[#This Row],[ID_H]]="","",IF(NOTA[[#This Row],[FAKTUR]]="",INDIRECT(ADDRESS(ROW()-1,COLUMN())),NOTA[[#This Row],[FAKTUR]]))</f>
        <v>UNTANA</v>
      </c>
      <c r="AN87" s="25" t="str">
        <f ca="1">IF(NOTA[[#This Row],[ID]]="","",COUNTIF(NOTA[ID_H],NOTA[[#This Row],[ID_H]]))</f>
        <v/>
      </c>
      <c r="AO87" s="25">
        <f ca="1">IF(NOTA[[#This Row],[TGL.NOTA]]="",IF(NOTA[[#This Row],[SUPPLIER_H]]="","",AO86),MONTH(NOTA[[#This Row],[TGL.NOTA]]))</f>
        <v>5</v>
      </c>
      <c r="AP87" s="25" t="str">
        <f>LOWER(SUBSTITUTE(SUBSTITUTE(SUBSTITUTE(SUBSTITUTE(SUBSTITUTE(SUBSTITUTE(SUBSTITUTE(SUBSTITUTE(SUBSTITUTE(NOTA[[#This Row],[NAMA BARANG]]," ",),".",""),"-",""),"(",""),")",""),",",""),"/",""),"""",""),"+",""))</f>
        <v>dokumenkeeperdk40biru</v>
      </c>
      <c r="AQ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dokumenkeeperdk40biru5200000,2</v>
      </c>
      <c r="AR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dokumenkeeperdk40biru325000,2</v>
      </c>
      <c r="AS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" s="25"/>
      <c r="AU87" s="25">
        <f>IF(NOTA[[#This Row],[CONCAT1]]="","",MATCH(NOTA[[#This Row],[CONCAT1]],[3]!db[NB NOTA_C],0))</f>
        <v>886</v>
      </c>
      <c r="AV87" s="25" t="str">
        <f>IF(NOTA[[#This Row],[QTY/ CTN]]="","",TRUE)</f>
        <v/>
      </c>
      <c r="AW87" s="25" t="str">
        <f ca="1">IF(NOTA[[#This Row],[ID_H]]="","",IF(NOTA[[#This Row],[Column3]]=TRUE,NOTA[[#This Row],[QTY/ CTN]],INDEX([3]!db[QTY/ CTN],NOTA[[#This Row],[//DB]])))</f>
        <v>24 PCS</v>
      </c>
      <c r="AX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dokumenkeeperdk40biru24pcsuntana</v>
      </c>
      <c r="AY87" s="25">
        <f ca="1">IF(NOTA[[#This Row],[ID_H]]="","",MATCH(NOTA[[#This Row],[NB NOTA_C_QTY]],[3]!db[NB NOTA_C_QTY+F],0))</f>
        <v>886</v>
      </c>
      <c r="AZ87" s="38">
        <f ca="1">IF(NOTA[[#This Row],[NB NOTA_C_QTY]]="","",ROW()-2)</f>
        <v>85</v>
      </c>
    </row>
    <row r="88" spans="1:52" ht="20.100000000000001" customHeight="1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" s="25">
        <f ca="1">IF(NOTA[[#This Row],[NAMA BARANG]]="","",INDEX(NOTA[ID],MATCH(,INDIRECT(ADDRESS(ROW(NOTA[ID]),COLUMN(NOTA[ID]))&amp;":"&amp;ADDRESS(ROW(),COLUMN(NOTA[ID]))),-1)))</f>
        <v>22</v>
      </c>
      <c r="E88" s="33"/>
      <c r="H88" s="34"/>
      <c r="L88" s="25" t="s">
        <v>315</v>
      </c>
      <c r="N88" s="25">
        <v>16</v>
      </c>
      <c r="O88" s="25" t="s">
        <v>111</v>
      </c>
      <c r="P88" s="28">
        <v>32500</v>
      </c>
      <c r="Q88" s="29"/>
      <c r="R88" s="35"/>
      <c r="S88" s="36">
        <v>0.2</v>
      </c>
      <c r="V88" s="37"/>
      <c r="W88" s="32"/>
      <c r="X88" s="37">
        <f>IF(NOTA[[#This Row],[HARGA/ CTN]]="",NOTA[[#This Row],[JUMLAH_H]],NOTA[[#This Row],[HARGA/ CTN]]*IF(NOTA[[#This Row],[C]]="",0,NOTA[[#This Row],[C]]))</f>
        <v>520000</v>
      </c>
      <c r="Y88" s="37">
        <f>IF(NOTA[[#This Row],[JUMLAH]]="","",NOTA[[#This Row],[JUMLAH]]*NOTA[[#This Row],[DISC 1]])</f>
        <v>104000</v>
      </c>
      <c r="Z88" s="37">
        <f>IF(NOTA[[#This Row],[JUMLAH]]="","",(NOTA[[#This Row],[JUMLAH]]-NOTA[[#This Row],[DISC 1-]])*NOTA[[#This Row],[DISC 2]])</f>
        <v>0</v>
      </c>
      <c r="AA88" s="37">
        <f>IF(NOTA[[#This Row],[JUMLAH]]="","",(NOTA[[#This Row],[JUMLAH]]-NOTA[[#This Row],[DISC 1-]]-NOTA[[#This Row],[DISC 2-]])*NOTA[[#This Row],[DISC 3]])</f>
        <v>0</v>
      </c>
      <c r="AB88" s="37">
        <f>IF(NOTA[[#This Row],[JUMLAH]]="","",NOTA[[#This Row],[DISC 1-]]+NOTA[[#This Row],[DISC 2-]]+NOTA[[#This Row],[DISC 3-]])</f>
        <v>104000</v>
      </c>
      <c r="AC88" s="37">
        <f>IF(NOTA[[#This Row],[JUMLAH]]="","",NOTA[[#This Row],[JUMLAH]]-NOTA[[#This Row],[DISC]])</f>
        <v>416000</v>
      </c>
      <c r="AD88" s="37"/>
      <c r="AE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" s="28">
        <f>IF(NOTA[[#This Row],[NAMA BARANG]]="","",IF(NOTA[[#This Row],[JUMLAH_H]]="",NOTA[[#This Row],[HARGA/ CTN]],NOTA[[#This Row],[QTY]]*NOTA[[#This Row],[HARGA SATUAN]]/IF(ISNUMBER(NOTA[[#This Row],[C]]),NOTA[[#This Row],[C]],1)))</f>
        <v>520000</v>
      </c>
      <c r="AH88" s="37">
        <f>IF(OR(NOTA[[#This Row],[QTY]]="",NOTA[[#This Row],[HARGA SATUAN]]="",),"",NOTA[[#This Row],[QTY]]*NOTA[[#This Row],[HARGA SATUAN]])</f>
        <v>520000</v>
      </c>
      <c r="AI88" s="26">
        <f ca="1">IF(NOTA[[#This Row],[ID_H]]="","",INDEX(NOTA[TANGGAL],MATCH(,INDIRECT(ADDRESS(ROW(NOTA[TANGGAL]),COLUMN(NOTA[TANGGAL]))&amp;":"&amp;ADDRESS(ROW(),COLUMN(NOTA[TANGGAL]))),-1)))</f>
        <v>45448</v>
      </c>
      <c r="AJ88" s="26">
        <f ca="1">IF(NOTA[[#This Row],[ID_H]]="","",INDEX(NOTA[TGL.NOTA],MATCH(,INDIRECT(ADDRESS(ROW(NOTA[TGL.NOTA]),COLUMN(NOTA[TGL.NOTA]))&amp;":"&amp;ADDRESS(ROW(),COLUMN(NOTA[TGL.NOTA]))),-1)))</f>
        <v>45443</v>
      </c>
      <c r="AK88" s="26" t="str">
        <f ca="1">IF(NOTA[[#This Row],[ID_H]]="","",INDEX(NOTA[NO.NOTA],MATCH(NOTA[[#This Row],[ID_H]],NOTA[ID_H],0)))</f>
        <v>24/YS/V/105</v>
      </c>
      <c r="AL88" s="28" t="str">
        <f ca="1">IF(NOTA[[#This Row],[NAMA BARANG]]="","",INDEX(NOTA[SUPPLIER],MATCH(,INDIRECT(ADDRESS(ROW(NOTA[ID]),COLUMN(NOTA[ID]))&amp;":"&amp;ADDRESS(ROW(),COLUMN(NOTA[ID]))),-1)))</f>
        <v>YUSHINCA</v>
      </c>
      <c r="AM88" s="28" t="str">
        <f ca="1">IF(NOTA[[#This Row],[ID_H]]="","",IF(NOTA[[#This Row],[FAKTUR]]="",INDIRECT(ADDRESS(ROW()-1,COLUMN())),NOTA[[#This Row],[FAKTUR]]))</f>
        <v>UNTANA</v>
      </c>
      <c r="AN88" s="25" t="str">
        <f ca="1">IF(NOTA[[#This Row],[ID]]="","",COUNTIF(NOTA[ID_H],NOTA[[#This Row],[ID_H]]))</f>
        <v/>
      </c>
      <c r="AO88" s="25">
        <f ca="1">IF(NOTA[[#This Row],[TGL.NOTA]]="",IF(NOTA[[#This Row],[SUPPLIER_H]]="","",AO87),MONTH(NOTA[[#This Row],[TGL.NOTA]]))</f>
        <v>5</v>
      </c>
      <c r="AP88" s="25" t="str">
        <f>LOWER(SUBSTITUTE(SUBSTITUTE(SUBSTITUTE(SUBSTITUTE(SUBSTITUTE(SUBSTITUTE(SUBSTITUTE(SUBSTITUTE(SUBSTITUTE(NOTA[[#This Row],[NAMA BARANG]]," ",),".",""),"-",""),"(",""),")",""),",",""),"/",""),"""",""),"+",""))</f>
        <v>dokumenkeeperdk40hitam</v>
      </c>
      <c r="AQ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dokumenkeeperdk40hitam5200000,2</v>
      </c>
      <c r="AR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dokumenkeeperdk40hitam325000,2</v>
      </c>
      <c r="AS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" s="25"/>
      <c r="AU88" s="25">
        <f>IF(NOTA[[#This Row],[CONCAT1]]="","",MATCH(NOTA[[#This Row],[CONCAT1]],[3]!db[NB NOTA_C],0))</f>
        <v>888</v>
      </c>
      <c r="AV88" s="25" t="str">
        <f>IF(NOTA[[#This Row],[QTY/ CTN]]="","",TRUE)</f>
        <v/>
      </c>
      <c r="AW88" s="25" t="str">
        <f ca="1">IF(NOTA[[#This Row],[ID_H]]="","",IF(NOTA[[#This Row],[Column3]]=TRUE,NOTA[[#This Row],[QTY/ CTN]],INDEX([3]!db[QTY/ CTN],NOTA[[#This Row],[//DB]])))</f>
        <v>24 PCS</v>
      </c>
      <c r="AX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dokumenkeeperdk40hitam24pcsuntana</v>
      </c>
      <c r="AY88" s="25">
        <f ca="1">IF(NOTA[[#This Row],[ID_H]]="","",MATCH(NOTA[[#This Row],[NB NOTA_C_QTY]],[3]!db[NB NOTA_C_QTY+F],0))</f>
        <v>888</v>
      </c>
      <c r="AZ88" s="38">
        <f ca="1">IF(NOTA[[#This Row],[NB NOTA_C_QTY]]="","",ROW()-2)</f>
        <v>86</v>
      </c>
    </row>
    <row r="89" spans="1:52" ht="20.100000000000001" customHeight="1">
      <c r="A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" s="25">
        <f ca="1">IF(NOTA[[#This Row],[NAMA BARANG]]="","",INDEX(NOTA[ID],MATCH(,INDIRECT(ADDRESS(ROW(NOTA[ID]),COLUMN(NOTA[ID]))&amp;":"&amp;ADDRESS(ROW(),COLUMN(NOTA[ID]))),-1)))</f>
        <v>22</v>
      </c>
      <c r="E89" s="33"/>
      <c r="H89" s="34"/>
      <c r="L89" s="25" t="s">
        <v>316</v>
      </c>
      <c r="N89" s="25">
        <v>16</v>
      </c>
      <c r="O89" s="25" t="s">
        <v>111</v>
      </c>
      <c r="P89" s="28">
        <v>32500</v>
      </c>
      <c r="Q89" s="29"/>
      <c r="R89" s="35"/>
      <c r="S89" s="36">
        <v>0.2</v>
      </c>
      <c r="V89" s="37"/>
      <c r="W89" s="32"/>
      <c r="X89" s="37">
        <f>IF(NOTA[[#This Row],[HARGA/ CTN]]="",NOTA[[#This Row],[JUMLAH_H]],NOTA[[#This Row],[HARGA/ CTN]]*IF(NOTA[[#This Row],[C]]="",0,NOTA[[#This Row],[C]]))</f>
        <v>520000</v>
      </c>
      <c r="Y89" s="37">
        <f>IF(NOTA[[#This Row],[JUMLAH]]="","",NOTA[[#This Row],[JUMLAH]]*NOTA[[#This Row],[DISC 1]])</f>
        <v>104000</v>
      </c>
      <c r="Z89" s="37">
        <f>IF(NOTA[[#This Row],[JUMLAH]]="","",(NOTA[[#This Row],[JUMLAH]]-NOTA[[#This Row],[DISC 1-]])*NOTA[[#This Row],[DISC 2]])</f>
        <v>0</v>
      </c>
      <c r="AA89" s="37">
        <f>IF(NOTA[[#This Row],[JUMLAH]]="","",(NOTA[[#This Row],[JUMLAH]]-NOTA[[#This Row],[DISC 1-]]-NOTA[[#This Row],[DISC 2-]])*NOTA[[#This Row],[DISC 3]])</f>
        <v>0</v>
      </c>
      <c r="AB89" s="37">
        <f>IF(NOTA[[#This Row],[JUMLAH]]="","",NOTA[[#This Row],[DISC 1-]]+NOTA[[#This Row],[DISC 2-]]+NOTA[[#This Row],[DISC 3-]])</f>
        <v>104000</v>
      </c>
      <c r="AC89" s="37">
        <f>IF(NOTA[[#This Row],[JUMLAH]]="","",NOTA[[#This Row],[JUMLAH]]-NOTA[[#This Row],[DISC]])</f>
        <v>416000</v>
      </c>
      <c r="AD89" s="37"/>
      <c r="AE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" s="28">
        <f>IF(NOTA[[#This Row],[NAMA BARANG]]="","",IF(NOTA[[#This Row],[JUMLAH_H]]="",NOTA[[#This Row],[HARGA/ CTN]],NOTA[[#This Row],[QTY]]*NOTA[[#This Row],[HARGA SATUAN]]/IF(ISNUMBER(NOTA[[#This Row],[C]]),NOTA[[#This Row],[C]],1)))</f>
        <v>520000</v>
      </c>
      <c r="AH89" s="37">
        <f>IF(OR(NOTA[[#This Row],[QTY]]="",NOTA[[#This Row],[HARGA SATUAN]]="",),"",NOTA[[#This Row],[QTY]]*NOTA[[#This Row],[HARGA SATUAN]])</f>
        <v>520000</v>
      </c>
      <c r="AI89" s="26">
        <f ca="1">IF(NOTA[[#This Row],[ID_H]]="","",INDEX(NOTA[TANGGAL],MATCH(,INDIRECT(ADDRESS(ROW(NOTA[TANGGAL]),COLUMN(NOTA[TANGGAL]))&amp;":"&amp;ADDRESS(ROW(),COLUMN(NOTA[TANGGAL]))),-1)))</f>
        <v>45448</v>
      </c>
      <c r="AJ89" s="26">
        <f ca="1">IF(NOTA[[#This Row],[ID_H]]="","",INDEX(NOTA[TGL.NOTA],MATCH(,INDIRECT(ADDRESS(ROW(NOTA[TGL.NOTA]),COLUMN(NOTA[TGL.NOTA]))&amp;":"&amp;ADDRESS(ROW(),COLUMN(NOTA[TGL.NOTA]))),-1)))</f>
        <v>45443</v>
      </c>
      <c r="AK89" s="26" t="str">
        <f ca="1">IF(NOTA[[#This Row],[ID_H]]="","",INDEX(NOTA[NO.NOTA],MATCH(NOTA[[#This Row],[ID_H]],NOTA[ID_H],0)))</f>
        <v>24/YS/V/105</v>
      </c>
      <c r="AL89" s="28" t="str">
        <f ca="1">IF(NOTA[[#This Row],[NAMA BARANG]]="","",INDEX(NOTA[SUPPLIER],MATCH(,INDIRECT(ADDRESS(ROW(NOTA[ID]),COLUMN(NOTA[ID]))&amp;":"&amp;ADDRESS(ROW(),COLUMN(NOTA[ID]))),-1)))</f>
        <v>YUSHINCA</v>
      </c>
      <c r="AM89" s="28" t="str">
        <f ca="1">IF(NOTA[[#This Row],[ID_H]]="","",IF(NOTA[[#This Row],[FAKTUR]]="",INDIRECT(ADDRESS(ROW()-1,COLUMN())),NOTA[[#This Row],[FAKTUR]]))</f>
        <v>UNTANA</v>
      </c>
      <c r="AN89" s="25" t="str">
        <f ca="1">IF(NOTA[[#This Row],[ID]]="","",COUNTIF(NOTA[ID_H],NOTA[[#This Row],[ID_H]]))</f>
        <v/>
      </c>
      <c r="AO89" s="25">
        <f ca="1">IF(NOTA[[#This Row],[TGL.NOTA]]="",IF(NOTA[[#This Row],[SUPPLIER_H]]="","",AO88),MONTH(NOTA[[#This Row],[TGL.NOTA]]))</f>
        <v>5</v>
      </c>
      <c r="AP89" s="25" t="str">
        <f>LOWER(SUBSTITUTE(SUBSTITUTE(SUBSTITUTE(SUBSTITUTE(SUBSTITUTE(SUBSTITUTE(SUBSTITUTE(SUBSTITUTE(SUBSTITUTE(NOTA[[#This Row],[NAMA BARANG]]," ",),".",""),"-",""),"(",""),")",""),",",""),"/",""),"""",""),"+",""))</f>
        <v>dokumenkeeperdk40merah</v>
      </c>
      <c r="AQ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dokumenkeeperdk40merah5200000,2</v>
      </c>
      <c r="AR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dokumenkeeperdk40merah325000,2</v>
      </c>
      <c r="AS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" s="25"/>
      <c r="AU89" s="25">
        <f>IF(NOTA[[#This Row],[CONCAT1]]="","",MATCH(NOTA[[#This Row],[CONCAT1]],[3]!db[NB NOTA_C],0))</f>
        <v>889</v>
      </c>
      <c r="AV89" s="25" t="str">
        <f>IF(NOTA[[#This Row],[QTY/ CTN]]="","",TRUE)</f>
        <v/>
      </c>
      <c r="AW89" s="25" t="str">
        <f ca="1">IF(NOTA[[#This Row],[ID_H]]="","",IF(NOTA[[#This Row],[Column3]]=TRUE,NOTA[[#This Row],[QTY/ CTN]],INDEX([3]!db[QTY/ CTN],NOTA[[#This Row],[//DB]])))</f>
        <v>24 PCS</v>
      </c>
      <c r="AX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dokumenkeeperdk40merah24pcsuntana</v>
      </c>
      <c r="AY89" s="25">
        <f ca="1">IF(NOTA[[#This Row],[ID_H]]="","",MATCH(NOTA[[#This Row],[NB NOTA_C_QTY]],[3]!db[NB NOTA_C_QTY+F],0))</f>
        <v>889</v>
      </c>
      <c r="AZ89" s="38">
        <f ca="1">IF(NOTA[[#This Row],[NB NOTA_C_QTY]]="","",ROW()-2)</f>
        <v>87</v>
      </c>
    </row>
    <row r="90" spans="1:52" ht="20.100000000000001" customHeight="1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" s="25">
        <f ca="1">IF(NOTA[[#This Row],[NAMA BARANG]]="","",INDEX(NOTA[ID],MATCH(,INDIRECT(ADDRESS(ROW(NOTA[ID]),COLUMN(NOTA[ID]))&amp;":"&amp;ADDRESS(ROW(),COLUMN(NOTA[ID]))),-1)))</f>
        <v>22</v>
      </c>
      <c r="E90" s="33"/>
      <c r="H90" s="34"/>
      <c r="L90" s="61" t="s">
        <v>317</v>
      </c>
      <c r="M90" s="27">
        <v>2</v>
      </c>
      <c r="N90" s="25">
        <v>120</v>
      </c>
      <c r="O90" s="25" t="s">
        <v>111</v>
      </c>
      <c r="P90" s="28">
        <v>37500</v>
      </c>
      <c r="Q90" s="29"/>
      <c r="R90" s="35" t="s">
        <v>292</v>
      </c>
      <c r="S90" s="36">
        <v>0.2</v>
      </c>
      <c r="V90" s="37"/>
      <c r="W90" s="32"/>
      <c r="X90" s="37">
        <f>IF(NOTA[[#This Row],[HARGA/ CTN]]="",NOTA[[#This Row],[JUMLAH_H]],NOTA[[#This Row],[HARGA/ CTN]]*IF(NOTA[[#This Row],[C]]="",0,NOTA[[#This Row],[C]]))</f>
        <v>4500000</v>
      </c>
      <c r="Y90" s="37">
        <f>IF(NOTA[[#This Row],[JUMLAH]]="","",NOTA[[#This Row],[JUMLAH]]*NOTA[[#This Row],[DISC 1]])</f>
        <v>900000</v>
      </c>
      <c r="Z90" s="37">
        <f>IF(NOTA[[#This Row],[JUMLAH]]="","",(NOTA[[#This Row],[JUMLAH]]-NOTA[[#This Row],[DISC 1-]])*NOTA[[#This Row],[DISC 2]])</f>
        <v>0</v>
      </c>
      <c r="AA90" s="37">
        <f>IF(NOTA[[#This Row],[JUMLAH]]="","",(NOTA[[#This Row],[JUMLAH]]-NOTA[[#This Row],[DISC 1-]]-NOTA[[#This Row],[DISC 2-]])*NOTA[[#This Row],[DISC 3]])</f>
        <v>0</v>
      </c>
      <c r="AB90" s="37">
        <f>IF(NOTA[[#This Row],[JUMLAH]]="","",NOTA[[#This Row],[DISC 1-]]+NOTA[[#This Row],[DISC 2-]]+NOTA[[#This Row],[DISC 3-]])</f>
        <v>900000</v>
      </c>
      <c r="AC90" s="37">
        <f>IF(NOTA[[#This Row],[JUMLAH]]="","",NOTA[[#This Row],[JUMLAH]]-NOTA[[#This Row],[DISC]])</f>
        <v>3600000</v>
      </c>
      <c r="AD90" s="37"/>
      <c r="AE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H90" s="37">
        <f>IF(OR(NOTA[[#This Row],[QTY]]="",NOTA[[#This Row],[HARGA SATUAN]]="",),"",NOTA[[#This Row],[QTY]]*NOTA[[#This Row],[HARGA SATUAN]])</f>
        <v>4500000</v>
      </c>
      <c r="AI90" s="26">
        <f ca="1">IF(NOTA[[#This Row],[ID_H]]="","",INDEX(NOTA[TANGGAL],MATCH(,INDIRECT(ADDRESS(ROW(NOTA[TANGGAL]),COLUMN(NOTA[TANGGAL]))&amp;":"&amp;ADDRESS(ROW(),COLUMN(NOTA[TANGGAL]))),-1)))</f>
        <v>45448</v>
      </c>
      <c r="AJ90" s="26">
        <f ca="1">IF(NOTA[[#This Row],[ID_H]]="","",INDEX(NOTA[TGL.NOTA],MATCH(,INDIRECT(ADDRESS(ROW(NOTA[TGL.NOTA]),COLUMN(NOTA[TGL.NOTA]))&amp;":"&amp;ADDRESS(ROW(),COLUMN(NOTA[TGL.NOTA]))),-1)))</f>
        <v>45443</v>
      </c>
      <c r="AK90" s="26" t="str">
        <f ca="1">IF(NOTA[[#This Row],[ID_H]]="","",INDEX(NOTA[NO.NOTA],MATCH(NOTA[[#This Row],[ID_H]],NOTA[ID_H],0)))</f>
        <v>24/YS/V/105</v>
      </c>
      <c r="AL90" s="28" t="str">
        <f ca="1">IF(NOTA[[#This Row],[NAMA BARANG]]="","",INDEX(NOTA[SUPPLIER],MATCH(,INDIRECT(ADDRESS(ROW(NOTA[ID]),COLUMN(NOTA[ID]))&amp;":"&amp;ADDRESS(ROW(),COLUMN(NOTA[ID]))),-1)))</f>
        <v>YUSHINCA</v>
      </c>
      <c r="AM90" s="28" t="str">
        <f ca="1">IF(NOTA[[#This Row],[ID_H]]="","",IF(NOTA[[#This Row],[FAKTUR]]="",INDIRECT(ADDRESS(ROW()-1,COLUMN())),NOTA[[#This Row],[FAKTUR]]))</f>
        <v>UNTANA</v>
      </c>
      <c r="AN90" s="25" t="str">
        <f ca="1">IF(NOTA[[#This Row],[ID]]="","",COUNTIF(NOTA[ID_H],NOTA[[#This Row],[ID_H]]))</f>
        <v/>
      </c>
      <c r="AO90" s="25" t="e">
        <f ca="1">IF(NOTA[[#This Row],[TGL.NOTA]]="",IF(NOTA[[#This Row],[SUPPLIER_H]]="","",#REF!),MONTH(NOTA[[#This Row],[TGL.NOTA]]))</f>
        <v>#REF!</v>
      </c>
      <c r="AP90" s="25" t="str">
        <f>LOWER(SUBSTITUTE(SUBSTITUTE(SUBSTITUTE(SUBSTITUTE(SUBSTITUTE(SUBSTITUTE(SUBSTITUTE(SUBSTITUTE(SUBSTITUTE(NOTA[[#This Row],[NAMA BARANG]]," ",),".",""),"-",""),"(",""),")",""),",",""),"/",""),"""",""),"+",""))</f>
        <v>dokumenkeeperdk60hitam</v>
      </c>
      <c r="AQ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dokumenkeeperdk60hitam22500000,2</v>
      </c>
      <c r="AR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dokumenkeeperdk60hitam22500000,2</v>
      </c>
      <c r="AS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" s="25"/>
      <c r="AU90" s="25">
        <f>IF(NOTA[[#This Row],[CONCAT1]]="","",MATCH(NOTA[[#This Row],[CONCAT1]],[3]!db[NB NOTA_C],0))</f>
        <v>894</v>
      </c>
      <c r="AV90" s="25" t="b">
        <f>IF(NOTA[[#This Row],[QTY/ CTN]]="","",TRUE)</f>
        <v>1</v>
      </c>
      <c r="AW90" s="25" t="str">
        <f ca="1">IF(NOTA[[#This Row],[ID_H]]="","",IF(NOTA[[#This Row],[Column3]]=TRUE,NOTA[[#This Row],[QTY/ CTN]],INDEX([3]!db[QTY/ CTN],NOTA[[#This Row],[//DB]])))</f>
        <v>24 PCS</v>
      </c>
      <c r="AX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dokumenkeeperdk60hitam24pcsuntana</v>
      </c>
      <c r="AY90" s="25">
        <f ca="1">IF(NOTA[[#This Row],[ID_H]]="","",MATCH(NOTA[[#This Row],[NB NOTA_C_QTY]],[3]!db[NB NOTA_C_QTY+F],0))</f>
        <v>894</v>
      </c>
      <c r="AZ90" s="38">
        <f ca="1">IF(NOTA[[#This Row],[NB NOTA_C_QTY]]="","",ROW()-2)</f>
        <v>88</v>
      </c>
    </row>
    <row r="91" spans="1:52" ht="20.100000000000001" customHeight="1">
      <c r="A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" s="25">
        <f ca="1">IF(NOTA[[#This Row],[NAMA BARANG]]="","",INDEX(NOTA[ID],MATCH(,INDIRECT(ADDRESS(ROW(NOTA[ID]),COLUMN(NOTA[ID]))&amp;":"&amp;ADDRESS(ROW(),COLUMN(NOTA[ID]))),-1)))</f>
        <v>22</v>
      </c>
      <c r="E91" s="33"/>
      <c r="H91" s="34"/>
      <c r="L91" s="61" t="s">
        <v>317</v>
      </c>
      <c r="N91" s="25">
        <v>23</v>
      </c>
      <c r="O91" s="25" t="s">
        <v>111</v>
      </c>
      <c r="P91" s="28">
        <v>37500</v>
      </c>
      <c r="Q91" s="29"/>
      <c r="R91" s="35" t="s">
        <v>292</v>
      </c>
      <c r="S91" s="36">
        <v>0.2</v>
      </c>
      <c r="V91" s="37"/>
      <c r="W91" s="32"/>
      <c r="X91" s="37">
        <f>IF(NOTA[[#This Row],[HARGA/ CTN]]="",NOTA[[#This Row],[JUMLAH_H]],NOTA[[#This Row],[HARGA/ CTN]]*IF(NOTA[[#This Row],[C]]="",0,NOTA[[#This Row],[C]]))</f>
        <v>862500</v>
      </c>
      <c r="Y91" s="37">
        <f>IF(NOTA[[#This Row],[JUMLAH]]="","",NOTA[[#This Row],[JUMLAH]]*NOTA[[#This Row],[DISC 1]])</f>
        <v>172500</v>
      </c>
      <c r="Z91" s="37">
        <f>IF(NOTA[[#This Row],[JUMLAH]]="","",(NOTA[[#This Row],[JUMLAH]]-NOTA[[#This Row],[DISC 1-]])*NOTA[[#This Row],[DISC 2]])</f>
        <v>0</v>
      </c>
      <c r="AA91" s="37">
        <f>IF(NOTA[[#This Row],[JUMLAH]]="","",(NOTA[[#This Row],[JUMLAH]]-NOTA[[#This Row],[DISC 1-]]-NOTA[[#This Row],[DISC 2-]])*NOTA[[#This Row],[DISC 3]])</f>
        <v>0</v>
      </c>
      <c r="AB91" s="37">
        <f>IF(NOTA[[#This Row],[JUMLAH]]="","",NOTA[[#This Row],[DISC 1-]]+NOTA[[#This Row],[DISC 2-]]+NOTA[[#This Row],[DISC 3-]])</f>
        <v>172500</v>
      </c>
      <c r="AC91" s="37">
        <f>IF(NOTA[[#This Row],[JUMLAH]]="","",NOTA[[#This Row],[JUMLAH]]-NOTA[[#This Row],[DISC]])</f>
        <v>690000</v>
      </c>
      <c r="AD91" s="37"/>
      <c r="AE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" s="28">
        <f>IF(NOTA[[#This Row],[NAMA BARANG]]="","",IF(NOTA[[#This Row],[JUMLAH_H]]="",NOTA[[#This Row],[HARGA/ CTN]],NOTA[[#This Row],[QTY]]*NOTA[[#This Row],[HARGA SATUAN]]/IF(ISNUMBER(NOTA[[#This Row],[C]]),NOTA[[#This Row],[C]],1)))</f>
        <v>862500</v>
      </c>
      <c r="AH91" s="37">
        <f>IF(OR(NOTA[[#This Row],[QTY]]="",NOTA[[#This Row],[HARGA SATUAN]]="",),"",NOTA[[#This Row],[QTY]]*NOTA[[#This Row],[HARGA SATUAN]])</f>
        <v>862500</v>
      </c>
      <c r="AI91" s="26">
        <f ca="1">IF(NOTA[[#This Row],[ID_H]]="","",INDEX(NOTA[TANGGAL],MATCH(,INDIRECT(ADDRESS(ROW(NOTA[TANGGAL]),COLUMN(NOTA[TANGGAL]))&amp;":"&amp;ADDRESS(ROW(),COLUMN(NOTA[TANGGAL]))),-1)))</f>
        <v>45448</v>
      </c>
      <c r="AJ91" s="26">
        <f ca="1">IF(NOTA[[#This Row],[ID_H]]="","",INDEX(NOTA[TGL.NOTA],MATCH(,INDIRECT(ADDRESS(ROW(NOTA[TGL.NOTA]),COLUMN(NOTA[TGL.NOTA]))&amp;":"&amp;ADDRESS(ROW(),COLUMN(NOTA[TGL.NOTA]))),-1)))</f>
        <v>45443</v>
      </c>
      <c r="AK91" s="26" t="str">
        <f ca="1">IF(NOTA[[#This Row],[ID_H]]="","",INDEX(NOTA[NO.NOTA],MATCH(NOTA[[#This Row],[ID_H]],NOTA[ID_H],0)))</f>
        <v>24/YS/V/105</v>
      </c>
      <c r="AL91" s="28" t="str">
        <f ca="1">IF(NOTA[[#This Row],[NAMA BARANG]]="","",INDEX(NOTA[SUPPLIER],MATCH(,INDIRECT(ADDRESS(ROW(NOTA[ID]),COLUMN(NOTA[ID]))&amp;":"&amp;ADDRESS(ROW(),COLUMN(NOTA[ID]))),-1)))</f>
        <v>YUSHINCA</v>
      </c>
      <c r="AM91" s="28" t="str">
        <f ca="1">IF(NOTA[[#This Row],[ID_H]]="","",IF(NOTA[[#This Row],[FAKTUR]]="",INDIRECT(ADDRESS(ROW()-1,COLUMN())),NOTA[[#This Row],[FAKTUR]]))</f>
        <v>UNTANA</v>
      </c>
      <c r="AN91" s="25" t="str">
        <f ca="1">IF(NOTA[[#This Row],[ID]]="","",COUNTIF(NOTA[ID_H],NOTA[[#This Row],[ID_H]]))</f>
        <v/>
      </c>
      <c r="AO91" s="25" t="e">
        <f ca="1">IF(NOTA[[#This Row],[TGL.NOTA]]="",IF(NOTA[[#This Row],[SUPPLIER_H]]="","",AO90),MONTH(NOTA[[#This Row],[TGL.NOTA]]))</f>
        <v>#REF!</v>
      </c>
      <c r="AP91" s="25" t="str">
        <f>LOWER(SUBSTITUTE(SUBSTITUTE(SUBSTITUTE(SUBSTITUTE(SUBSTITUTE(SUBSTITUTE(SUBSTITUTE(SUBSTITUTE(SUBSTITUTE(NOTA[[#This Row],[NAMA BARANG]]," ",),".",""),"-",""),"(",""),")",""),",",""),"/",""),"""",""),"+",""))</f>
        <v>dokumenkeeperdk60hitam</v>
      </c>
      <c r="AQ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dokumenkeeperdk60hitam8625000,2</v>
      </c>
      <c r="AR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dokumenkeeperdk60hitam375000,2</v>
      </c>
      <c r="AS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" s="25"/>
      <c r="AU91" s="25">
        <f>IF(NOTA[[#This Row],[CONCAT1]]="","",MATCH(NOTA[[#This Row],[CONCAT1]],[3]!db[NB NOTA_C],0))</f>
        <v>894</v>
      </c>
      <c r="AV91" s="25" t="b">
        <f>IF(NOTA[[#This Row],[QTY/ CTN]]="","",TRUE)</f>
        <v>1</v>
      </c>
      <c r="AW91" s="25" t="str">
        <f ca="1">IF(NOTA[[#This Row],[ID_H]]="","",IF(NOTA[[#This Row],[Column3]]=TRUE,NOTA[[#This Row],[QTY/ CTN]],INDEX([3]!db[QTY/ CTN],NOTA[[#This Row],[//DB]])))</f>
        <v>24 PCS</v>
      </c>
      <c r="AX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dokumenkeeperdk60hitam24pcsuntana</v>
      </c>
      <c r="AY91" s="25">
        <f ca="1">IF(NOTA[[#This Row],[ID_H]]="","",MATCH(NOTA[[#This Row],[NB NOTA_C_QTY]],[3]!db[NB NOTA_C_QTY+F],0))</f>
        <v>894</v>
      </c>
      <c r="AZ91" s="38">
        <f ca="1">IF(NOTA[[#This Row],[NB NOTA_C_QTY]]="","",ROW()-2)</f>
        <v>89</v>
      </c>
    </row>
    <row r="92" spans="1:52" ht="20.100000000000001" customHeight="1">
      <c r="A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" s="25">
        <f ca="1">IF(NOTA[[#This Row],[NAMA BARANG]]="","",INDEX(NOTA[ID],MATCH(,INDIRECT(ADDRESS(ROW(NOTA[ID]),COLUMN(NOTA[ID]))&amp;":"&amp;ADDRESS(ROW(),COLUMN(NOTA[ID]))),-1)))</f>
        <v>22</v>
      </c>
      <c r="E92" s="33"/>
      <c r="H92" s="34"/>
      <c r="L92" s="61" t="s">
        <v>318</v>
      </c>
      <c r="M92" s="27">
        <v>2</v>
      </c>
      <c r="N92" s="25">
        <v>48</v>
      </c>
      <c r="O92" s="25" t="s">
        <v>111</v>
      </c>
      <c r="P92" s="28">
        <v>37500</v>
      </c>
      <c r="Q92" s="29"/>
      <c r="R92" s="35" t="s">
        <v>292</v>
      </c>
      <c r="S92" s="36">
        <v>0.2</v>
      </c>
      <c r="V92" s="37"/>
      <c r="W92" s="32"/>
      <c r="X92" s="37">
        <f>IF(NOTA[[#This Row],[HARGA/ CTN]]="",NOTA[[#This Row],[JUMLAH_H]],NOTA[[#This Row],[HARGA/ CTN]]*IF(NOTA[[#This Row],[C]]="",0,NOTA[[#This Row],[C]]))</f>
        <v>1800000</v>
      </c>
      <c r="Y92" s="37">
        <f>IF(NOTA[[#This Row],[JUMLAH]]="","",NOTA[[#This Row],[JUMLAH]]*NOTA[[#This Row],[DISC 1]])</f>
        <v>360000</v>
      </c>
      <c r="Z92" s="37">
        <f>IF(NOTA[[#This Row],[JUMLAH]]="","",(NOTA[[#This Row],[JUMLAH]]-NOTA[[#This Row],[DISC 1-]])*NOTA[[#This Row],[DISC 2]])</f>
        <v>0</v>
      </c>
      <c r="AA92" s="37">
        <f>IF(NOTA[[#This Row],[JUMLAH]]="","",(NOTA[[#This Row],[JUMLAH]]-NOTA[[#This Row],[DISC 1-]]-NOTA[[#This Row],[DISC 2-]])*NOTA[[#This Row],[DISC 3]])</f>
        <v>0</v>
      </c>
      <c r="AB92" s="37">
        <f>IF(NOTA[[#This Row],[JUMLAH]]="","",NOTA[[#This Row],[DISC 1-]]+NOTA[[#This Row],[DISC 2-]]+NOTA[[#This Row],[DISC 3-]])</f>
        <v>360000</v>
      </c>
      <c r="AC92" s="37">
        <f>IF(NOTA[[#This Row],[JUMLAH]]="","",NOTA[[#This Row],[JUMLAH]]-NOTA[[#This Row],[DISC]])</f>
        <v>1440000</v>
      </c>
      <c r="AD92" s="37"/>
      <c r="AE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92" s="37">
        <f>IF(OR(NOTA[[#This Row],[QTY]]="",NOTA[[#This Row],[HARGA SATUAN]]="",),"",NOTA[[#This Row],[QTY]]*NOTA[[#This Row],[HARGA SATUAN]])</f>
        <v>1800000</v>
      </c>
      <c r="AI92" s="26">
        <f ca="1">IF(NOTA[[#This Row],[ID_H]]="","",INDEX(NOTA[TANGGAL],MATCH(,INDIRECT(ADDRESS(ROW(NOTA[TANGGAL]),COLUMN(NOTA[TANGGAL]))&amp;":"&amp;ADDRESS(ROW(),COLUMN(NOTA[TANGGAL]))),-1)))</f>
        <v>45448</v>
      </c>
      <c r="AJ92" s="26">
        <f ca="1">IF(NOTA[[#This Row],[ID_H]]="","",INDEX(NOTA[TGL.NOTA],MATCH(,INDIRECT(ADDRESS(ROW(NOTA[TGL.NOTA]),COLUMN(NOTA[TGL.NOTA]))&amp;":"&amp;ADDRESS(ROW(),COLUMN(NOTA[TGL.NOTA]))),-1)))</f>
        <v>45443</v>
      </c>
      <c r="AK92" s="26" t="str">
        <f ca="1">IF(NOTA[[#This Row],[ID_H]]="","",INDEX(NOTA[NO.NOTA],MATCH(NOTA[[#This Row],[ID_H]],NOTA[ID_H],0)))</f>
        <v>24/YS/V/105</v>
      </c>
      <c r="AL92" s="28" t="str">
        <f ca="1">IF(NOTA[[#This Row],[NAMA BARANG]]="","",INDEX(NOTA[SUPPLIER],MATCH(,INDIRECT(ADDRESS(ROW(NOTA[ID]),COLUMN(NOTA[ID]))&amp;":"&amp;ADDRESS(ROW(),COLUMN(NOTA[ID]))),-1)))</f>
        <v>YUSHINCA</v>
      </c>
      <c r="AM92" s="28" t="str">
        <f ca="1">IF(NOTA[[#This Row],[ID_H]]="","",IF(NOTA[[#This Row],[FAKTUR]]="",INDIRECT(ADDRESS(ROW()-1,COLUMN())),NOTA[[#This Row],[FAKTUR]]))</f>
        <v>UNTANA</v>
      </c>
      <c r="AN92" s="25" t="str">
        <f ca="1">IF(NOTA[[#This Row],[ID]]="","",COUNTIF(NOTA[ID_H],NOTA[[#This Row],[ID_H]]))</f>
        <v/>
      </c>
      <c r="AO92" s="25" t="e">
        <f ca="1">IF(NOTA[[#This Row],[TGL.NOTA]]="",IF(NOTA[[#This Row],[SUPPLIER_H]]="","",AO91),MONTH(NOTA[[#This Row],[TGL.NOTA]]))</f>
        <v>#REF!</v>
      </c>
      <c r="AP92" s="25" t="str">
        <f>LOWER(SUBSTITUTE(SUBSTITUTE(SUBSTITUTE(SUBSTITUTE(SUBSTITUTE(SUBSTITUTE(SUBSTITUTE(SUBSTITUTE(SUBSTITUTE(NOTA[[#This Row],[NAMA BARANG]]," ",),".",""),"-",""),"(",""),")",""),",",""),"/",""),"""",""),"+",""))</f>
        <v>dokumenkeeperdk60merah</v>
      </c>
      <c r="AQ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dokumenkeeperdk60merah9000000,2</v>
      </c>
      <c r="AR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dokumenkeeperdk60merah9000000,2</v>
      </c>
      <c r="AS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" s="25"/>
      <c r="AU92" s="25">
        <f>IF(NOTA[[#This Row],[CONCAT1]]="","",MATCH(NOTA[[#This Row],[CONCAT1]],[3]!db[NB NOTA_C],0))</f>
        <v>895</v>
      </c>
      <c r="AV92" s="25" t="b">
        <f>IF(NOTA[[#This Row],[QTY/ CTN]]="","",TRUE)</f>
        <v>1</v>
      </c>
      <c r="AW92" s="25" t="str">
        <f ca="1">IF(NOTA[[#This Row],[ID_H]]="","",IF(NOTA[[#This Row],[Column3]]=TRUE,NOTA[[#This Row],[QTY/ CTN]],INDEX([3]!db[QTY/ CTN],NOTA[[#This Row],[//DB]])))</f>
        <v>24 PCS</v>
      </c>
      <c r="AX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dokumenkeeperdk60merah24pcsuntana</v>
      </c>
      <c r="AY92" s="25">
        <f ca="1">IF(NOTA[[#This Row],[ID_H]]="","",MATCH(NOTA[[#This Row],[NB NOTA_C_QTY]],[3]!db[NB NOTA_C_QTY+F],0))</f>
        <v>895</v>
      </c>
      <c r="AZ92" s="38">
        <f ca="1">IF(NOTA[[#This Row],[NB NOTA_C_QTY]]="","",ROW()-2)</f>
        <v>90</v>
      </c>
    </row>
    <row r="93" spans="1:52" ht="20.100000000000001" customHeight="1">
      <c r="A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" s="25">
        <f ca="1">IF(NOTA[[#This Row],[NAMA BARANG]]="","",INDEX(NOTA[ID],MATCH(,INDIRECT(ADDRESS(ROW(NOTA[ID]),COLUMN(NOTA[ID]))&amp;":"&amp;ADDRESS(ROW(),COLUMN(NOTA[ID]))),-1)))</f>
        <v>22</v>
      </c>
      <c r="E93" s="33"/>
      <c r="H93" s="34"/>
      <c r="L93" s="61" t="s">
        <v>318</v>
      </c>
      <c r="N93" s="25">
        <v>20</v>
      </c>
      <c r="O93" s="25" t="s">
        <v>111</v>
      </c>
      <c r="P93" s="28">
        <v>37500</v>
      </c>
      <c r="Q93" s="29"/>
      <c r="R93" s="35" t="s">
        <v>292</v>
      </c>
      <c r="S93" s="36">
        <v>0.2</v>
      </c>
      <c r="V93" s="37"/>
      <c r="W93" s="32"/>
      <c r="X93" s="37">
        <f>IF(NOTA[[#This Row],[HARGA/ CTN]]="",NOTA[[#This Row],[JUMLAH_H]],NOTA[[#This Row],[HARGA/ CTN]]*IF(NOTA[[#This Row],[C]]="",0,NOTA[[#This Row],[C]]))</f>
        <v>750000</v>
      </c>
      <c r="Y93" s="37">
        <f>IF(NOTA[[#This Row],[JUMLAH]]="","",NOTA[[#This Row],[JUMLAH]]*NOTA[[#This Row],[DISC 1]])</f>
        <v>150000</v>
      </c>
      <c r="Z93" s="37">
        <f>IF(NOTA[[#This Row],[JUMLAH]]="","",(NOTA[[#This Row],[JUMLAH]]-NOTA[[#This Row],[DISC 1-]])*NOTA[[#This Row],[DISC 2]])</f>
        <v>0</v>
      </c>
      <c r="AA93" s="37">
        <f>IF(NOTA[[#This Row],[JUMLAH]]="","",(NOTA[[#This Row],[JUMLAH]]-NOTA[[#This Row],[DISC 1-]]-NOTA[[#This Row],[DISC 2-]])*NOTA[[#This Row],[DISC 3]])</f>
        <v>0</v>
      </c>
      <c r="AB93" s="37">
        <f>IF(NOTA[[#This Row],[JUMLAH]]="","",NOTA[[#This Row],[DISC 1-]]+NOTA[[#This Row],[DISC 2-]]+NOTA[[#This Row],[DISC 3-]])</f>
        <v>150000</v>
      </c>
      <c r="AC93" s="37">
        <f>IF(NOTA[[#This Row],[JUMLAH]]="","",NOTA[[#This Row],[JUMLAH]]-NOTA[[#This Row],[DISC]])</f>
        <v>600000</v>
      </c>
      <c r="AD93" s="37"/>
      <c r="AE9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2830500</v>
      </c>
      <c r="AF9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11322000</v>
      </c>
      <c r="AG93" s="28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H93" s="37">
        <f>IF(OR(NOTA[[#This Row],[QTY]]="",NOTA[[#This Row],[HARGA SATUAN]]="",),"",NOTA[[#This Row],[QTY]]*NOTA[[#This Row],[HARGA SATUAN]])</f>
        <v>750000</v>
      </c>
      <c r="AI93" s="26">
        <f ca="1">IF(NOTA[[#This Row],[ID_H]]="","",INDEX(NOTA[TANGGAL],MATCH(,INDIRECT(ADDRESS(ROW(NOTA[TANGGAL]),COLUMN(NOTA[TANGGAL]))&amp;":"&amp;ADDRESS(ROW(),COLUMN(NOTA[TANGGAL]))),-1)))</f>
        <v>45448</v>
      </c>
      <c r="AJ93" s="26">
        <f ca="1">IF(NOTA[[#This Row],[ID_H]]="","",INDEX(NOTA[TGL.NOTA],MATCH(,INDIRECT(ADDRESS(ROW(NOTA[TGL.NOTA]),COLUMN(NOTA[TGL.NOTA]))&amp;":"&amp;ADDRESS(ROW(),COLUMN(NOTA[TGL.NOTA]))),-1)))</f>
        <v>45443</v>
      </c>
      <c r="AK93" s="26" t="str">
        <f ca="1">IF(NOTA[[#This Row],[ID_H]]="","",INDEX(NOTA[NO.NOTA],MATCH(NOTA[[#This Row],[ID_H]],NOTA[ID_H],0)))</f>
        <v>24/YS/V/105</v>
      </c>
      <c r="AL93" s="28" t="str">
        <f ca="1">IF(NOTA[[#This Row],[NAMA BARANG]]="","",INDEX(NOTA[SUPPLIER],MATCH(,INDIRECT(ADDRESS(ROW(NOTA[ID]),COLUMN(NOTA[ID]))&amp;":"&amp;ADDRESS(ROW(),COLUMN(NOTA[ID]))),-1)))</f>
        <v>YUSHINCA</v>
      </c>
      <c r="AM93" s="28" t="str">
        <f ca="1">IF(NOTA[[#This Row],[ID_H]]="","",IF(NOTA[[#This Row],[FAKTUR]]="",INDIRECT(ADDRESS(ROW()-1,COLUMN())),NOTA[[#This Row],[FAKTUR]]))</f>
        <v>UNTANA</v>
      </c>
      <c r="AN93" s="25" t="str">
        <f ca="1">IF(NOTA[[#This Row],[ID]]="","",COUNTIF(NOTA[ID_H],NOTA[[#This Row],[ID_H]]))</f>
        <v/>
      </c>
      <c r="AO93" s="25" t="e">
        <f ca="1">IF(NOTA[[#This Row],[TGL.NOTA]]="",IF(NOTA[[#This Row],[SUPPLIER_H]]="","",AO92),MONTH(NOTA[[#This Row],[TGL.NOTA]]))</f>
        <v>#REF!</v>
      </c>
      <c r="AP93" s="25" t="str">
        <f>LOWER(SUBSTITUTE(SUBSTITUTE(SUBSTITUTE(SUBSTITUTE(SUBSTITUTE(SUBSTITUTE(SUBSTITUTE(SUBSTITUTE(SUBSTITUTE(NOTA[[#This Row],[NAMA BARANG]]," ",),".",""),"-",""),"(",""),")",""),",",""),"/",""),"""",""),"+",""))</f>
        <v>dokumenkeeperdk60merah</v>
      </c>
      <c r="AQ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dokumenkeeperdk60merah7500000,2</v>
      </c>
      <c r="AR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dokumenkeeperdk60merah375000,2</v>
      </c>
      <c r="AS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" s="25"/>
      <c r="AU93" s="25">
        <f>IF(NOTA[[#This Row],[CONCAT1]]="","",MATCH(NOTA[[#This Row],[CONCAT1]],[3]!db[NB NOTA_C],0))</f>
        <v>895</v>
      </c>
      <c r="AV93" s="25" t="b">
        <f>IF(NOTA[[#This Row],[QTY/ CTN]]="","",TRUE)</f>
        <v>1</v>
      </c>
      <c r="AW93" s="25" t="str">
        <f ca="1">IF(NOTA[[#This Row],[ID_H]]="","",IF(NOTA[[#This Row],[Column3]]=TRUE,NOTA[[#This Row],[QTY/ CTN]],INDEX([3]!db[QTY/ CTN],NOTA[[#This Row],[//DB]])))</f>
        <v>24 PCS</v>
      </c>
      <c r="AX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dokumenkeeperdk60merah24pcsuntana</v>
      </c>
      <c r="AY93" s="25">
        <f ca="1">IF(NOTA[[#This Row],[ID_H]]="","",MATCH(NOTA[[#This Row],[NB NOTA_C_QTY]],[3]!db[NB NOTA_C_QTY+F],0))</f>
        <v>895</v>
      </c>
      <c r="AZ93" s="38">
        <f ca="1">IF(NOTA[[#This Row],[NB NOTA_C_QTY]]="","",ROW()-2)</f>
        <v>91</v>
      </c>
    </row>
    <row r="94" spans="1:52" ht="20.100000000000001" customHeight="1">
      <c r="A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" s="25" t="str">
        <f ca="1">IF(NOTA[[#This Row],[NAMA BARANG]]="","",INDEX(NOTA[ID],MATCH(,INDIRECT(ADDRESS(ROW(NOTA[ID]),COLUMN(NOTA[ID]))&amp;":"&amp;ADDRESS(ROW(),COLUMN(NOTA[ID]))),-1)))</f>
        <v/>
      </c>
      <c r="E94" s="33"/>
      <c r="H94" s="34"/>
      <c r="Q94" s="29"/>
      <c r="R94" s="35"/>
      <c r="S94" s="36"/>
      <c r="V94" s="37"/>
      <c r="W94" s="32"/>
      <c r="X94" s="37" t="str">
        <f>IF(NOTA[[#This Row],[HARGA/ CTN]]="",NOTA[[#This Row],[JUMLAH_H]],NOTA[[#This Row],[HARGA/ CTN]]*IF(NOTA[[#This Row],[C]]="",0,NOTA[[#This Row],[C]]))</f>
        <v/>
      </c>
      <c r="Y94" s="37" t="str">
        <f>IF(NOTA[[#This Row],[JUMLAH]]="","",NOTA[[#This Row],[JUMLAH]]*NOTA[[#This Row],[DISC 1]])</f>
        <v/>
      </c>
      <c r="Z94" s="37" t="str">
        <f>IF(NOTA[[#This Row],[JUMLAH]]="","",(NOTA[[#This Row],[JUMLAH]]-NOTA[[#This Row],[DISC 1-]])*NOTA[[#This Row],[DISC 2]])</f>
        <v/>
      </c>
      <c r="AA94" s="37" t="str">
        <f>IF(NOTA[[#This Row],[JUMLAH]]="","",(NOTA[[#This Row],[JUMLAH]]-NOTA[[#This Row],[DISC 1-]]-NOTA[[#This Row],[DISC 2-]])*NOTA[[#This Row],[DISC 3]])</f>
        <v/>
      </c>
      <c r="AB94" s="37" t="str">
        <f>IF(NOTA[[#This Row],[JUMLAH]]="","",NOTA[[#This Row],[DISC 1-]]+NOTA[[#This Row],[DISC 2-]]+NOTA[[#This Row],[DISC 3-]])</f>
        <v/>
      </c>
      <c r="AC94" s="37" t="str">
        <f>IF(NOTA[[#This Row],[JUMLAH]]="","",NOTA[[#This Row],[JUMLAH]]-NOTA[[#This Row],[DISC]])</f>
        <v/>
      </c>
      <c r="AD94" s="37"/>
      <c r="AE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" s="37" t="str">
        <f>IF(OR(NOTA[[#This Row],[QTY]]="",NOTA[[#This Row],[HARGA SATUAN]]="",),"",NOTA[[#This Row],[QTY]]*NOTA[[#This Row],[HARGA SATUAN]])</f>
        <v/>
      </c>
      <c r="AI94" s="26" t="str">
        <f ca="1">IF(NOTA[[#This Row],[ID_H]]="","",INDEX(NOTA[TANGGAL],MATCH(,INDIRECT(ADDRESS(ROW(NOTA[TANGGAL]),COLUMN(NOTA[TANGGAL]))&amp;":"&amp;ADDRESS(ROW(),COLUMN(NOTA[TANGGAL]))),-1)))</f>
        <v/>
      </c>
      <c r="AJ94" s="26" t="str">
        <f ca="1">IF(NOTA[[#This Row],[ID_H]]="","",INDEX(NOTA[TGL.NOTA],MATCH(,INDIRECT(ADDRESS(ROW(NOTA[TGL.NOTA]),COLUMN(NOTA[TGL.NOTA]))&amp;":"&amp;ADDRESS(ROW(),COLUMN(NOTA[TGL.NOTA]))),-1)))</f>
        <v/>
      </c>
      <c r="AK94" s="26" t="str">
        <f ca="1">IF(NOTA[[#This Row],[ID_H]]="","",INDEX(NOTA[NO.NOTA],MATCH(NOTA[[#This Row],[ID_H]],NOTA[ID_H],0)))</f>
        <v/>
      </c>
      <c r="AL94" s="28" t="str">
        <f ca="1">IF(NOTA[[#This Row],[NAMA BARANG]]="","",INDEX(NOTA[SUPPLIER],MATCH(,INDIRECT(ADDRESS(ROW(NOTA[ID]),COLUMN(NOTA[ID]))&amp;":"&amp;ADDRESS(ROW(),COLUMN(NOTA[ID]))),-1)))</f>
        <v/>
      </c>
      <c r="AM94" s="28" t="str">
        <f ca="1">IF(NOTA[[#This Row],[ID_H]]="","",IF(NOTA[[#This Row],[FAKTUR]]="",INDIRECT(ADDRESS(ROW()-1,COLUMN())),NOTA[[#This Row],[FAKTUR]]))</f>
        <v/>
      </c>
      <c r="AN94" s="25" t="str">
        <f ca="1">IF(NOTA[[#This Row],[ID]]="","",COUNTIF(NOTA[ID_H],NOTA[[#This Row],[ID_H]]))</f>
        <v/>
      </c>
      <c r="AO94" s="25" t="str">
        <f ca="1">IF(NOTA[[#This Row],[TGL.NOTA]]="",IF(NOTA[[#This Row],[SUPPLIER_H]]="","",AO93),MONTH(NOTA[[#This Row],[TGL.NOTA]]))</f>
        <v/>
      </c>
      <c r="AP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" s="25"/>
      <c r="AU94" s="25" t="str">
        <f>IF(NOTA[[#This Row],[CONCAT1]]="","",MATCH(NOTA[[#This Row],[CONCAT1]],[3]!db[NB NOTA_C],0))</f>
        <v/>
      </c>
      <c r="AV94" s="25" t="str">
        <f>IF(NOTA[[#This Row],[QTY/ CTN]]="","",TRUE)</f>
        <v/>
      </c>
      <c r="AW94" s="25" t="str">
        <f ca="1">IF(NOTA[[#This Row],[ID_H]]="","",IF(NOTA[[#This Row],[Column3]]=TRUE,NOTA[[#This Row],[QTY/ CTN]],INDEX([3]!db[QTY/ CTN],NOTA[[#This Row],[//DB]])))</f>
        <v/>
      </c>
      <c r="AX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" s="25" t="str">
        <f ca="1">IF(NOTA[[#This Row],[ID_H]]="","",MATCH(NOTA[[#This Row],[NB NOTA_C_QTY]],[3]!db[NB NOTA_C_QTY+F],0))</f>
        <v/>
      </c>
      <c r="AZ94" s="38" t="str">
        <f ca="1">IF(NOTA[[#This Row],[NB NOTA_C_QTY]]="","",ROW()-2)</f>
        <v/>
      </c>
    </row>
    <row r="95" spans="1:52" ht="20.100000000000001" customHeight="1">
      <c r="A95" s="28">
        <f ca="1">IF(INDIRECT(ADDRESS(ROW()-1,COLUMN(NOTA[[#Headers],[ID]])))="ID",1,IF(NOTA[[#This Row],[FAKTUR]]="","",COUNT(INDIRECT(ADDRESS(ROW(NOTA[ID]),COLUMN(NOTA[ID]))&amp;":"&amp;ADDRESS(ROW()-1,COLUMN(NOTA[ID]))))+1))</f>
        <v>23</v>
      </c>
      <c r="B9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SUR_0606_020-2</v>
      </c>
      <c r="D95" s="25">
        <f ca="1">IF(NOTA[[#This Row],[NAMA BARANG]]="","",INDEX(NOTA[ID],MATCH(,INDIRECT(ADDRESS(ROW(NOTA[ID]),COLUMN(NOTA[ID]))&amp;":"&amp;ADDRESS(ROW(),COLUMN(NOTA[ID]))),-1)))</f>
        <v>23</v>
      </c>
      <c r="E95" s="33">
        <v>45449</v>
      </c>
      <c r="F95" s="25" t="s">
        <v>259</v>
      </c>
      <c r="G95" s="25" t="s">
        <v>109</v>
      </c>
      <c r="H95" s="34" t="s">
        <v>293</v>
      </c>
      <c r="J95" s="26">
        <v>45446</v>
      </c>
      <c r="L95" s="61" t="s">
        <v>319</v>
      </c>
      <c r="M95" s="27">
        <v>20</v>
      </c>
      <c r="N95" s="25">
        <f>216*20</f>
        <v>4320</v>
      </c>
      <c r="O95" s="25" t="s">
        <v>111</v>
      </c>
      <c r="P95" s="28">
        <v>9400</v>
      </c>
      <c r="Q95" s="29"/>
      <c r="R95" s="35" t="s">
        <v>294</v>
      </c>
      <c r="S95" s="36">
        <v>0.2</v>
      </c>
      <c r="T95" s="31">
        <v>2.5000000000000001E-2</v>
      </c>
      <c r="V95" s="37"/>
      <c r="W95" s="32"/>
      <c r="X95" s="37">
        <f>IF(NOTA[[#This Row],[HARGA/ CTN]]="",NOTA[[#This Row],[JUMLAH_H]],NOTA[[#This Row],[HARGA/ CTN]]*IF(NOTA[[#This Row],[C]]="",0,NOTA[[#This Row],[C]]))</f>
        <v>40608000</v>
      </c>
      <c r="Y95" s="37">
        <f>IF(NOTA[[#This Row],[JUMLAH]]="","",NOTA[[#This Row],[JUMLAH]]*NOTA[[#This Row],[DISC 1]])</f>
        <v>8121600</v>
      </c>
      <c r="Z95" s="37">
        <f>IF(NOTA[[#This Row],[JUMLAH]]="","",(NOTA[[#This Row],[JUMLAH]]-NOTA[[#This Row],[DISC 1-]])*NOTA[[#This Row],[DISC 2]])</f>
        <v>812160</v>
      </c>
      <c r="AA95" s="37">
        <f>IF(NOTA[[#This Row],[JUMLAH]]="","",(NOTA[[#This Row],[JUMLAH]]-NOTA[[#This Row],[DISC 1-]]-NOTA[[#This Row],[DISC 2-]])*NOTA[[#This Row],[DISC 3]])</f>
        <v>0</v>
      </c>
      <c r="AB95" s="37">
        <f>IF(NOTA[[#This Row],[JUMLAH]]="","",NOTA[[#This Row],[DISC 1-]]+NOTA[[#This Row],[DISC 2-]]+NOTA[[#This Row],[DISC 3-]])</f>
        <v>8933760</v>
      </c>
      <c r="AC95" s="37">
        <f>IF(NOTA[[#This Row],[JUMLAH]]="","",NOTA[[#This Row],[JUMLAH]]-NOTA[[#This Row],[DISC]])</f>
        <v>31674240</v>
      </c>
      <c r="AD95" s="37"/>
      <c r="AE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" s="28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H95" s="37">
        <f>IF(OR(NOTA[[#This Row],[QTY]]="",NOTA[[#This Row],[HARGA SATUAN]]="",),"",NOTA[[#This Row],[QTY]]*NOTA[[#This Row],[HARGA SATUAN]])</f>
        <v>40608000</v>
      </c>
      <c r="AI95" s="26">
        <f ca="1">IF(NOTA[[#This Row],[ID_H]]="","",INDEX(NOTA[TANGGAL],MATCH(,INDIRECT(ADDRESS(ROW(NOTA[TANGGAL]),COLUMN(NOTA[TANGGAL]))&amp;":"&amp;ADDRESS(ROW(),COLUMN(NOTA[TANGGAL]))),-1)))</f>
        <v>45449</v>
      </c>
      <c r="AJ95" s="26">
        <f ca="1">IF(NOTA[[#This Row],[ID_H]]="","",INDEX(NOTA[TGL.NOTA],MATCH(,INDIRECT(ADDRESS(ROW(NOTA[TGL.NOTA]),COLUMN(NOTA[TGL.NOTA]))&amp;":"&amp;ADDRESS(ROW(),COLUMN(NOTA[TGL.NOTA]))),-1)))</f>
        <v>45446</v>
      </c>
      <c r="AK95" s="26" t="str">
        <f ca="1">IF(NOTA[[#This Row],[ID_H]]="","",INDEX(NOTA[NO.NOTA],MATCH(NOTA[[#This Row],[ID_H]],NOTA[ID_H],0)))</f>
        <v>F24F000020</v>
      </c>
      <c r="AL95" s="28" t="str">
        <f ca="1">IF(NOTA[[#This Row],[NAMA BARANG]]="","",INDEX(NOTA[SUPPLIER],MATCH(,INDIRECT(ADDRESS(ROW(NOTA[ID]),COLUMN(NOTA[ID]))&amp;":"&amp;ADDRESS(ROW(),COLUMN(NOTA[ID]))),-1)))</f>
        <v>SURYA PRATAMA</v>
      </c>
      <c r="AM95" s="28" t="str">
        <f ca="1">IF(NOTA[[#This Row],[ID_H]]="","",IF(NOTA[[#This Row],[FAKTUR]]="",INDIRECT(ADDRESS(ROW()-1,COLUMN())),NOTA[[#This Row],[FAKTUR]]))</f>
        <v>UNTANA</v>
      </c>
      <c r="AN95" s="25">
        <f ca="1">IF(NOTA[[#This Row],[ID]]="","",COUNTIF(NOTA[ID_H],NOTA[[#This Row],[ID_H]]))</f>
        <v>2</v>
      </c>
      <c r="AO95" s="25">
        <f>IF(NOTA[[#This Row],[TGL.NOTA]]="",IF(NOTA[[#This Row],[SUPPLIER_H]]="","",AO94),MONTH(NOTA[[#This Row],[TGL.NOTA]]))</f>
        <v>6</v>
      </c>
      <c r="AP95" s="25" t="str">
        <f>LOWER(SUBSTITUTE(SUBSTITUTE(SUBSTITUTE(SUBSTITUTE(SUBSTITUTE(SUBSTITUTE(SUBSTITUTE(SUBSTITUTE(SUBSTITUTE(NOTA[[#This Row],[NAMA BARANG]]," ",),".",""),"-",""),"(",""),")",""),",",""),"/",""),"""",""),"+",""))</f>
        <v>catairopini110@216</v>
      </c>
      <c r="AQ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catairopini110@21620304000,20,025</v>
      </c>
      <c r="AR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catairopini110@21620304000,20,025</v>
      </c>
      <c r="AS95" s="25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PRATAMAUNTANAF24F00002045446catairopini110@216</v>
      </c>
      <c r="AT95" s="25"/>
      <c r="AU95" s="25">
        <f>IF(NOTA[[#This Row],[CONCAT1]]="","",MATCH(NOTA[[#This Row],[CONCAT1]],[3]!db[NB NOTA_C],0))</f>
        <v>649</v>
      </c>
      <c r="AV95" s="25" t="b">
        <f>IF(NOTA[[#This Row],[QTY/ CTN]]="","",TRUE)</f>
        <v>1</v>
      </c>
      <c r="AW95" s="25" t="str">
        <f ca="1">IF(NOTA[[#This Row],[ID_H]]="","",IF(NOTA[[#This Row],[Column3]]=TRUE,NOTA[[#This Row],[QTY/ CTN]],INDEX([3]!db[QTY/ CTN],NOTA[[#This Row],[//DB]])))</f>
        <v>216 PCS</v>
      </c>
      <c r="AX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catairopini110@216216pcsuntana</v>
      </c>
      <c r="AY95" s="25">
        <f ca="1">IF(NOTA[[#This Row],[ID_H]]="","",MATCH(NOTA[[#This Row],[NB NOTA_C_QTY]],[3]!db[NB NOTA_C_QTY+F],0))</f>
        <v>649</v>
      </c>
      <c r="AZ95" s="38">
        <f ca="1">IF(NOTA[[#This Row],[NB NOTA_C_QTY]]="","",ROW()-2)</f>
        <v>93</v>
      </c>
    </row>
    <row r="96" spans="1:52" ht="20.100000000000001" customHeight="1">
      <c r="A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" s="25">
        <f ca="1">IF(NOTA[[#This Row],[NAMA BARANG]]="","",INDEX(NOTA[ID],MATCH(,INDIRECT(ADDRESS(ROW(NOTA[ID]),COLUMN(NOTA[ID]))&amp;":"&amp;ADDRESS(ROW(),COLUMN(NOTA[ID]))),-1)))</f>
        <v>23</v>
      </c>
      <c r="E96" s="33"/>
      <c r="H96" s="34"/>
      <c r="L96" s="61" t="s">
        <v>320</v>
      </c>
      <c r="M96" s="27">
        <v>10</v>
      </c>
      <c r="N96" s="25">
        <v>1440</v>
      </c>
      <c r="O96" s="25" t="s">
        <v>111</v>
      </c>
      <c r="P96" s="28">
        <v>9920</v>
      </c>
      <c r="Q96" s="29"/>
      <c r="R96" s="35" t="s">
        <v>173</v>
      </c>
      <c r="S96" s="36">
        <v>0.2</v>
      </c>
      <c r="T96" s="31">
        <v>2.5000000000000001E-2</v>
      </c>
      <c r="V96" s="37"/>
      <c r="W96" s="32"/>
      <c r="X96" s="37">
        <f>IF(NOTA[[#This Row],[HARGA/ CTN]]="",NOTA[[#This Row],[JUMLAH_H]],NOTA[[#This Row],[HARGA/ CTN]]*IF(NOTA[[#This Row],[C]]="",0,NOTA[[#This Row],[C]]))</f>
        <v>14284800</v>
      </c>
      <c r="Y96" s="37">
        <f>IF(NOTA[[#This Row],[JUMLAH]]="","",NOTA[[#This Row],[JUMLAH]]*NOTA[[#This Row],[DISC 1]])</f>
        <v>2856960</v>
      </c>
      <c r="Z96" s="37">
        <f>IF(NOTA[[#This Row],[JUMLAH]]="","",(NOTA[[#This Row],[JUMLAH]]-NOTA[[#This Row],[DISC 1-]])*NOTA[[#This Row],[DISC 2]])</f>
        <v>285696</v>
      </c>
      <c r="AA96" s="37">
        <f>IF(NOTA[[#This Row],[JUMLAH]]="","",(NOTA[[#This Row],[JUMLAH]]-NOTA[[#This Row],[DISC 1-]]-NOTA[[#This Row],[DISC 2-]])*NOTA[[#This Row],[DISC 3]])</f>
        <v>0</v>
      </c>
      <c r="AB96" s="37">
        <f>IF(NOTA[[#This Row],[JUMLAH]]="","",NOTA[[#This Row],[DISC 1-]]+NOTA[[#This Row],[DISC 2-]]+NOTA[[#This Row],[DISC 3-]])</f>
        <v>3142656</v>
      </c>
      <c r="AC96" s="37">
        <f>IF(NOTA[[#This Row],[JUMLAH]]="","",NOTA[[#This Row],[JUMLAH]]-NOTA[[#This Row],[DISC]])</f>
        <v>11142144</v>
      </c>
      <c r="AD96" s="37"/>
      <c r="AE9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12076416</v>
      </c>
      <c r="AF9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42816384</v>
      </c>
      <c r="AG96" s="28">
        <f>IF(NOTA[[#This Row],[NAMA BARANG]]="","",IF(NOTA[[#This Row],[JUMLAH_H]]="",NOTA[[#This Row],[HARGA/ CTN]],NOTA[[#This Row],[QTY]]*NOTA[[#This Row],[HARGA SATUAN]]/IF(ISNUMBER(NOTA[[#This Row],[C]]),NOTA[[#This Row],[C]],1)))</f>
        <v>1428480</v>
      </c>
      <c r="AH96" s="37">
        <f>IF(OR(NOTA[[#This Row],[QTY]]="",NOTA[[#This Row],[HARGA SATUAN]]="",),"",NOTA[[#This Row],[QTY]]*NOTA[[#This Row],[HARGA SATUAN]])</f>
        <v>14284800</v>
      </c>
      <c r="AI96" s="26">
        <f ca="1">IF(NOTA[[#This Row],[ID_H]]="","",INDEX(NOTA[TANGGAL],MATCH(,INDIRECT(ADDRESS(ROW(NOTA[TANGGAL]),COLUMN(NOTA[TANGGAL]))&amp;":"&amp;ADDRESS(ROW(),COLUMN(NOTA[TANGGAL]))),-1)))</f>
        <v>45449</v>
      </c>
      <c r="AJ96" s="26">
        <f ca="1">IF(NOTA[[#This Row],[ID_H]]="","",INDEX(NOTA[TGL.NOTA],MATCH(,INDIRECT(ADDRESS(ROW(NOTA[TGL.NOTA]),COLUMN(NOTA[TGL.NOTA]))&amp;":"&amp;ADDRESS(ROW(),COLUMN(NOTA[TGL.NOTA]))),-1)))</f>
        <v>45446</v>
      </c>
      <c r="AK96" s="26" t="str">
        <f ca="1">IF(NOTA[[#This Row],[ID_H]]="","",INDEX(NOTA[NO.NOTA],MATCH(NOTA[[#This Row],[ID_H]],NOTA[ID_H],0)))</f>
        <v>F24F000020</v>
      </c>
      <c r="AL96" s="28" t="str">
        <f ca="1">IF(NOTA[[#This Row],[NAMA BARANG]]="","",INDEX(NOTA[SUPPLIER],MATCH(,INDIRECT(ADDRESS(ROW(NOTA[ID]),COLUMN(NOTA[ID]))&amp;":"&amp;ADDRESS(ROW(),COLUMN(NOTA[ID]))),-1)))</f>
        <v>SURYA PRATAMA</v>
      </c>
      <c r="AM96" s="28" t="str">
        <f ca="1">IF(NOTA[[#This Row],[ID_H]]="","",IF(NOTA[[#This Row],[FAKTUR]]="",INDIRECT(ADDRESS(ROW()-1,COLUMN())),NOTA[[#This Row],[FAKTUR]]))</f>
        <v>UNTANA</v>
      </c>
      <c r="AN96" s="25" t="str">
        <f ca="1">IF(NOTA[[#This Row],[ID]]="","",COUNTIF(NOTA[ID_H],NOTA[[#This Row],[ID_H]]))</f>
        <v/>
      </c>
      <c r="AO96" s="25">
        <f ca="1">IF(NOTA[[#This Row],[TGL.NOTA]]="",IF(NOTA[[#This Row],[SUPPLIER_H]]="","",AO95),MONTH(NOTA[[#This Row],[TGL.NOTA]]))</f>
        <v>6</v>
      </c>
      <c r="AP96" s="25" t="str">
        <f>LOWER(SUBSTITUTE(SUBSTITUTE(SUBSTITUTE(SUBSTITUTE(SUBSTITUTE(SUBSTITUTE(SUBSTITUTE(SUBSTITUTE(SUBSTITUTE(NOTA[[#This Row],[NAMA BARANG]]," ",),".",""),"-",""),"(",""),")",""),",",""),"/",""),"""",""),"+",""))</f>
        <v>catairopini120@144</v>
      </c>
      <c r="AQ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catairopini120@14414284800,20,025</v>
      </c>
      <c r="AR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catairopini120@14414284800,20,025</v>
      </c>
      <c r="AS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" s="25"/>
      <c r="AU96" s="25">
        <f>IF(NOTA[[#This Row],[CONCAT1]]="","",MATCH(NOTA[[#This Row],[CONCAT1]],[3]!db[NB NOTA_C],0))</f>
        <v>650</v>
      </c>
      <c r="AV96" s="25" t="b">
        <f>IF(NOTA[[#This Row],[QTY/ CTN]]="","",TRUE)</f>
        <v>1</v>
      </c>
      <c r="AW96" s="25" t="str">
        <f ca="1">IF(NOTA[[#This Row],[ID_H]]="","",IF(NOTA[[#This Row],[Column3]]=TRUE,NOTA[[#This Row],[QTY/ CTN]],INDEX([3]!db[QTY/ CTN],NOTA[[#This Row],[//DB]])))</f>
        <v>144 PCS</v>
      </c>
      <c r="AX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catairopini120@144144pcsuntana</v>
      </c>
      <c r="AY96" s="25">
        <f ca="1">IF(NOTA[[#This Row],[ID_H]]="","",MATCH(NOTA[[#This Row],[NB NOTA_C_QTY]],[3]!db[NB NOTA_C_QTY+F],0))</f>
        <v>650</v>
      </c>
      <c r="AZ96" s="38">
        <f ca="1">IF(NOTA[[#This Row],[NB NOTA_C_QTY]]="","",ROW()-2)</f>
        <v>94</v>
      </c>
    </row>
    <row r="97" spans="1:52" ht="20.100000000000001" customHeight="1">
      <c r="A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" s="25" t="str">
        <f ca="1">IF(NOTA[[#This Row],[NAMA BARANG]]="","",INDEX(NOTA[ID],MATCH(,INDIRECT(ADDRESS(ROW(NOTA[ID]),COLUMN(NOTA[ID]))&amp;":"&amp;ADDRESS(ROW(),COLUMN(NOTA[ID]))),-1)))</f>
        <v/>
      </c>
      <c r="E97" s="33"/>
      <c r="H97" s="34"/>
      <c r="Q97" s="29"/>
      <c r="R97" s="35"/>
      <c r="S97" s="36"/>
      <c r="V97" s="37"/>
      <c r="W97" s="32"/>
      <c r="X97" s="37" t="str">
        <f>IF(NOTA[[#This Row],[HARGA/ CTN]]="",NOTA[[#This Row],[JUMLAH_H]],NOTA[[#This Row],[HARGA/ CTN]]*IF(NOTA[[#This Row],[C]]="",0,NOTA[[#This Row],[C]]))</f>
        <v/>
      </c>
      <c r="Y97" s="37" t="str">
        <f>IF(NOTA[[#This Row],[JUMLAH]]="","",NOTA[[#This Row],[JUMLAH]]*NOTA[[#This Row],[DISC 1]])</f>
        <v/>
      </c>
      <c r="Z97" s="37" t="str">
        <f>IF(NOTA[[#This Row],[JUMLAH]]="","",(NOTA[[#This Row],[JUMLAH]]-NOTA[[#This Row],[DISC 1-]])*NOTA[[#This Row],[DISC 2]])</f>
        <v/>
      </c>
      <c r="AA97" s="37" t="str">
        <f>IF(NOTA[[#This Row],[JUMLAH]]="","",(NOTA[[#This Row],[JUMLAH]]-NOTA[[#This Row],[DISC 1-]]-NOTA[[#This Row],[DISC 2-]])*NOTA[[#This Row],[DISC 3]])</f>
        <v/>
      </c>
      <c r="AB97" s="37" t="str">
        <f>IF(NOTA[[#This Row],[JUMLAH]]="","",NOTA[[#This Row],[DISC 1-]]+NOTA[[#This Row],[DISC 2-]]+NOTA[[#This Row],[DISC 3-]])</f>
        <v/>
      </c>
      <c r="AC97" s="37" t="str">
        <f>IF(NOTA[[#This Row],[JUMLAH]]="","",NOTA[[#This Row],[JUMLAH]]-NOTA[[#This Row],[DISC]])</f>
        <v/>
      </c>
      <c r="AD97" s="37"/>
      <c r="AE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" s="37" t="str">
        <f>IF(OR(NOTA[[#This Row],[QTY]]="",NOTA[[#This Row],[HARGA SATUAN]]="",),"",NOTA[[#This Row],[QTY]]*NOTA[[#This Row],[HARGA SATUAN]])</f>
        <v/>
      </c>
      <c r="AI97" s="26" t="str">
        <f ca="1">IF(NOTA[[#This Row],[ID_H]]="","",INDEX(NOTA[TANGGAL],MATCH(,INDIRECT(ADDRESS(ROW(NOTA[TANGGAL]),COLUMN(NOTA[TANGGAL]))&amp;":"&amp;ADDRESS(ROW(),COLUMN(NOTA[TANGGAL]))),-1)))</f>
        <v/>
      </c>
      <c r="AJ97" s="26" t="str">
        <f ca="1">IF(NOTA[[#This Row],[ID_H]]="","",INDEX(NOTA[TGL.NOTA],MATCH(,INDIRECT(ADDRESS(ROW(NOTA[TGL.NOTA]),COLUMN(NOTA[TGL.NOTA]))&amp;":"&amp;ADDRESS(ROW(),COLUMN(NOTA[TGL.NOTA]))),-1)))</f>
        <v/>
      </c>
      <c r="AK97" s="26" t="str">
        <f ca="1">IF(NOTA[[#This Row],[ID_H]]="","",INDEX(NOTA[NO.NOTA],MATCH(NOTA[[#This Row],[ID_H]],NOTA[ID_H],0)))</f>
        <v/>
      </c>
      <c r="AL97" s="28" t="str">
        <f ca="1">IF(NOTA[[#This Row],[NAMA BARANG]]="","",INDEX(NOTA[SUPPLIER],MATCH(,INDIRECT(ADDRESS(ROW(NOTA[ID]),COLUMN(NOTA[ID]))&amp;":"&amp;ADDRESS(ROW(),COLUMN(NOTA[ID]))),-1)))</f>
        <v/>
      </c>
      <c r="AM97" s="28" t="str">
        <f ca="1">IF(NOTA[[#This Row],[ID_H]]="","",IF(NOTA[[#This Row],[FAKTUR]]="",INDIRECT(ADDRESS(ROW()-1,COLUMN())),NOTA[[#This Row],[FAKTUR]]))</f>
        <v/>
      </c>
      <c r="AN97" s="25" t="str">
        <f ca="1">IF(NOTA[[#This Row],[ID]]="","",COUNTIF(NOTA[ID_H],NOTA[[#This Row],[ID_H]]))</f>
        <v/>
      </c>
      <c r="AO97" s="25" t="str">
        <f ca="1">IF(NOTA[[#This Row],[TGL.NOTA]]="",IF(NOTA[[#This Row],[SUPPLIER_H]]="","",AO96),MONTH(NOTA[[#This Row],[TGL.NOTA]]))</f>
        <v/>
      </c>
      <c r="AP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" s="25"/>
      <c r="AU97" s="25" t="str">
        <f>IF(NOTA[[#This Row],[CONCAT1]]="","",MATCH(NOTA[[#This Row],[CONCAT1]],[3]!db[NB NOTA_C],0))</f>
        <v/>
      </c>
      <c r="AV97" s="25" t="str">
        <f>IF(NOTA[[#This Row],[QTY/ CTN]]="","",TRUE)</f>
        <v/>
      </c>
      <c r="AW97" s="25" t="str">
        <f ca="1">IF(NOTA[[#This Row],[ID_H]]="","",IF(NOTA[[#This Row],[Column3]]=TRUE,NOTA[[#This Row],[QTY/ CTN]],INDEX([3]!db[QTY/ CTN],NOTA[[#This Row],[//DB]])))</f>
        <v/>
      </c>
      <c r="AX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" s="25" t="str">
        <f ca="1">IF(NOTA[[#This Row],[ID_H]]="","",MATCH(NOTA[[#This Row],[NB NOTA_C_QTY]],[3]!db[NB NOTA_C_QTY+F],0))</f>
        <v/>
      </c>
      <c r="AZ97" s="38" t="str">
        <f ca="1">IF(NOTA[[#This Row],[NB NOTA_C_QTY]]="","",ROW()-2)</f>
        <v/>
      </c>
    </row>
    <row r="98" spans="1:52" ht="20.100000000000001" customHeight="1">
      <c r="A98" s="28">
        <f ca="1">IF(INDIRECT(ADDRESS(ROW()-1,COLUMN(NOTA[[#Headers],[ID]])))="ID",1,IF(NOTA[[#This Row],[FAKTUR]]="","",COUNT(INDIRECT(ADDRESS(ROW(NOTA[ID]),COLUMN(NOTA[ID]))&amp;":"&amp;ADDRESS(ROW()-1,COLUMN(NOTA[ID]))))+1))</f>
        <v>24</v>
      </c>
      <c r="B9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SUR_0606_24H-4</v>
      </c>
      <c r="D98" s="25">
        <f ca="1">IF(NOTA[[#This Row],[NAMA BARANG]]="","",INDEX(NOTA[ID],MATCH(,INDIRECT(ADDRESS(ROW(NOTA[ID]),COLUMN(NOTA[ID]))&amp;":"&amp;ADDRESS(ROW(),COLUMN(NOTA[ID]))),-1)))</f>
        <v>24</v>
      </c>
      <c r="E98" s="33">
        <v>45449</v>
      </c>
      <c r="F98" s="25" t="s">
        <v>259</v>
      </c>
      <c r="G98" s="25" t="s">
        <v>109</v>
      </c>
      <c r="H98" s="34" t="s">
        <v>321</v>
      </c>
      <c r="J98" s="26">
        <v>45446</v>
      </c>
      <c r="L98" s="39" t="s">
        <v>468</v>
      </c>
      <c r="M98" s="27">
        <v>4</v>
      </c>
      <c r="N98" s="25">
        <v>288</v>
      </c>
      <c r="O98" s="25" t="s">
        <v>322</v>
      </c>
      <c r="P98" s="28">
        <v>16000</v>
      </c>
      <c r="Q98" s="29"/>
      <c r="R98" s="35" t="s">
        <v>323</v>
      </c>
      <c r="S98" s="36">
        <v>0.03</v>
      </c>
      <c r="V98" s="37"/>
      <c r="W98" s="32"/>
      <c r="X98" s="37">
        <f>IF(NOTA[[#This Row],[HARGA/ CTN]]="",NOTA[[#This Row],[JUMLAH_H]],NOTA[[#This Row],[HARGA/ CTN]]*IF(NOTA[[#This Row],[C]]="",0,NOTA[[#This Row],[C]]))</f>
        <v>4608000</v>
      </c>
      <c r="Y98" s="37">
        <f>IF(NOTA[[#This Row],[JUMLAH]]="","",NOTA[[#This Row],[JUMLAH]]*NOTA[[#This Row],[DISC 1]])</f>
        <v>138240</v>
      </c>
      <c r="Z98" s="37">
        <f>IF(NOTA[[#This Row],[JUMLAH]]="","",(NOTA[[#This Row],[JUMLAH]]-NOTA[[#This Row],[DISC 1-]])*NOTA[[#This Row],[DISC 2]])</f>
        <v>0</v>
      </c>
      <c r="AA98" s="37">
        <f>IF(NOTA[[#This Row],[JUMLAH]]="","",(NOTA[[#This Row],[JUMLAH]]-NOTA[[#This Row],[DISC 1-]]-NOTA[[#This Row],[DISC 2-]])*NOTA[[#This Row],[DISC 3]])</f>
        <v>0</v>
      </c>
      <c r="AB98" s="37">
        <f>IF(NOTA[[#This Row],[JUMLAH]]="","",NOTA[[#This Row],[DISC 1-]]+NOTA[[#This Row],[DISC 2-]]+NOTA[[#This Row],[DISC 3-]])</f>
        <v>138240</v>
      </c>
      <c r="AC98" s="37">
        <f>IF(NOTA[[#This Row],[JUMLAH]]="","",NOTA[[#This Row],[JUMLAH]]-NOTA[[#This Row],[DISC]])</f>
        <v>4469760</v>
      </c>
      <c r="AD98" s="37"/>
      <c r="AE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" s="28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H98" s="37">
        <f>IF(OR(NOTA[[#This Row],[QTY]]="",NOTA[[#This Row],[HARGA SATUAN]]="",),"",NOTA[[#This Row],[QTY]]*NOTA[[#This Row],[HARGA SATUAN]])</f>
        <v>4608000</v>
      </c>
      <c r="AI98" s="26">
        <f ca="1">IF(NOTA[[#This Row],[ID_H]]="","",INDEX(NOTA[TANGGAL],MATCH(,INDIRECT(ADDRESS(ROW(NOTA[TANGGAL]),COLUMN(NOTA[TANGGAL]))&amp;":"&amp;ADDRESS(ROW(),COLUMN(NOTA[TANGGAL]))),-1)))</f>
        <v>45449</v>
      </c>
      <c r="AJ98" s="26">
        <f ca="1">IF(NOTA[[#This Row],[ID_H]]="","",INDEX(NOTA[TGL.NOTA],MATCH(,INDIRECT(ADDRESS(ROW(NOTA[TGL.NOTA]),COLUMN(NOTA[TGL.NOTA]))&amp;":"&amp;ADDRESS(ROW(),COLUMN(NOTA[TGL.NOTA]))),-1)))</f>
        <v>45446</v>
      </c>
      <c r="AK98" s="26" t="str">
        <f ca="1">IF(NOTA[[#This Row],[ID_H]]="","",INDEX(NOTA[NO.NOTA],MATCH(NOTA[[#This Row],[ID_H]],NOTA[ID_H],0)))</f>
        <v>M/102/06-24H</v>
      </c>
      <c r="AL98" s="28" t="str">
        <f ca="1">IF(NOTA[[#This Row],[NAMA BARANG]]="","",INDEX(NOTA[SUPPLIER],MATCH(,INDIRECT(ADDRESS(ROW(NOTA[ID]),COLUMN(NOTA[ID]))&amp;":"&amp;ADDRESS(ROW(),COLUMN(NOTA[ID]))),-1)))</f>
        <v>SURYA PRATAMA</v>
      </c>
      <c r="AM98" s="28" t="str">
        <f ca="1">IF(NOTA[[#This Row],[ID_H]]="","",IF(NOTA[[#This Row],[FAKTUR]]="",INDIRECT(ADDRESS(ROW()-1,COLUMN())),NOTA[[#This Row],[FAKTUR]]))</f>
        <v>UNTANA</v>
      </c>
      <c r="AN98" s="25">
        <f ca="1">IF(NOTA[[#This Row],[ID]]="","",COUNTIF(NOTA[ID_H],NOTA[[#This Row],[ID_H]]))</f>
        <v>4</v>
      </c>
      <c r="AO98" s="25">
        <f>IF(NOTA[[#This Row],[TGL.NOTA]]="",IF(NOTA[[#This Row],[SUPPLIER_H]]="","",AO97),MONTH(NOTA[[#This Row],[TGL.NOTA]]))</f>
        <v>6</v>
      </c>
      <c r="AP98" s="25" t="str">
        <f>LOWER(SUBSTITUTE(SUBSTITUTE(SUBSTITUTE(SUBSTITUTE(SUBSTITUTE(SUBSTITUTE(SUBSTITUTE(SUBSTITUTE(SUBSTITUTE(NOTA[[#This Row],[NAMA BARANG]]," ",),".",""),"-",""),"(",""),")",""),",",""),"/",""),"""",""),"+",""))</f>
        <v>acryliccolourtfac004n12x6mlneon</v>
      </c>
      <c r="AQ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acryliccolourtfac004n12x6mlneon11520000,03</v>
      </c>
      <c r="AR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acryliccolourtfac004n12x6mlneon11520000,03</v>
      </c>
      <c r="AS98" s="25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PRATAMAUNTANAM/102/06-24H45446acryliccolourtfac004n12x6mlneon</v>
      </c>
      <c r="AT98" s="25"/>
      <c r="AU98" s="25">
        <f>IF(NOTA[[#This Row],[CONCAT1]]="","",MATCH(NOTA[[#This Row],[CONCAT1]],[3]!db[NB NOTA_C],0))</f>
        <v>26</v>
      </c>
      <c r="AV98" s="25" t="b">
        <f>IF(NOTA[[#This Row],[QTY/ CTN]]="","",TRUE)</f>
        <v>1</v>
      </c>
      <c r="AW98" s="25" t="str">
        <f ca="1">IF(NOTA[[#This Row],[ID_H]]="","",IF(NOTA[[#This Row],[Column3]]=TRUE,NOTA[[#This Row],[QTY/ CTN]],INDEX([3]!db[QTY/ CTN],NOTA[[#This Row],[//DB]])))</f>
        <v>72 SET</v>
      </c>
      <c r="AX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acryliccolourtfac004n12x6mlneon72setuntana</v>
      </c>
      <c r="AY98" s="25">
        <f ca="1">IF(NOTA[[#This Row],[ID_H]]="","",MATCH(NOTA[[#This Row],[NB NOTA_C_QTY]],[3]!db[NB NOTA_C_QTY+F],0))</f>
        <v>26</v>
      </c>
      <c r="AZ98" s="38">
        <f ca="1">IF(NOTA[[#This Row],[NB NOTA_C_QTY]]="","",ROW()-2)</f>
        <v>96</v>
      </c>
    </row>
    <row r="99" spans="1:52" ht="20.100000000000001" customHeight="1">
      <c r="A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" s="25">
        <f ca="1">IF(NOTA[[#This Row],[NAMA BARANG]]="","",INDEX(NOTA[ID],MATCH(,INDIRECT(ADDRESS(ROW(NOTA[ID]),COLUMN(NOTA[ID]))&amp;":"&amp;ADDRESS(ROW(),COLUMN(NOTA[ID]))),-1)))</f>
        <v>24</v>
      </c>
      <c r="E99" s="33"/>
      <c r="H99" s="34"/>
      <c r="L99" s="39" t="s">
        <v>469</v>
      </c>
      <c r="M99" s="27">
        <v>3</v>
      </c>
      <c r="N99" s="25">
        <v>216</v>
      </c>
      <c r="O99" s="25" t="s">
        <v>322</v>
      </c>
      <c r="P99" s="28">
        <v>16000</v>
      </c>
      <c r="Q99" s="29"/>
      <c r="R99" s="35" t="s">
        <v>323</v>
      </c>
      <c r="S99" s="36">
        <v>0.03</v>
      </c>
      <c r="V99" s="37"/>
      <c r="W99" s="32"/>
      <c r="X99" s="37">
        <f>IF(NOTA[[#This Row],[HARGA/ CTN]]="",NOTA[[#This Row],[JUMLAH_H]],NOTA[[#This Row],[HARGA/ CTN]]*IF(NOTA[[#This Row],[C]]="",0,NOTA[[#This Row],[C]]))</f>
        <v>3456000</v>
      </c>
      <c r="Y99" s="37">
        <f>IF(NOTA[[#This Row],[JUMLAH]]="","",NOTA[[#This Row],[JUMLAH]]*NOTA[[#This Row],[DISC 1]])</f>
        <v>103680</v>
      </c>
      <c r="Z99" s="37">
        <f>IF(NOTA[[#This Row],[JUMLAH]]="","",(NOTA[[#This Row],[JUMLAH]]-NOTA[[#This Row],[DISC 1-]])*NOTA[[#This Row],[DISC 2]])</f>
        <v>0</v>
      </c>
      <c r="AA99" s="37">
        <f>IF(NOTA[[#This Row],[JUMLAH]]="","",(NOTA[[#This Row],[JUMLAH]]-NOTA[[#This Row],[DISC 1-]]-NOTA[[#This Row],[DISC 2-]])*NOTA[[#This Row],[DISC 3]])</f>
        <v>0</v>
      </c>
      <c r="AB99" s="37">
        <f>IF(NOTA[[#This Row],[JUMLAH]]="","",NOTA[[#This Row],[DISC 1-]]+NOTA[[#This Row],[DISC 2-]]+NOTA[[#This Row],[DISC 3-]])</f>
        <v>103680</v>
      </c>
      <c r="AC99" s="37">
        <f>IF(NOTA[[#This Row],[JUMLAH]]="","",NOTA[[#This Row],[JUMLAH]]-NOTA[[#This Row],[DISC]])</f>
        <v>3352320</v>
      </c>
      <c r="AD99" s="37"/>
      <c r="AE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" s="28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H99" s="37">
        <f>IF(OR(NOTA[[#This Row],[QTY]]="",NOTA[[#This Row],[HARGA SATUAN]]="",),"",NOTA[[#This Row],[QTY]]*NOTA[[#This Row],[HARGA SATUAN]])</f>
        <v>3456000</v>
      </c>
      <c r="AI99" s="26">
        <f ca="1">IF(NOTA[[#This Row],[ID_H]]="","",INDEX(NOTA[TANGGAL],MATCH(,INDIRECT(ADDRESS(ROW(NOTA[TANGGAL]),COLUMN(NOTA[TANGGAL]))&amp;":"&amp;ADDRESS(ROW(),COLUMN(NOTA[TANGGAL]))),-1)))</f>
        <v>45449</v>
      </c>
      <c r="AJ99" s="26">
        <f ca="1">IF(NOTA[[#This Row],[ID_H]]="","",INDEX(NOTA[TGL.NOTA],MATCH(,INDIRECT(ADDRESS(ROW(NOTA[TGL.NOTA]),COLUMN(NOTA[TGL.NOTA]))&amp;":"&amp;ADDRESS(ROW(),COLUMN(NOTA[TGL.NOTA]))),-1)))</f>
        <v>45446</v>
      </c>
      <c r="AK99" s="26" t="str">
        <f ca="1">IF(NOTA[[#This Row],[ID_H]]="","",INDEX(NOTA[NO.NOTA],MATCH(NOTA[[#This Row],[ID_H]],NOTA[ID_H],0)))</f>
        <v>M/102/06-24H</v>
      </c>
      <c r="AL99" s="28" t="str">
        <f ca="1">IF(NOTA[[#This Row],[NAMA BARANG]]="","",INDEX(NOTA[SUPPLIER],MATCH(,INDIRECT(ADDRESS(ROW(NOTA[ID]),COLUMN(NOTA[ID]))&amp;":"&amp;ADDRESS(ROW(),COLUMN(NOTA[ID]))),-1)))</f>
        <v>SURYA PRATAMA</v>
      </c>
      <c r="AM99" s="28" t="str">
        <f ca="1">IF(NOTA[[#This Row],[ID_H]]="","",IF(NOTA[[#This Row],[FAKTUR]]="",INDIRECT(ADDRESS(ROW()-1,COLUMN())),NOTA[[#This Row],[FAKTUR]]))</f>
        <v>UNTANA</v>
      </c>
      <c r="AN99" s="25" t="str">
        <f ca="1">IF(NOTA[[#This Row],[ID]]="","",COUNTIF(NOTA[ID_H],NOTA[[#This Row],[ID_H]]))</f>
        <v/>
      </c>
      <c r="AO99" s="25">
        <f ca="1">IF(NOTA[[#This Row],[TGL.NOTA]]="",IF(NOTA[[#This Row],[SUPPLIER_H]]="","",AO98),MONTH(NOTA[[#This Row],[TGL.NOTA]]))</f>
        <v>6</v>
      </c>
      <c r="AP99" s="25" t="str">
        <f>LOWER(SUBSTITUTE(SUBSTITUTE(SUBSTITUTE(SUBSTITUTE(SUBSTITUTE(SUBSTITUTE(SUBSTITUTE(SUBSTITUTE(SUBSTITUTE(NOTA[[#This Row],[NAMA BARANG]]," ",),".",""),"-",""),"(",""),")",""),",",""),"/",""),"""",""),"+",""))</f>
        <v>acryliccolourtfac005p12x6mlpastel</v>
      </c>
      <c r="AQ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acryliccolourtfac005p12x6mlpastel11520000,03</v>
      </c>
      <c r="AR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acryliccolourtfac005p12x6mlpastel11520000,03</v>
      </c>
      <c r="AS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" s="25"/>
      <c r="AU99" s="25">
        <f>IF(NOTA[[#This Row],[CONCAT1]]="","",MATCH(NOTA[[#This Row],[CONCAT1]],[3]!db[NB NOTA_C],0))</f>
        <v>27</v>
      </c>
      <c r="AV99" s="25" t="b">
        <f>IF(NOTA[[#This Row],[QTY/ CTN]]="","",TRUE)</f>
        <v>1</v>
      </c>
      <c r="AW99" s="25" t="str">
        <f ca="1">IF(NOTA[[#This Row],[ID_H]]="","",IF(NOTA[[#This Row],[Column3]]=TRUE,NOTA[[#This Row],[QTY/ CTN]],INDEX([3]!db[QTY/ CTN],NOTA[[#This Row],[//DB]])))</f>
        <v>72 SET</v>
      </c>
      <c r="AX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acryliccolourtfac005p12x6mlpastel72setuntana</v>
      </c>
      <c r="AY99" s="25">
        <f ca="1">IF(NOTA[[#This Row],[ID_H]]="","",MATCH(NOTA[[#This Row],[NB NOTA_C_QTY]],[3]!db[NB NOTA_C_QTY+F],0))</f>
        <v>27</v>
      </c>
      <c r="AZ99" s="38">
        <f ca="1">IF(NOTA[[#This Row],[NB NOTA_C_QTY]]="","",ROW()-2)</f>
        <v>97</v>
      </c>
    </row>
    <row r="100" spans="1:52" ht="20.100000000000001" customHeight="1">
      <c r="A1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" s="25">
        <f ca="1">IF(NOTA[[#This Row],[NAMA BARANG]]="","",INDEX(NOTA[ID],MATCH(,INDIRECT(ADDRESS(ROW(NOTA[ID]),COLUMN(NOTA[ID]))&amp;":"&amp;ADDRESS(ROW(),COLUMN(NOTA[ID]))),-1)))</f>
        <v>24</v>
      </c>
      <c r="E100" s="33"/>
      <c r="H100" s="34"/>
      <c r="L100" s="39" t="s">
        <v>470</v>
      </c>
      <c r="M100" s="27">
        <v>3</v>
      </c>
      <c r="N100" s="25">
        <v>216</v>
      </c>
      <c r="O100" s="25" t="s">
        <v>322</v>
      </c>
      <c r="P100" s="28">
        <v>16000</v>
      </c>
      <c r="Q100" s="29"/>
      <c r="R100" s="35" t="s">
        <v>323</v>
      </c>
      <c r="S100" s="36">
        <v>0.03</v>
      </c>
      <c r="V100" s="37"/>
      <c r="W100" s="32"/>
      <c r="X100" s="37">
        <f>IF(NOTA[[#This Row],[HARGA/ CTN]]="",NOTA[[#This Row],[JUMLAH_H]],NOTA[[#This Row],[HARGA/ CTN]]*IF(NOTA[[#This Row],[C]]="",0,NOTA[[#This Row],[C]]))</f>
        <v>3456000</v>
      </c>
      <c r="Y100" s="37">
        <f>IF(NOTA[[#This Row],[JUMLAH]]="","",NOTA[[#This Row],[JUMLAH]]*NOTA[[#This Row],[DISC 1]])</f>
        <v>103680</v>
      </c>
      <c r="Z100" s="37">
        <f>IF(NOTA[[#This Row],[JUMLAH]]="","",(NOTA[[#This Row],[JUMLAH]]-NOTA[[#This Row],[DISC 1-]])*NOTA[[#This Row],[DISC 2]])</f>
        <v>0</v>
      </c>
      <c r="AA100" s="37">
        <f>IF(NOTA[[#This Row],[JUMLAH]]="","",(NOTA[[#This Row],[JUMLAH]]-NOTA[[#This Row],[DISC 1-]]-NOTA[[#This Row],[DISC 2-]])*NOTA[[#This Row],[DISC 3]])</f>
        <v>0</v>
      </c>
      <c r="AB100" s="37">
        <f>IF(NOTA[[#This Row],[JUMLAH]]="","",NOTA[[#This Row],[DISC 1-]]+NOTA[[#This Row],[DISC 2-]]+NOTA[[#This Row],[DISC 3-]])</f>
        <v>103680</v>
      </c>
      <c r="AC100" s="37">
        <f>IF(NOTA[[#This Row],[JUMLAH]]="","",NOTA[[#This Row],[JUMLAH]]-NOTA[[#This Row],[DISC]])</f>
        <v>3352320</v>
      </c>
      <c r="AD100" s="37"/>
      <c r="AE1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" s="28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H100" s="37">
        <f>IF(OR(NOTA[[#This Row],[QTY]]="",NOTA[[#This Row],[HARGA SATUAN]]="",),"",NOTA[[#This Row],[QTY]]*NOTA[[#This Row],[HARGA SATUAN]])</f>
        <v>3456000</v>
      </c>
      <c r="AI100" s="26">
        <f ca="1">IF(NOTA[[#This Row],[ID_H]]="","",INDEX(NOTA[TANGGAL],MATCH(,INDIRECT(ADDRESS(ROW(NOTA[TANGGAL]),COLUMN(NOTA[TANGGAL]))&amp;":"&amp;ADDRESS(ROW(),COLUMN(NOTA[TANGGAL]))),-1)))</f>
        <v>45449</v>
      </c>
      <c r="AJ100" s="26">
        <f ca="1">IF(NOTA[[#This Row],[ID_H]]="","",INDEX(NOTA[TGL.NOTA],MATCH(,INDIRECT(ADDRESS(ROW(NOTA[TGL.NOTA]),COLUMN(NOTA[TGL.NOTA]))&amp;":"&amp;ADDRESS(ROW(),COLUMN(NOTA[TGL.NOTA]))),-1)))</f>
        <v>45446</v>
      </c>
      <c r="AK100" s="26" t="str">
        <f ca="1">IF(NOTA[[#This Row],[ID_H]]="","",INDEX(NOTA[NO.NOTA],MATCH(NOTA[[#This Row],[ID_H]],NOTA[ID_H],0)))</f>
        <v>M/102/06-24H</v>
      </c>
      <c r="AL100" s="28" t="str">
        <f ca="1">IF(NOTA[[#This Row],[NAMA BARANG]]="","",INDEX(NOTA[SUPPLIER],MATCH(,INDIRECT(ADDRESS(ROW(NOTA[ID]),COLUMN(NOTA[ID]))&amp;":"&amp;ADDRESS(ROW(),COLUMN(NOTA[ID]))),-1)))</f>
        <v>SURYA PRATAMA</v>
      </c>
      <c r="AM100" s="28" t="str">
        <f ca="1">IF(NOTA[[#This Row],[ID_H]]="","",IF(NOTA[[#This Row],[FAKTUR]]="",INDIRECT(ADDRESS(ROW()-1,COLUMN())),NOTA[[#This Row],[FAKTUR]]))</f>
        <v>UNTANA</v>
      </c>
      <c r="AN100" s="25" t="str">
        <f ca="1">IF(NOTA[[#This Row],[ID]]="","",COUNTIF(NOTA[ID_H],NOTA[[#This Row],[ID_H]]))</f>
        <v/>
      </c>
      <c r="AO100" s="25">
        <f ca="1">IF(NOTA[[#This Row],[TGL.NOTA]]="",IF(NOTA[[#This Row],[SUPPLIER_H]]="","",AO99),MONTH(NOTA[[#This Row],[TGL.NOTA]]))</f>
        <v>6</v>
      </c>
      <c r="AP100" s="25" t="str">
        <f>LOWER(SUBSTITUTE(SUBSTITUTE(SUBSTITUTE(SUBSTITUTE(SUBSTITUTE(SUBSTITUTE(SUBSTITUTE(SUBSTITUTE(SUBSTITUTE(NOTA[[#This Row],[NAMA BARANG]]," ",),".",""),"-",""),"(",""),")",""),",",""),"/",""),"""",""),"+",""))</f>
        <v>acryliccolourtfac006m12x6mlmetalic</v>
      </c>
      <c r="AQ1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acryliccolourtfac006m12x6mlmetalic11520000,03</v>
      </c>
      <c r="AR1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acryliccolourtfac006m12x6mlmetalic11520000,03</v>
      </c>
      <c r="AS1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" s="25"/>
      <c r="AU100" s="25">
        <f>IF(NOTA[[#This Row],[CONCAT1]]="","",MATCH(NOTA[[#This Row],[CONCAT1]],[3]!db[NB NOTA_C],0))</f>
        <v>28</v>
      </c>
      <c r="AV100" s="25" t="b">
        <f>IF(NOTA[[#This Row],[QTY/ CTN]]="","",TRUE)</f>
        <v>1</v>
      </c>
      <c r="AW100" s="25" t="str">
        <f ca="1">IF(NOTA[[#This Row],[ID_H]]="","",IF(NOTA[[#This Row],[Column3]]=TRUE,NOTA[[#This Row],[QTY/ CTN]],INDEX([3]!db[QTY/ CTN],NOTA[[#This Row],[//DB]])))</f>
        <v>72 SET</v>
      </c>
      <c r="AX1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acryliccolourtfac006m12x6mlmetalic72setuntana</v>
      </c>
      <c r="AY100" s="25">
        <f ca="1">IF(NOTA[[#This Row],[ID_H]]="","",MATCH(NOTA[[#This Row],[NB NOTA_C_QTY]],[3]!db[NB NOTA_C_QTY+F],0))</f>
        <v>28</v>
      </c>
      <c r="AZ100" s="38">
        <f ca="1">IF(NOTA[[#This Row],[NB NOTA_C_QTY]]="","",ROW()-2)</f>
        <v>98</v>
      </c>
    </row>
    <row r="101" spans="1:52" ht="20.100000000000001" customHeight="1">
      <c r="A1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1" s="25">
        <f ca="1">IF(NOTA[[#This Row],[NAMA BARANG]]="","",INDEX(NOTA[ID],MATCH(,INDIRECT(ADDRESS(ROW(NOTA[ID]),COLUMN(NOTA[ID]))&amp;":"&amp;ADDRESS(ROW(),COLUMN(NOTA[ID]))),-1)))</f>
        <v>24</v>
      </c>
      <c r="E101" s="33"/>
      <c r="H101" s="34"/>
      <c r="L101" s="25" t="s">
        <v>471</v>
      </c>
      <c r="N101" s="25">
        <v>60</v>
      </c>
      <c r="O101" s="25" t="s">
        <v>110</v>
      </c>
      <c r="Q101" s="29"/>
      <c r="R101" s="35"/>
      <c r="S101" s="36"/>
      <c r="V101" s="37"/>
      <c r="W101" s="32"/>
      <c r="X101" s="37" t="str">
        <f>IF(NOTA[[#This Row],[HARGA/ CTN]]="",NOTA[[#This Row],[JUMLAH_H]],NOTA[[#This Row],[HARGA/ CTN]]*IF(NOTA[[#This Row],[C]]="",0,NOTA[[#This Row],[C]]))</f>
        <v/>
      </c>
      <c r="Y101" s="37" t="str">
        <f>IF(NOTA[[#This Row],[JUMLAH]]="","",NOTA[[#This Row],[JUMLAH]]*NOTA[[#This Row],[DISC 1]])</f>
        <v/>
      </c>
      <c r="Z101" s="37" t="str">
        <f>IF(NOTA[[#This Row],[JUMLAH]]="","",(NOTA[[#This Row],[JUMLAH]]-NOTA[[#This Row],[DISC 1-]])*NOTA[[#This Row],[DISC 2]])</f>
        <v/>
      </c>
      <c r="AA101" s="37" t="str">
        <f>IF(NOTA[[#This Row],[JUMLAH]]="","",(NOTA[[#This Row],[JUMLAH]]-NOTA[[#This Row],[DISC 1-]]-NOTA[[#This Row],[DISC 2-]])*NOTA[[#This Row],[DISC 3]])</f>
        <v/>
      </c>
      <c r="AB101" s="37" t="str">
        <f>IF(NOTA[[#This Row],[JUMLAH]]="","",NOTA[[#This Row],[DISC 1-]]+NOTA[[#This Row],[DISC 2-]]+NOTA[[#This Row],[DISC 3-]])</f>
        <v/>
      </c>
      <c r="AC101" s="37" t="str">
        <f>IF(NOTA[[#This Row],[JUMLAH]]="","",NOTA[[#This Row],[JUMLAH]]-NOTA[[#This Row],[DISC]])</f>
        <v/>
      </c>
      <c r="AD101" s="37"/>
      <c r="AE10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345600</v>
      </c>
      <c r="AF10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11174400</v>
      </c>
      <c r="AG10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01" s="37" t="str">
        <f>IF(OR(NOTA[[#This Row],[QTY]]="",NOTA[[#This Row],[HARGA SATUAN]]="",),"",NOTA[[#This Row],[QTY]]*NOTA[[#This Row],[HARGA SATUAN]])</f>
        <v/>
      </c>
      <c r="AI101" s="26">
        <f ca="1">IF(NOTA[[#This Row],[ID_H]]="","",INDEX(NOTA[TANGGAL],MATCH(,INDIRECT(ADDRESS(ROW(NOTA[TANGGAL]),COLUMN(NOTA[TANGGAL]))&amp;":"&amp;ADDRESS(ROW(),COLUMN(NOTA[TANGGAL]))),-1)))</f>
        <v>45449</v>
      </c>
      <c r="AJ101" s="26">
        <f ca="1">IF(NOTA[[#This Row],[ID_H]]="","",INDEX(NOTA[TGL.NOTA],MATCH(,INDIRECT(ADDRESS(ROW(NOTA[TGL.NOTA]),COLUMN(NOTA[TGL.NOTA]))&amp;":"&amp;ADDRESS(ROW(),COLUMN(NOTA[TGL.NOTA]))),-1)))</f>
        <v>45446</v>
      </c>
      <c r="AK101" s="26" t="str">
        <f ca="1">IF(NOTA[[#This Row],[ID_H]]="","",INDEX(NOTA[NO.NOTA],MATCH(NOTA[[#This Row],[ID_H]],NOTA[ID_H],0)))</f>
        <v>M/102/06-24H</v>
      </c>
      <c r="AL101" s="28" t="str">
        <f ca="1">IF(NOTA[[#This Row],[NAMA BARANG]]="","",INDEX(NOTA[SUPPLIER],MATCH(,INDIRECT(ADDRESS(ROW(NOTA[ID]),COLUMN(NOTA[ID]))&amp;":"&amp;ADDRESS(ROW(),COLUMN(NOTA[ID]))),-1)))</f>
        <v>SURYA PRATAMA</v>
      </c>
      <c r="AM101" s="28" t="str">
        <f ca="1">IF(NOTA[[#This Row],[ID_H]]="","",IF(NOTA[[#This Row],[FAKTUR]]="",INDIRECT(ADDRESS(ROW()-1,COLUMN())),NOTA[[#This Row],[FAKTUR]]))</f>
        <v>UNTANA</v>
      </c>
      <c r="AN101" s="25" t="str">
        <f ca="1">IF(NOTA[[#This Row],[ID]]="","",COUNTIF(NOTA[ID_H],NOTA[[#This Row],[ID_H]]))</f>
        <v/>
      </c>
      <c r="AO101" s="25">
        <f ca="1">IF(NOTA[[#This Row],[TGL.NOTA]]="",IF(NOTA[[#This Row],[SUPPLIER_H]]="","",AO100),MONTH(NOTA[[#This Row],[TGL.NOTA]]))</f>
        <v>6</v>
      </c>
      <c r="AP101" s="25" t="str">
        <f>LOWER(SUBSTITUTE(SUBSTITUTE(SUBSTITUTE(SUBSTITUTE(SUBSTITUTE(SUBSTITUTE(SUBSTITUTE(SUBSTITUTE(SUBSTITUTE(NOTA[[#This Row],[NAMA BARANG]]," ",),".",""),"-",""),"(",""),")",""),",",""),"/",""),"""",""),"+",""))</f>
        <v>ballpenpromosiwy851a4wr</v>
      </c>
      <c r="AQ1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ballpenpromosiwy851a4wr0</v>
      </c>
      <c r="AR1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ballpenpromosiwy851a4wr0</v>
      </c>
      <c r="AS1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1" s="25"/>
      <c r="AU101" s="25">
        <f>IF(NOTA[[#This Row],[CONCAT1]]="","",MATCH(NOTA[[#This Row],[CONCAT1]],[3]!db[NB NOTA_C],0))</f>
        <v>3435</v>
      </c>
      <c r="AV101" s="25" t="str">
        <f>IF(NOTA[[#This Row],[QTY/ CTN]]="","",TRUE)</f>
        <v/>
      </c>
      <c r="AW101" s="25" t="str">
        <f ca="1">IF(NOTA[[#This Row],[ID_H]]="","",IF(NOTA[[#This Row],[Column3]]=TRUE,NOTA[[#This Row],[QTY/ CTN]],INDEX([3]!db[QTY/ CTN],NOTA[[#This Row],[//DB]])))</f>
        <v>144 LSN</v>
      </c>
      <c r="AX1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ballpenpromosiwy851a4wr144lsnuntana</v>
      </c>
      <c r="AY101" s="25">
        <f ca="1">IF(NOTA[[#This Row],[ID_H]]="","",MATCH(NOTA[[#This Row],[NB NOTA_C_QTY]],[3]!db[NB NOTA_C_QTY+F],0))</f>
        <v>3435</v>
      </c>
      <c r="AZ101" s="38">
        <f ca="1">IF(NOTA[[#This Row],[NB NOTA_C_QTY]]="","",ROW()-2)</f>
        <v>99</v>
      </c>
    </row>
    <row r="102" spans="1:52" ht="20.100000000000001" customHeight="1">
      <c r="A1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2" s="25" t="str">
        <f ca="1">IF(NOTA[[#This Row],[NAMA BARANG]]="","",INDEX(NOTA[ID],MATCH(,INDIRECT(ADDRESS(ROW(NOTA[ID]),COLUMN(NOTA[ID]))&amp;":"&amp;ADDRESS(ROW(),COLUMN(NOTA[ID]))),-1)))</f>
        <v/>
      </c>
      <c r="E102" s="33"/>
      <c r="H102" s="34"/>
      <c r="Q102" s="29"/>
      <c r="R102" s="35"/>
      <c r="S102" s="36"/>
      <c r="V102" s="37"/>
      <c r="W102" s="32"/>
      <c r="X102" s="37" t="str">
        <f>IF(NOTA[[#This Row],[HARGA/ CTN]]="",NOTA[[#This Row],[JUMLAH_H]],NOTA[[#This Row],[HARGA/ CTN]]*IF(NOTA[[#This Row],[C]]="",0,NOTA[[#This Row],[C]]))</f>
        <v/>
      </c>
      <c r="Y102" s="37" t="str">
        <f>IF(NOTA[[#This Row],[JUMLAH]]="","",NOTA[[#This Row],[JUMLAH]]*NOTA[[#This Row],[DISC 1]])</f>
        <v/>
      </c>
      <c r="Z102" s="37" t="str">
        <f>IF(NOTA[[#This Row],[JUMLAH]]="","",(NOTA[[#This Row],[JUMLAH]]-NOTA[[#This Row],[DISC 1-]])*NOTA[[#This Row],[DISC 2]])</f>
        <v/>
      </c>
      <c r="AA102" s="37" t="str">
        <f>IF(NOTA[[#This Row],[JUMLAH]]="","",(NOTA[[#This Row],[JUMLAH]]-NOTA[[#This Row],[DISC 1-]]-NOTA[[#This Row],[DISC 2-]])*NOTA[[#This Row],[DISC 3]])</f>
        <v/>
      </c>
      <c r="AB102" s="37" t="str">
        <f>IF(NOTA[[#This Row],[JUMLAH]]="","",NOTA[[#This Row],[DISC 1-]]+NOTA[[#This Row],[DISC 2-]]+NOTA[[#This Row],[DISC 3-]])</f>
        <v/>
      </c>
      <c r="AC102" s="37" t="str">
        <f>IF(NOTA[[#This Row],[JUMLAH]]="","",NOTA[[#This Row],[JUMLAH]]-NOTA[[#This Row],[DISC]])</f>
        <v/>
      </c>
      <c r="AD102" s="37"/>
      <c r="AE1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2" s="37" t="str">
        <f>IF(OR(NOTA[[#This Row],[QTY]]="",NOTA[[#This Row],[HARGA SATUAN]]="",),"",NOTA[[#This Row],[QTY]]*NOTA[[#This Row],[HARGA SATUAN]])</f>
        <v/>
      </c>
      <c r="AI102" s="26" t="str">
        <f ca="1">IF(NOTA[[#This Row],[ID_H]]="","",INDEX(NOTA[TANGGAL],MATCH(,INDIRECT(ADDRESS(ROW(NOTA[TANGGAL]),COLUMN(NOTA[TANGGAL]))&amp;":"&amp;ADDRESS(ROW(),COLUMN(NOTA[TANGGAL]))),-1)))</f>
        <v/>
      </c>
      <c r="AJ102" s="26" t="str">
        <f ca="1">IF(NOTA[[#This Row],[ID_H]]="","",INDEX(NOTA[TGL.NOTA],MATCH(,INDIRECT(ADDRESS(ROW(NOTA[TGL.NOTA]),COLUMN(NOTA[TGL.NOTA]))&amp;":"&amp;ADDRESS(ROW(),COLUMN(NOTA[TGL.NOTA]))),-1)))</f>
        <v/>
      </c>
      <c r="AK102" s="26" t="str">
        <f ca="1">IF(NOTA[[#This Row],[ID_H]]="","",INDEX(NOTA[NO.NOTA],MATCH(NOTA[[#This Row],[ID_H]],NOTA[ID_H],0)))</f>
        <v/>
      </c>
      <c r="AL102" s="28" t="str">
        <f ca="1">IF(NOTA[[#This Row],[NAMA BARANG]]="","",INDEX(NOTA[SUPPLIER],MATCH(,INDIRECT(ADDRESS(ROW(NOTA[ID]),COLUMN(NOTA[ID]))&amp;":"&amp;ADDRESS(ROW(),COLUMN(NOTA[ID]))),-1)))</f>
        <v/>
      </c>
      <c r="AM102" s="28" t="str">
        <f ca="1">IF(NOTA[[#This Row],[ID_H]]="","",IF(NOTA[[#This Row],[FAKTUR]]="",INDIRECT(ADDRESS(ROW()-1,COLUMN())),NOTA[[#This Row],[FAKTUR]]))</f>
        <v/>
      </c>
      <c r="AN102" s="25" t="str">
        <f ca="1">IF(NOTA[[#This Row],[ID]]="","",COUNTIF(NOTA[ID_H],NOTA[[#This Row],[ID_H]]))</f>
        <v/>
      </c>
      <c r="AO102" s="25" t="str">
        <f ca="1">IF(NOTA[[#This Row],[TGL.NOTA]]="",IF(NOTA[[#This Row],[SUPPLIER_H]]="","",AO101),MONTH(NOTA[[#This Row],[TGL.NOTA]]))</f>
        <v/>
      </c>
      <c r="AP1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2" s="25"/>
      <c r="AU102" s="25" t="str">
        <f>IF(NOTA[[#This Row],[CONCAT1]]="","",MATCH(NOTA[[#This Row],[CONCAT1]],[3]!db[NB NOTA_C],0))</f>
        <v/>
      </c>
      <c r="AV102" s="25" t="str">
        <f>IF(NOTA[[#This Row],[QTY/ CTN]]="","",TRUE)</f>
        <v/>
      </c>
      <c r="AW102" s="25" t="str">
        <f ca="1">IF(NOTA[[#This Row],[ID_H]]="","",IF(NOTA[[#This Row],[Column3]]=TRUE,NOTA[[#This Row],[QTY/ CTN]],INDEX([3]!db[QTY/ CTN],NOTA[[#This Row],[//DB]])))</f>
        <v/>
      </c>
      <c r="AX1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2" s="25" t="str">
        <f ca="1">IF(NOTA[[#This Row],[ID_H]]="","",MATCH(NOTA[[#This Row],[NB NOTA_C_QTY]],[3]!db[NB NOTA_C_QTY+F],0))</f>
        <v/>
      </c>
      <c r="AZ102" s="38" t="str">
        <f ca="1">IF(NOTA[[#This Row],[NB NOTA_C_QTY]]="","",ROW()-2)</f>
        <v/>
      </c>
    </row>
    <row r="103" spans="1:52" ht="20.100000000000001" customHeight="1">
      <c r="A103" s="28">
        <f ca="1">IF(INDIRECT(ADDRESS(ROW()-1,COLUMN(NOTA[[#Headers],[ID]])))="ID",1,IF(NOTA[[#This Row],[FAKTUR]]="","",COUNT(INDIRECT(ADDRESS(ROW(NOTA[ID]),COLUMN(NOTA[ID]))&amp;":"&amp;ADDRESS(ROW()-1,COLUMN(NOTA[ID]))))+1))</f>
        <v>25</v>
      </c>
      <c r="B10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GLO_0606_ 31-1</v>
      </c>
      <c r="D103" s="25">
        <f ca="1">IF(NOTA[[#This Row],[NAMA BARANG]]="","",INDEX(NOTA[ID],MATCH(,INDIRECT(ADDRESS(ROW(NOTA[ID]),COLUMN(NOTA[ID]))&amp;":"&amp;ADDRESS(ROW(),COLUMN(NOTA[ID]))),-1)))</f>
        <v>25</v>
      </c>
      <c r="E103" s="33"/>
      <c r="F103" s="25" t="s">
        <v>324</v>
      </c>
      <c r="G103" s="25" t="s">
        <v>109</v>
      </c>
      <c r="H103" s="34" t="s">
        <v>325</v>
      </c>
      <c r="J103" s="26">
        <v>45449</v>
      </c>
      <c r="L103" s="25" t="s">
        <v>326</v>
      </c>
      <c r="N103" s="25">
        <v>120</v>
      </c>
      <c r="O103" s="25" t="s">
        <v>111</v>
      </c>
      <c r="P103" s="28">
        <v>13000</v>
      </c>
      <c r="Q103" s="29"/>
      <c r="R103" s="35"/>
      <c r="S103" s="36">
        <v>0.05</v>
      </c>
      <c r="V103" s="37"/>
      <c r="W103" s="32" t="s">
        <v>327</v>
      </c>
      <c r="X103" s="37">
        <f>IF(NOTA[[#This Row],[HARGA/ CTN]]="",NOTA[[#This Row],[JUMLAH_H]],NOTA[[#This Row],[HARGA/ CTN]]*IF(NOTA[[#This Row],[C]]="",0,NOTA[[#This Row],[C]]))</f>
        <v>1560000</v>
      </c>
      <c r="Y103" s="37">
        <f>IF(NOTA[[#This Row],[JUMLAH]]="","",NOTA[[#This Row],[JUMLAH]]*NOTA[[#This Row],[DISC 1]])</f>
        <v>78000</v>
      </c>
      <c r="Z103" s="37">
        <f>IF(NOTA[[#This Row],[JUMLAH]]="","",(NOTA[[#This Row],[JUMLAH]]-NOTA[[#This Row],[DISC 1-]])*NOTA[[#This Row],[DISC 2]])</f>
        <v>0</v>
      </c>
      <c r="AA103" s="37">
        <f>IF(NOTA[[#This Row],[JUMLAH]]="","",(NOTA[[#This Row],[JUMLAH]]-NOTA[[#This Row],[DISC 1-]]-NOTA[[#This Row],[DISC 2-]])*NOTA[[#This Row],[DISC 3]])</f>
        <v>0</v>
      </c>
      <c r="AB103" s="37">
        <f>IF(NOTA[[#This Row],[JUMLAH]]="","",NOTA[[#This Row],[DISC 1-]]+NOTA[[#This Row],[DISC 2-]]+NOTA[[#This Row],[DISC 3-]])</f>
        <v>78000</v>
      </c>
      <c r="AC103" s="37">
        <f>IF(NOTA[[#This Row],[JUMLAH]]="","",NOTA[[#This Row],[JUMLAH]]-NOTA[[#This Row],[DISC]])</f>
        <v>1482000</v>
      </c>
      <c r="AD103" s="37"/>
      <c r="AE10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F10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G103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103" s="37">
        <f>IF(OR(NOTA[[#This Row],[QTY]]="",NOTA[[#This Row],[HARGA SATUAN]]="",),"",NOTA[[#This Row],[QTY]]*NOTA[[#This Row],[HARGA SATUAN]])</f>
        <v>1560000</v>
      </c>
      <c r="AI103" s="26">
        <f ca="1">IF(NOTA[[#This Row],[ID_H]]="","",INDEX(NOTA[TANGGAL],MATCH(,INDIRECT(ADDRESS(ROW(NOTA[TANGGAL]),COLUMN(NOTA[TANGGAL]))&amp;":"&amp;ADDRESS(ROW(),COLUMN(NOTA[TANGGAL]))),-1)))</f>
        <v>45449</v>
      </c>
      <c r="AJ103" s="26">
        <f ca="1">IF(NOTA[[#This Row],[ID_H]]="","",INDEX(NOTA[TGL.NOTA],MATCH(,INDIRECT(ADDRESS(ROW(NOTA[TGL.NOTA]),COLUMN(NOTA[TGL.NOTA]))&amp;":"&amp;ADDRESS(ROW(),COLUMN(NOTA[TGL.NOTA]))),-1)))</f>
        <v>45449</v>
      </c>
      <c r="AK103" s="26" t="str">
        <f ca="1">IF(NOTA[[#This Row],[ID_H]]="","",INDEX(NOTA[NO.NOTA],MATCH(NOTA[[#This Row],[ID_H]],NOTA[ID_H],0)))</f>
        <v>N 31</v>
      </c>
      <c r="AL103" s="28" t="str">
        <f ca="1">IF(NOTA[[#This Row],[NAMA BARANG]]="","",INDEX(NOTA[SUPPLIER],MATCH(,INDIRECT(ADDRESS(ROW(NOTA[ID]),COLUMN(NOTA[ID]))&amp;":"&amp;ADDRESS(ROW(),COLUMN(NOTA[ID]))),-1)))</f>
        <v>GLORY</v>
      </c>
      <c r="AM103" s="28" t="str">
        <f ca="1">IF(NOTA[[#This Row],[ID_H]]="","",IF(NOTA[[#This Row],[FAKTUR]]="",INDIRECT(ADDRESS(ROW()-1,COLUMN())),NOTA[[#This Row],[FAKTUR]]))</f>
        <v>UNTANA</v>
      </c>
      <c r="AN103" s="25">
        <f ca="1">IF(NOTA[[#This Row],[ID]]="","",COUNTIF(NOTA[ID_H],NOTA[[#This Row],[ID_H]]))</f>
        <v>1</v>
      </c>
      <c r="AO103" s="25">
        <f>IF(NOTA[[#This Row],[TGL.NOTA]]="",IF(NOTA[[#This Row],[SUPPLIER_H]]="","",AO102),MONTH(NOTA[[#This Row],[TGL.NOTA]]))</f>
        <v>6</v>
      </c>
      <c r="AP103" s="25" t="str">
        <f>LOWER(SUBSTITUTE(SUBSTITUTE(SUBSTITUTE(SUBSTITUTE(SUBSTITUTE(SUBSTITUTE(SUBSTITUTE(SUBSTITUTE(SUBSTITUTE(NOTA[[#This Row],[NAMA BARANG]]," ",),".",""),"-",""),"(",""),")",""),",",""),"/",""),"""",""),"+",""))</f>
        <v>agckpolos</v>
      </c>
      <c r="AQ1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agckpolos15600000,05</v>
      </c>
      <c r="AR1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agckpolos130000,05</v>
      </c>
      <c r="AS103" s="25" t="str">
        <f>IF(NOTA[[#This Row],[SUPPLIER]]="","",NOTA[[#This Row],[SUPPLIER]]&amp;NOTA[[#This Row],[FAKTUR]]&amp;NOTA[[#This Row],[NO.NOTA]]&amp;NOTA[[#This Row],[NO.SJ]]&amp;NOTA[[#This Row],[TGL.NOTA]]&amp;NOTA[[#This Row],[CONCAT1]])</f>
        <v>GLORYUNTANAN 3145449agckpolos</v>
      </c>
      <c r="AT103" s="25"/>
      <c r="AU103" s="25">
        <f>IF(NOTA[[#This Row],[CONCAT1]]="","",MATCH(NOTA[[#This Row],[CONCAT1]],[3]!db[NB NOTA_C],0))</f>
        <v>50</v>
      </c>
      <c r="AV103" s="25" t="str">
        <f>IF(NOTA[[#This Row],[QTY/ CTN]]="","",TRUE)</f>
        <v/>
      </c>
      <c r="AW103" s="25" t="str">
        <f ca="1">IF(NOTA[[#This Row],[ID_H]]="","",IF(NOTA[[#This Row],[Column3]]=TRUE,NOTA[[#This Row],[QTY/ CTN]],INDEX([3]!db[QTY/ CTN],NOTA[[#This Row],[//DB]])))</f>
        <v>120 PCS</v>
      </c>
      <c r="AX1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agckpolos120pcsuntana</v>
      </c>
      <c r="AY103" s="25">
        <f ca="1">IF(NOTA[[#This Row],[ID_H]]="","",MATCH(NOTA[[#This Row],[NB NOTA_C_QTY]],[3]!db[NB NOTA_C_QTY+F],0))</f>
        <v>50</v>
      </c>
      <c r="AZ103" s="38">
        <f ca="1">IF(NOTA[[#This Row],[NB NOTA_C_QTY]]="","",ROW()-2)</f>
        <v>101</v>
      </c>
    </row>
    <row r="104" spans="1:52" ht="20.100000000000001" customHeight="1">
      <c r="A1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4" s="25" t="str">
        <f ca="1">IF(NOTA[[#This Row],[NAMA BARANG]]="","",INDEX(NOTA[ID],MATCH(,INDIRECT(ADDRESS(ROW(NOTA[ID]),COLUMN(NOTA[ID]))&amp;":"&amp;ADDRESS(ROW(),COLUMN(NOTA[ID]))),-1)))</f>
        <v/>
      </c>
      <c r="E104" s="33"/>
      <c r="H104" s="34"/>
      <c r="Q104" s="29"/>
      <c r="R104" s="35"/>
      <c r="S104" s="36"/>
      <c r="V104" s="37"/>
      <c r="W104" s="32"/>
      <c r="X104" s="37" t="str">
        <f>IF(NOTA[[#This Row],[HARGA/ CTN]]="",NOTA[[#This Row],[JUMLAH_H]],NOTA[[#This Row],[HARGA/ CTN]]*IF(NOTA[[#This Row],[C]]="",0,NOTA[[#This Row],[C]]))</f>
        <v/>
      </c>
      <c r="Y104" s="37" t="str">
        <f>IF(NOTA[[#This Row],[JUMLAH]]="","",NOTA[[#This Row],[JUMLAH]]*NOTA[[#This Row],[DISC 1]])</f>
        <v/>
      </c>
      <c r="Z104" s="37" t="str">
        <f>IF(NOTA[[#This Row],[JUMLAH]]="","",(NOTA[[#This Row],[JUMLAH]]-NOTA[[#This Row],[DISC 1-]])*NOTA[[#This Row],[DISC 2]])</f>
        <v/>
      </c>
      <c r="AA104" s="37" t="str">
        <f>IF(NOTA[[#This Row],[JUMLAH]]="","",(NOTA[[#This Row],[JUMLAH]]-NOTA[[#This Row],[DISC 1-]]-NOTA[[#This Row],[DISC 2-]])*NOTA[[#This Row],[DISC 3]])</f>
        <v/>
      </c>
      <c r="AB104" s="37" t="str">
        <f>IF(NOTA[[#This Row],[JUMLAH]]="","",NOTA[[#This Row],[DISC 1-]]+NOTA[[#This Row],[DISC 2-]]+NOTA[[#This Row],[DISC 3-]])</f>
        <v/>
      </c>
      <c r="AC104" s="37" t="str">
        <f>IF(NOTA[[#This Row],[JUMLAH]]="","",NOTA[[#This Row],[JUMLAH]]-NOTA[[#This Row],[DISC]])</f>
        <v/>
      </c>
      <c r="AD104" s="37"/>
      <c r="AE1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4" s="37" t="str">
        <f>IF(OR(NOTA[[#This Row],[QTY]]="",NOTA[[#This Row],[HARGA SATUAN]]="",),"",NOTA[[#This Row],[QTY]]*NOTA[[#This Row],[HARGA SATUAN]])</f>
        <v/>
      </c>
      <c r="AI104" s="26" t="str">
        <f ca="1">IF(NOTA[[#This Row],[ID_H]]="","",INDEX(NOTA[TANGGAL],MATCH(,INDIRECT(ADDRESS(ROW(NOTA[TANGGAL]),COLUMN(NOTA[TANGGAL]))&amp;":"&amp;ADDRESS(ROW(),COLUMN(NOTA[TANGGAL]))),-1)))</f>
        <v/>
      </c>
      <c r="AJ104" s="26" t="str">
        <f ca="1">IF(NOTA[[#This Row],[ID_H]]="","",INDEX(NOTA[TGL.NOTA],MATCH(,INDIRECT(ADDRESS(ROW(NOTA[TGL.NOTA]),COLUMN(NOTA[TGL.NOTA]))&amp;":"&amp;ADDRESS(ROW(),COLUMN(NOTA[TGL.NOTA]))),-1)))</f>
        <v/>
      </c>
      <c r="AK104" s="26" t="str">
        <f ca="1">IF(NOTA[[#This Row],[ID_H]]="","",INDEX(NOTA[NO.NOTA],MATCH(NOTA[[#This Row],[ID_H]],NOTA[ID_H],0)))</f>
        <v/>
      </c>
      <c r="AL104" s="28" t="str">
        <f ca="1">IF(NOTA[[#This Row],[NAMA BARANG]]="","",INDEX(NOTA[SUPPLIER],MATCH(,INDIRECT(ADDRESS(ROW(NOTA[ID]),COLUMN(NOTA[ID]))&amp;":"&amp;ADDRESS(ROW(),COLUMN(NOTA[ID]))),-1)))</f>
        <v/>
      </c>
      <c r="AM104" s="28" t="str">
        <f ca="1">IF(NOTA[[#This Row],[ID_H]]="","",IF(NOTA[[#This Row],[FAKTUR]]="",INDIRECT(ADDRESS(ROW()-1,COLUMN())),NOTA[[#This Row],[FAKTUR]]))</f>
        <v/>
      </c>
      <c r="AN104" s="25" t="str">
        <f ca="1">IF(NOTA[[#This Row],[ID]]="","",COUNTIF(NOTA[ID_H],NOTA[[#This Row],[ID_H]]))</f>
        <v/>
      </c>
      <c r="AO104" s="25" t="str">
        <f ca="1">IF(NOTA[[#This Row],[TGL.NOTA]]="",IF(NOTA[[#This Row],[SUPPLIER_H]]="","",AO103),MONTH(NOTA[[#This Row],[TGL.NOTA]]))</f>
        <v/>
      </c>
      <c r="AP1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4" s="25"/>
      <c r="AU104" s="25" t="str">
        <f>IF(NOTA[[#This Row],[CONCAT1]]="","",MATCH(NOTA[[#This Row],[CONCAT1]],[3]!db[NB NOTA_C],0))</f>
        <v/>
      </c>
      <c r="AV104" s="25" t="str">
        <f>IF(NOTA[[#This Row],[QTY/ CTN]]="","",TRUE)</f>
        <v/>
      </c>
      <c r="AW104" s="25" t="str">
        <f ca="1">IF(NOTA[[#This Row],[ID_H]]="","",IF(NOTA[[#This Row],[Column3]]=TRUE,NOTA[[#This Row],[QTY/ CTN]],INDEX([3]!db[QTY/ CTN],NOTA[[#This Row],[//DB]])))</f>
        <v/>
      </c>
      <c r="AX1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4" s="25" t="str">
        <f ca="1">IF(NOTA[[#This Row],[ID_H]]="","",MATCH(NOTA[[#This Row],[NB NOTA_C_QTY]],[3]!db[NB NOTA_C_QTY+F],0))</f>
        <v/>
      </c>
      <c r="AZ104" s="38" t="str">
        <f ca="1">IF(NOTA[[#This Row],[NB NOTA_C_QTY]]="","",ROW()-2)</f>
        <v/>
      </c>
    </row>
    <row r="105" spans="1:52" ht="20.100000000000001" customHeight="1">
      <c r="A105" s="28">
        <f ca="1">IF(INDIRECT(ADDRESS(ROW()-1,COLUMN(NOTA[[#Headers],[ID]])))="ID",1,IF(NOTA[[#This Row],[FAKTUR]]="","",COUNT(INDIRECT(ADDRESS(ROW(NOTA[ID]),COLUMN(NOTA[ID]))&amp;":"&amp;ADDRESS(ROW()-1,COLUMN(NOTA[ID]))))+1))</f>
        <v>26</v>
      </c>
      <c r="B10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HAN_1006_083-2</v>
      </c>
      <c r="D105" s="25">
        <f ca="1">IF(NOTA[[#This Row],[NAMA BARANG]]="","",INDEX(NOTA[ID],MATCH(,INDIRECT(ADDRESS(ROW(NOTA[ID]),COLUMN(NOTA[ID]))&amp;":"&amp;ADDRESS(ROW(),COLUMN(NOTA[ID]))),-1)))</f>
        <v>26</v>
      </c>
      <c r="E105" s="33">
        <v>45453</v>
      </c>
      <c r="F105" s="25" t="s">
        <v>328</v>
      </c>
      <c r="G105" s="25" t="s">
        <v>109</v>
      </c>
      <c r="H105" s="25" t="s">
        <v>329</v>
      </c>
      <c r="J105" s="26">
        <v>45453</v>
      </c>
      <c r="L105" s="25" t="s">
        <v>330</v>
      </c>
      <c r="N105" s="25">
        <v>48</v>
      </c>
      <c r="O105" s="25" t="s">
        <v>111</v>
      </c>
      <c r="P105" s="28">
        <v>1600</v>
      </c>
      <c r="Q105" s="29"/>
      <c r="R105" s="35"/>
      <c r="S105" s="36"/>
      <c r="V105" s="37"/>
      <c r="W105" s="32"/>
      <c r="X105" s="37">
        <f>IF(NOTA[[#This Row],[HARGA/ CTN]]="",NOTA[[#This Row],[JUMLAH_H]],NOTA[[#This Row],[HARGA/ CTN]]*IF(NOTA[[#This Row],[C]]="",0,NOTA[[#This Row],[C]]))</f>
        <v>76800</v>
      </c>
      <c r="Y105" s="37">
        <f>IF(NOTA[[#This Row],[JUMLAH]]="","",NOTA[[#This Row],[JUMLAH]]*NOTA[[#This Row],[DISC 1]])</f>
        <v>0</v>
      </c>
      <c r="Z105" s="37">
        <f>IF(NOTA[[#This Row],[JUMLAH]]="","",(NOTA[[#This Row],[JUMLAH]]-NOTA[[#This Row],[DISC 1-]])*NOTA[[#This Row],[DISC 2]])</f>
        <v>0</v>
      </c>
      <c r="AA105" s="37">
        <f>IF(NOTA[[#This Row],[JUMLAH]]="","",(NOTA[[#This Row],[JUMLAH]]-NOTA[[#This Row],[DISC 1-]]-NOTA[[#This Row],[DISC 2-]])*NOTA[[#This Row],[DISC 3]])</f>
        <v>0</v>
      </c>
      <c r="AB105" s="37">
        <f>IF(NOTA[[#This Row],[JUMLAH]]="","",NOTA[[#This Row],[DISC 1-]]+NOTA[[#This Row],[DISC 2-]]+NOTA[[#This Row],[DISC 3-]])</f>
        <v>0</v>
      </c>
      <c r="AC105" s="37">
        <f>IF(NOTA[[#This Row],[JUMLAH]]="","",NOTA[[#This Row],[JUMLAH]]-NOTA[[#This Row],[DISC]])</f>
        <v>76800</v>
      </c>
      <c r="AD105" s="37"/>
      <c r="AE1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5" s="28">
        <f>IF(NOTA[[#This Row],[NAMA BARANG]]="","",IF(NOTA[[#This Row],[JUMLAH_H]]="",NOTA[[#This Row],[HARGA/ CTN]],NOTA[[#This Row],[QTY]]*NOTA[[#This Row],[HARGA SATUAN]]/IF(ISNUMBER(NOTA[[#This Row],[C]]),NOTA[[#This Row],[C]],1)))</f>
        <v>76800</v>
      </c>
      <c r="AH105" s="37">
        <f>IF(OR(NOTA[[#This Row],[QTY]]="",NOTA[[#This Row],[HARGA SATUAN]]="",),"",NOTA[[#This Row],[QTY]]*NOTA[[#This Row],[HARGA SATUAN]])</f>
        <v>76800</v>
      </c>
      <c r="AI105" s="26">
        <f ca="1">IF(NOTA[[#This Row],[ID_H]]="","",INDEX(NOTA[TANGGAL],MATCH(,INDIRECT(ADDRESS(ROW(NOTA[TANGGAL]),COLUMN(NOTA[TANGGAL]))&amp;":"&amp;ADDRESS(ROW(),COLUMN(NOTA[TANGGAL]))),-1)))</f>
        <v>45453</v>
      </c>
      <c r="AJ105" s="26">
        <f ca="1">IF(NOTA[[#This Row],[ID_H]]="","",INDEX(NOTA[TGL.NOTA],MATCH(,INDIRECT(ADDRESS(ROW(NOTA[TGL.NOTA]),COLUMN(NOTA[TGL.NOTA]))&amp;":"&amp;ADDRESS(ROW(),COLUMN(NOTA[TGL.NOTA]))),-1)))</f>
        <v>45453</v>
      </c>
      <c r="AK105" s="26" t="str">
        <f ca="1">IF(NOTA[[#This Row],[ID_H]]="","",INDEX(NOTA[NO.NOTA],MATCH(NOTA[[#This Row],[ID_H]],NOTA[ID_H],0)))</f>
        <v>HN0622024083</v>
      </c>
      <c r="AL105" s="28" t="str">
        <f ca="1">IF(NOTA[[#This Row],[NAMA BARANG]]="","",INDEX(NOTA[SUPPLIER],MATCH(,INDIRECT(ADDRESS(ROW(NOTA[ID]),COLUMN(NOTA[ID]))&amp;":"&amp;ADDRESS(ROW(),COLUMN(NOTA[ID]))),-1)))</f>
        <v>HANSA</v>
      </c>
      <c r="AM105" s="28" t="str">
        <f ca="1">IF(NOTA[[#This Row],[ID_H]]="","",IF(NOTA[[#This Row],[FAKTUR]]="",INDIRECT(ADDRESS(ROW()-1,COLUMN())),NOTA[[#This Row],[FAKTUR]]))</f>
        <v>UNTANA</v>
      </c>
      <c r="AN105" s="25">
        <f ca="1">IF(NOTA[[#This Row],[ID]]="","",COUNTIF(NOTA[ID_H],NOTA[[#This Row],[ID_H]]))</f>
        <v>2</v>
      </c>
      <c r="AO105" s="25">
        <f>IF(NOTA[[#This Row],[TGL.NOTA]]="",IF(NOTA[[#This Row],[SUPPLIER_H]]="","",AO104),MONTH(NOTA[[#This Row],[TGL.NOTA]]))</f>
        <v>6</v>
      </c>
      <c r="AP105" s="25" t="str">
        <f>LOWER(SUBSTITUTE(SUBSTITUTE(SUBSTITUTE(SUBSTITUTE(SUBSTITUTE(SUBSTITUTE(SUBSTITUTE(SUBSTITUTE(SUBSTITUTE(NOTA[[#This Row],[NAMA BARANG]]," ",),".",""),"-",""),"(",""),")",""),",",""),"/",""),"""",""),"+",""))</f>
        <v>malamshintoengk612w</v>
      </c>
      <c r="AQ1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</v>
      </c>
      <c r="AR1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S105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HANSAUNTANAHN062202408345453malamshintoengk612w</v>
      </c>
      <c r="AT105" s="25"/>
      <c r="AU105" s="25">
        <f>IF(NOTA[[#This Row],[CONCAT1]]="","",MATCH(NOTA[[#This Row],[CONCAT1]],[3]!db[NB NOTA_C],0))</f>
        <v>2056</v>
      </c>
      <c r="AV105" s="25" t="str">
        <f>IF(NOTA[[#This Row],[QTY/ CTN]]="","",TRUE)</f>
        <v/>
      </c>
      <c r="AW105" s="25" t="str">
        <f ca="1">IF(NOTA[[#This Row],[ID_H]]="","",IF(NOTA[[#This Row],[Column3]]=TRUE,NOTA[[#This Row],[QTY/ CTN]],INDEX([3]!db[QTY/ CTN],NOTA[[#This Row],[//DB]])))</f>
        <v>480 PCS</v>
      </c>
      <c r="AX1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Y105" s="25">
        <f ca="1">IF(NOTA[[#This Row],[ID_H]]="","",MATCH(NOTA[[#This Row],[NB NOTA_C_QTY]],[3]!db[NB NOTA_C_QTY+F],0))</f>
        <v>2056</v>
      </c>
      <c r="AZ105" s="38">
        <f ca="1">IF(NOTA[[#This Row],[NB NOTA_C_QTY]]="","",ROW()-2)</f>
        <v>103</v>
      </c>
    </row>
    <row r="106" spans="1:52" ht="20.100000000000001" customHeight="1">
      <c r="A1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6" s="25">
        <f ca="1">IF(NOTA[[#This Row],[NAMA BARANG]]="","",INDEX(NOTA[ID],MATCH(,INDIRECT(ADDRESS(ROW(NOTA[ID]),COLUMN(NOTA[ID]))&amp;":"&amp;ADDRESS(ROW(),COLUMN(NOTA[ID]))),-1)))</f>
        <v>26</v>
      </c>
      <c r="E106" s="33"/>
      <c r="H106" s="34"/>
      <c r="L106" s="39" t="s">
        <v>357</v>
      </c>
      <c r="N106" s="25">
        <v>24</v>
      </c>
      <c r="O106" s="25" t="s">
        <v>111</v>
      </c>
      <c r="P106" s="28">
        <v>1600</v>
      </c>
      <c r="Q106" s="29"/>
      <c r="R106" s="35"/>
      <c r="S106" s="36"/>
      <c r="V106" s="37"/>
      <c r="W106" s="32"/>
      <c r="X106" s="37">
        <f>IF(NOTA[[#This Row],[HARGA/ CTN]]="",NOTA[[#This Row],[JUMLAH_H]],NOTA[[#This Row],[HARGA/ CTN]]*IF(NOTA[[#This Row],[C]]="",0,NOTA[[#This Row],[C]]))</f>
        <v>38400</v>
      </c>
      <c r="Y106" s="37">
        <f>IF(NOTA[[#This Row],[JUMLAH]]="","",NOTA[[#This Row],[JUMLAH]]*NOTA[[#This Row],[DISC 1]])</f>
        <v>0</v>
      </c>
      <c r="Z106" s="37">
        <f>IF(NOTA[[#This Row],[JUMLAH]]="","",(NOTA[[#This Row],[JUMLAH]]-NOTA[[#This Row],[DISC 1-]])*NOTA[[#This Row],[DISC 2]])</f>
        <v>0</v>
      </c>
      <c r="AA106" s="37">
        <f>IF(NOTA[[#This Row],[JUMLAH]]="","",(NOTA[[#This Row],[JUMLAH]]-NOTA[[#This Row],[DISC 1-]]-NOTA[[#This Row],[DISC 2-]])*NOTA[[#This Row],[DISC 3]])</f>
        <v>0</v>
      </c>
      <c r="AB106" s="37">
        <f>IF(NOTA[[#This Row],[JUMLAH]]="","",NOTA[[#This Row],[DISC 1-]]+NOTA[[#This Row],[DISC 2-]]+NOTA[[#This Row],[DISC 3-]])</f>
        <v>0</v>
      </c>
      <c r="AC106" s="37">
        <f>IF(NOTA[[#This Row],[JUMLAH]]="","",NOTA[[#This Row],[JUMLAH]]-NOTA[[#This Row],[DISC]])</f>
        <v>38400</v>
      </c>
      <c r="AD106" s="37"/>
      <c r="AE10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115200</v>
      </c>
      <c r="AG106" s="28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H106" s="37">
        <f>IF(OR(NOTA[[#This Row],[QTY]]="",NOTA[[#This Row],[HARGA SATUAN]]="",),"",NOTA[[#This Row],[QTY]]*NOTA[[#This Row],[HARGA SATUAN]])</f>
        <v>38400</v>
      </c>
      <c r="AI106" s="26">
        <f ca="1">IF(NOTA[[#This Row],[ID_H]]="","",INDEX(NOTA[TANGGAL],MATCH(,INDIRECT(ADDRESS(ROW(NOTA[TANGGAL]),COLUMN(NOTA[TANGGAL]))&amp;":"&amp;ADDRESS(ROW(),COLUMN(NOTA[TANGGAL]))),-1)))</f>
        <v>45453</v>
      </c>
      <c r="AJ106" s="26">
        <f ca="1">IF(NOTA[[#This Row],[ID_H]]="","",INDEX(NOTA[TGL.NOTA],MATCH(,INDIRECT(ADDRESS(ROW(NOTA[TGL.NOTA]),COLUMN(NOTA[TGL.NOTA]))&amp;":"&amp;ADDRESS(ROW(),COLUMN(NOTA[TGL.NOTA]))),-1)))</f>
        <v>45453</v>
      </c>
      <c r="AK106" s="26" t="str">
        <f ca="1">IF(NOTA[[#This Row],[ID_H]]="","",INDEX(NOTA[NO.NOTA],MATCH(NOTA[[#This Row],[ID_H]],NOTA[ID_H],0)))</f>
        <v>HN0622024083</v>
      </c>
      <c r="AL106" s="28" t="str">
        <f ca="1">IF(NOTA[[#This Row],[NAMA BARANG]]="","",INDEX(NOTA[SUPPLIER],MATCH(,INDIRECT(ADDRESS(ROW(NOTA[ID]),COLUMN(NOTA[ID]))&amp;":"&amp;ADDRESS(ROW(),COLUMN(NOTA[ID]))),-1)))</f>
        <v>HANSA</v>
      </c>
      <c r="AM106" s="28" t="str">
        <f ca="1">IF(NOTA[[#This Row],[ID_H]]="","",IF(NOTA[[#This Row],[FAKTUR]]="",INDIRECT(ADDRESS(ROW()-1,COLUMN())),NOTA[[#This Row],[FAKTUR]]))</f>
        <v>UNTANA</v>
      </c>
      <c r="AN106" s="25" t="str">
        <f ca="1">IF(NOTA[[#This Row],[ID]]="","",COUNTIF(NOTA[ID_H],NOTA[[#This Row],[ID_H]]))</f>
        <v/>
      </c>
      <c r="AO106" s="25">
        <f ca="1">IF(NOTA[[#This Row],[TGL.NOTA]]="",IF(NOTA[[#This Row],[SUPPLIER_H]]="","",AO105),MONTH(NOTA[[#This Row],[TGL.NOTA]]))</f>
        <v>6</v>
      </c>
      <c r="AP106" s="25" t="str">
        <f>LOWER(SUBSTITUTE(SUBSTITUTE(SUBSTITUTE(SUBSTITUTE(SUBSTITUTE(SUBSTITUTE(SUBSTITUTE(SUBSTITUTE(SUBSTITUTE(NOTA[[#This Row],[NAMA BARANG]]," ",),".",""),"-",""),"(",""),")",""),",",""),"/",""),"""",""),"+",""))</f>
        <v>malamshintoengk1wpolos</v>
      </c>
      <c r="AQ1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R1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S1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6" s="25"/>
      <c r="AU106" s="25">
        <f>IF(NOTA[[#This Row],[CONCAT1]]="","",MATCH(NOTA[[#This Row],[CONCAT1]],[3]!db[NB NOTA_C],0))</f>
        <v>2055</v>
      </c>
      <c r="AV106" s="25" t="str">
        <f>IF(NOTA[[#This Row],[QTY/ CTN]]="","",TRUE)</f>
        <v/>
      </c>
      <c r="AW106" s="25" t="str">
        <f ca="1">IF(NOTA[[#This Row],[ID_H]]="","",IF(NOTA[[#This Row],[Column3]]=TRUE,NOTA[[#This Row],[QTY/ CTN]],INDEX([3]!db[QTY/ CTN],NOTA[[#This Row],[//DB]])))</f>
        <v>480 PCS</v>
      </c>
      <c r="AX1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Y106" s="25">
        <f ca="1">IF(NOTA[[#This Row],[ID_H]]="","",MATCH(NOTA[[#This Row],[NB NOTA_C_QTY]],[3]!db[NB NOTA_C_QTY+F],0))</f>
        <v>2055</v>
      </c>
      <c r="AZ106" s="38">
        <f ca="1">IF(NOTA[[#This Row],[NB NOTA_C_QTY]]="","",ROW()-2)</f>
        <v>104</v>
      </c>
    </row>
    <row r="107" spans="1:52" ht="20.100000000000001" customHeight="1">
      <c r="A1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7" s="25" t="str">
        <f ca="1">IF(NOTA[[#This Row],[NAMA BARANG]]="","",INDEX(NOTA[ID],MATCH(,INDIRECT(ADDRESS(ROW(NOTA[ID]),COLUMN(NOTA[ID]))&amp;":"&amp;ADDRESS(ROW(),COLUMN(NOTA[ID]))),-1)))</f>
        <v/>
      </c>
      <c r="E107" s="33"/>
      <c r="H107" s="34"/>
      <c r="Q107" s="29"/>
      <c r="R107" s="35"/>
      <c r="S107" s="36"/>
      <c r="V107" s="37"/>
      <c r="W107" s="32"/>
      <c r="X107" s="37" t="str">
        <f>IF(NOTA[[#This Row],[HARGA/ CTN]]="",NOTA[[#This Row],[JUMLAH_H]],NOTA[[#This Row],[HARGA/ CTN]]*IF(NOTA[[#This Row],[C]]="",0,NOTA[[#This Row],[C]]))</f>
        <v/>
      </c>
      <c r="Y107" s="37" t="str">
        <f>IF(NOTA[[#This Row],[JUMLAH]]="","",NOTA[[#This Row],[JUMLAH]]*NOTA[[#This Row],[DISC 1]])</f>
        <v/>
      </c>
      <c r="Z107" s="37" t="str">
        <f>IF(NOTA[[#This Row],[JUMLAH]]="","",(NOTA[[#This Row],[JUMLAH]]-NOTA[[#This Row],[DISC 1-]])*NOTA[[#This Row],[DISC 2]])</f>
        <v/>
      </c>
      <c r="AA107" s="37" t="str">
        <f>IF(NOTA[[#This Row],[JUMLAH]]="","",(NOTA[[#This Row],[JUMLAH]]-NOTA[[#This Row],[DISC 1-]]-NOTA[[#This Row],[DISC 2-]])*NOTA[[#This Row],[DISC 3]])</f>
        <v/>
      </c>
      <c r="AB107" s="37" t="str">
        <f>IF(NOTA[[#This Row],[JUMLAH]]="","",NOTA[[#This Row],[DISC 1-]]+NOTA[[#This Row],[DISC 2-]]+NOTA[[#This Row],[DISC 3-]])</f>
        <v/>
      </c>
      <c r="AC107" s="37" t="str">
        <f>IF(NOTA[[#This Row],[JUMLAH]]="","",NOTA[[#This Row],[JUMLAH]]-NOTA[[#This Row],[DISC]])</f>
        <v/>
      </c>
      <c r="AD107" s="37"/>
      <c r="AE1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7" s="37" t="str">
        <f>IF(OR(NOTA[[#This Row],[QTY]]="",NOTA[[#This Row],[HARGA SATUAN]]="",),"",NOTA[[#This Row],[QTY]]*NOTA[[#This Row],[HARGA SATUAN]])</f>
        <v/>
      </c>
      <c r="AI107" s="26" t="str">
        <f ca="1">IF(NOTA[[#This Row],[ID_H]]="","",INDEX(NOTA[TANGGAL],MATCH(,INDIRECT(ADDRESS(ROW(NOTA[TANGGAL]),COLUMN(NOTA[TANGGAL]))&amp;":"&amp;ADDRESS(ROW(),COLUMN(NOTA[TANGGAL]))),-1)))</f>
        <v/>
      </c>
      <c r="AJ107" s="26" t="str">
        <f ca="1">IF(NOTA[[#This Row],[ID_H]]="","",INDEX(NOTA[TGL.NOTA],MATCH(,INDIRECT(ADDRESS(ROW(NOTA[TGL.NOTA]),COLUMN(NOTA[TGL.NOTA]))&amp;":"&amp;ADDRESS(ROW(),COLUMN(NOTA[TGL.NOTA]))),-1)))</f>
        <v/>
      </c>
      <c r="AK107" s="26" t="str">
        <f ca="1">IF(NOTA[[#This Row],[ID_H]]="","",INDEX(NOTA[NO.NOTA],MATCH(NOTA[[#This Row],[ID_H]],NOTA[ID_H],0)))</f>
        <v/>
      </c>
      <c r="AL107" s="28" t="str">
        <f ca="1">IF(NOTA[[#This Row],[NAMA BARANG]]="","",INDEX(NOTA[SUPPLIER],MATCH(,INDIRECT(ADDRESS(ROW(NOTA[ID]),COLUMN(NOTA[ID]))&amp;":"&amp;ADDRESS(ROW(),COLUMN(NOTA[ID]))),-1)))</f>
        <v/>
      </c>
      <c r="AM107" s="28" t="str">
        <f ca="1">IF(NOTA[[#This Row],[ID_H]]="","",IF(NOTA[[#This Row],[FAKTUR]]="",INDIRECT(ADDRESS(ROW()-1,COLUMN())),NOTA[[#This Row],[FAKTUR]]))</f>
        <v/>
      </c>
      <c r="AN107" s="25" t="str">
        <f ca="1">IF(NOTA[[#This Row],[ID]]="","",COUNTIF(NOTA[ID_H],NOTA[[#This Row],[ID_H]]))</f>
        <v/>
      </c>
      <c r="AO107" s="25" t="str">
        <f ca="1">IF(NOTA[[#This Row],[TGL.NOTA]]="",IF(NOTA[[#This Row],[SUPPLIER_H]]="","",AO106),MONTH(NOTA[[#This Row],[TGL.NOTA]]))</f>
        <v/>
      </c>
      <c r="AP1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7" s="25"/>
      <c r="AU107" s="25" t="str">
        <f>IF(NOTA[[#This Row],[CONCAT1]]="","",MATCH(NOTA[[#This Row],[CONCAT1]],[3]!db[NB NOTA_C],0))</f>
        <v/>
      </c>
      <c r="AV107" s="25" t="str">
        <f>IF(NOTA[[#This Row],[QTY/ CTN]]="","",TRUE)</f>
        <v/>
      </c>
      <c r="AW107" s="25" t="str">
        <f ca="1">IF(NOTA[[#This Row],[ID_H]]="","",IF(NOTA[[#This Row],[Column3]]=TRUE,NOTA[[#This Row],[QTY/ CTN]],INDEX([3]!db[QTY/ CTN],NOTA[[#This Row],[//DB]])))</f>
        <v/>
      </c>
      <c r="AX1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7" s="25" t="str">
        <f ca="1">IF(NOTA[[#This Row],[ID_H]]="","",MATCH(NOTA[[#This Row],[NB NOTA_C_QTY]],[3]!db[NB NOTA_C_QTY+F],0))</f>
        <v/>
      </c>
      <c r="AZ107" s="38" t="str">
        <f ca="1">IF(NOTA[[#This Row],[NB NOTA_C_QTY]]="","",ROW()-2)</f>
        <v/>
      </c>
    </row>
    <row r="108" spans="1:52" ht="20.100000000000001" customHeight="1">
      <c r="A108" s="28">
        <f ca="1">IF(INDIRECT(ADDRESS(ROW()-1,COLUMN(NOTA[[#Headers],[ID]])))="ID",1,IF(NOTA[[#This Row],[FAKTUR]]="","",COUNT(INDIRECT(ADDRESS(ROW(NOTA[ID]),COLUMN(NOTA[ID]))&amp;":"&amp;ADDRESS(ROW()-1,COLUMN(NOTA[ID]))))+1))</f>
        <v>27</v>
      </c>
      <c r="B10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MAR_0606_736-4</v>
      </c>
      <c r="D108" s="25">
        <f ca="1">IF(NOTA[[#This Row],[NAMA BARANG]]="","",INDEX(NOTA[ID],MATCH(,INDIRECT(ADDRESS(ROW(NOTA[ID]),COLUMN(NOTA[ID]))&amp;":"&amp;ADDRESS(ROW(),COLUMN(NOTA[ID]))),-1)))</f>
        <v>27</v>
      </c>
      <c r="E108" s="33">
        <v>45449</v>
      </c>
      <c r="F108" s="25" t="s">
        <v>331</v>
      </c>
      <c r="G108" s="25" t="s">
        <v>109</v>
      </c>
      <c r="H108" s="34" t="s">
        <v>332</v>
      </c>
      <c r="J108" s="26">
        <v>45447</v>
      </c>
      <c r="L108" s="25" t="s">
        <v>333</v>
      </c>
      <c r="M108" s="27">
        <v>1</v>
      </c>
      <c r="N108" s="25">
        <v>150</v>
      </c>
      <c r="O108" s="25" t="s">
        <v>111</v>
      </c>
      <c r="P108" s="28">
        <v>20000</v>
      </c>
      <c r="Q108" s="29"/>
      <c r="R108" s="35"/>
      <c r="S108" s="36"/>
      <c r="V108" s="37"/>
      <c r="W108" s="32"/>
      <c r="X108" s="37">
        <f>IF(NOTA[[#This Row],[HARGA/ CTN]]="",NOTA[[#This Row],[JUMLAH_H]],NOTA[[#This Row],[HARGA/ CTN]]*IF(NOTA[[#This Row],[C]]="",0,NOTA[[#This Row],[C]]))</f>
        <v>3000000</v>
      </c>
      <c r="Y108" s="37">
        <f>IF(NOTA[[#This Row],[JUMLAH]]="","",NOTA[[#This Row],[JUMLAH]]*NOTA[[#This Row],[DISC 1]])</f>
        <v>0</v>
      </c>
      <c r="Z108" s="37">
        <f>IF(NOTA[[#This Row],[JUMLAH]]="","",(NOTA[[#This Row],[JUMLAH]]-NOTA[[#This Row],[DISC 1-]])*NOTA[[#This Row],[DISC 2]])</f>
        <v>0</v>
      </c>
      <c r="AA108" s="37">
        <f>IF(NOTA[[#This Row],[JUMLAH]]="","",(NOTA[[#This Row],[JUMLAH]]-NOTA[[#This Row],[DISC 1-]]-NOTA[[#This Row],[DISC 2-]])*NOTA[[#This Row],[DISC 3]])</f>
        <v>0</v>
      </c>
      <c r="AB108" s="37">
        <f>IF(NOTA[[#This Row],[JUMLAH]]="","",NOTA[[#This Row],[DISC 1-]]+NOTA[[#This Row],[DISC 2-]]+NOTA[[#This Row],[DISC 3-]])</f>
        <v>0</v>
      </c>
      <c r="AC108" s="37">
        <f>IF(NOTA[[#This Row],[JUMLAH]]="","",NOTA[[#This Row],[JUMLAH]]-NOTA[[#This Row],[DISC]])</f>
        <v>3000000</v>
      </c>
      <c r="AD108" s="37"/>
      <c r="AE1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8" s="28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108" s="37">
        <f>IF(OR(NOTA[[#This Row],[QTY]]="",NOTA[[#This Row],[HARGA SATUAN]]="",),"",NOTA[[#This Row],[QTY]]*NOTA[[#This Row],[HARGA SATUAN]])</f>
        <v>3000000</v>
      </c>
      <c r="AI108" s="26">
        <f ca="1">IF(NOTA[[#This Row],[ID_H]]="","",INDEX(NOTA[TANGGAL],MATCH(,INDIRECT(ADDRESS(ROW(NOTA[TANGGAL]),COLUMN(NOTA[TANGGAL]))&amp;":"&amp;ADDRESS(ROW(),COLUMN(NOTA[TANGGAL]))),-1)))</f>
        <v>45449</v>
      </c>
      <c r="AJ108" s="26">
        <f ca="1">IF(NOTA[[#This Row],[ID_H]]="","",INDEX(NOTA[TGL.NOTA],MATCH(,INDIRECT(ADDRESS(ROW(NOTA[TGL.NOTA]),COLUMN(NOTA[TGL.NOTA]))&amp;":"&amp;ADDRESS(ROW(),COLUMN(NOTA[TGL.NOTA]))),-1)))</f>
        <v>45447</v>
      </c>
      <c r="AK108" s="26" t="str">
        <f ca="1">IF(NOTA[[#This Row],[ID_H]]="","",INDEX(NOTA[NO.NOTA],MATCH(NOTA[[#This Row],[ID_H]],NOTA[ID_H],0)))</f>
        <v>06736</v>
      </c>
      <c r="AL108" s="28" t="str">
        <f ca="1">IF(NOTA[[#This Row],[NAMA BARANG]]="","",INDEX(NOTA[SUPPLIER],MATCH(,INDIRECT(ADDRESS(ROW(NOTA[ID]),COLUMN(NOTA[ID]))&amp;":"&amp;ADDRESS(ROW(),COLUMN(NOTA[ID]))),-1)))</f>
        <v>MARCONATA</v>
      </c>
      <c r="AM108" s="28" t="str">
        <f ca="1">IF(NOTA[[#This Row],[ID_H]]="","",IF(NOTA[[#This Row],[FAKTUR]]="",INDIRECT(ADDRESS(ROW()-1,COLUMN())),NOTA[[#This Row],[FAKTUR]]))</f>
        <v>UNTANA</v>
      </c>
      <c r="AN108" s="25">
        <f ca="1">IF(NOTA[[#This Row],[ID]]="","",COUNTIF(NOTA[ID_H],NOTA[[#This Row],[ID_H]]))</f>
        <v>4</v>
      </c>
      <c r="AO108" s="25">
        <f>IF(NOTA[[#This Row],[TGL.NOTA]]="",IF(NOTA[[#This Row],[SUPPLIER_H]]="","",AO107),MONTH(NOTA[[#This Row],[TGL.NOTA]]))</f>
        <v>6</v>
      </c>
      <c r="AP108" s="25" t="str">
        <f>LOWER(SUBSTITUTE(SUBSTITUTE(SUBSTITUTE(SUBSTITUTE(SUBSTITUTE(SUBSTITUTE(SUBSTITUTE(SUBSTITUTE(SUBSTITUTE(NOTA[[#This Row],[NAMA BARANG]]," ",),".",""),"-",""),"(",""),")",""),",",""),"/",""),"""",""),"+",""))</f>
        <v>agbrandedkcgbuaya</v>
      </c>
      <c r="AQ1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agbrandedkcgbuaya3000000</v>
      </c>
      <c r="AR1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agbrandedkcgbuaya3000000</v>
      </c>
      <c r="AS108" s="25" t="str">
        <f>IF(NOTA[[#This Row],[SUPPLIER]]="","",NOTA[[#This Row],[SUPPLIER]]&amp;NOTA[[#This Row],[FAKTUR]]&amp;NOTA[[#This Row],[NO.NOTA]]&amp;NOTA[[#This Row],[NO.SJ]]&amp;NOTA[[#This Row],[TGL.NOTA]]&amp;NOTA[[#This Row],[CONCAT1]])</f>
        <v>MARCONATAUNTANA0673645447agbrandedkcgbuaya</v>
      </c>
      <c r="AT108" s="25"/>
      <c r="AU108" s="25">
        <f>IF(NOTA[[#This Row],[CONCAT1]]="","",MATCH(NOTA[[#This Row],[CONCAT1]],[3]!db[NB NOTA_C],0))</f>
        <v>3437</v>
      </c>
      <c r="AV108" s="25" t="str">
        <f>IF(NOTA[[#This Row],[QTY/ CTN]]="","",TRUE)</f>
        <v/>
      </c>
      <c r="AW108" s="25" t="str">
        <f ca="1">IF(NOTA[[#This Row],[ID_H]]="","",IF(NOTA[[#This Row],[Column3]]=TRUE,NOTA[[#This Row],[QTY/ CTN]],INDEX([3]!db[QTY/ CTN],NOTA[[#This Row],[//DB]])))</f>
        <v>150 PCS</v>
      </c>
      <c r="AX1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agbrandedkcgbuaya150pcsuntana</v>
      </c>
      <c r="AY108" s="25">
        <f ca="1">IF(NOTA[[#This Row],[ID_H]]="","",MATCH(NOTA[[#This Row],[NB NOTA_C_QTY]],[3]!db[NB NOTA_C_QTY+F],0))</f>
        <v>3437</v>
      </c>
      <c r="AZ108" s="38">
        <f ca="1">IF(NOTA[[#This Row],[NB NOTA_C_QTY]]="","",ROW()-2)</f>
        <v>106</v>
      </c>
    </row>
    <row r="109" spans="1:52" ht="20.100000000000001" customHeight="1">
      <c r="A1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9" s="25">
        <f ca="1">IF(NOTA[[#This Row],[NAMA BARANG]]="","",INDEX(NOTA[ID],MATCH(,INDIRECT(ADDRESS(ROW(NOTA[ID]),COLUMN(NOTA[ID]))&amp;":"&amp;ADDRESS(ROW(),COLUMN(NOTA[ID]))),-1)))</f>
        <v>27</v>
      </c>
      <c r="E109" s="33"/>
      <c r="H109" s="34"/>
      <c r="L109" s="25" t="s">
        <v>334</v>
      </c>
      <c r="M109" s="27">
        <v>1</v>
      </c>
      <c r="N109" s="25">
        <v>150</v>
      </c>
      <c r="O109" s="25" t="s">
        <v>111</v>
      </c>
      <c r="P109" s="28">
        <v>20000</v>
      </c>
      <c r="Q109" s="29"/>
      <c r="R109" s="35"/>
      <c r="S109" s="36"/>
      <c r="V109" s="37"/>
      <c r="W109" s="32"/>
      <c r="X109" s="37">
        <f>IF(NOTA[[#This Row],[HARGA/ CTN]]="",NOTA[[#This Row],[JUMLAH_H]],NOTA[[#This Row],[HARGA/ CTN]]*IF(NOTA[[#This Row],[C]]="",0,NOTA[[#This Row],[C]]))</f>
        <v>3000000</v>
      </c>
      <c r="Y109" s="37">
        <f>IF(NOTA[[#This Row],[JUMLAH]]="","",NOTA[[#This Row],[JUMLAH]]*NOTA[[#This Row],[DISC 1]])</f>
        <v>0</v>
      </c>
      <c r="Z109" s="37">
        <f>IF(NOTA[[#This Row],[JUMLAH]]="","",(NOTA[[#This Row],[JUMLAH]]-NOTA[[#This Row],[DISC 1-]])*NOTA[[#This Row],[DISC 2]])</f>
        <v>0</v>
      </c>
      <c r="AA109" s="37">
        <f>IF(NOTA[[#This Row],[JUMLAH]]="","",(NOTA[[#This Row],[JUMLAH]]-NOTA[[#This Row],[DISC 1-]]-NOTA[[#This Row],[DISC 2-]])*NOTA[[#This Row],[DISC 3]])</f>
        <v>0</v>
      </c>
      <c r="AB109" s="37">
        <f>IF(NOTA[[#This Row],[JUMLAH]]="","",NOTA[[#This Row],[DISC 1-]]+NOTA[[#This Row],[DISC 2-]]+NOTA[[#This Row],[DISC 3-]])</f>
        <v>0</v>
      </c>
      <c r="AC109" s="37">
        <f>IF(NOTA[[#This Row],[JUMLAH]]="","",NOTA[[#This Row],[JUMLAH]]-NOTA[[#This Row],[DISC]])</f>
        <v>3000000</v>
      </c>
      <c r="AD109" s="37"/>
      <c r="AE1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9" s="28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109" s="37">
        <f>IF(OR(NOTA[[#This Row],[QTY]]="",NOTA[[#This Row],[HARGA SATUAN]]="",),"",NOTA[[#This Row],[QTY]]*NOTA[[#This Row],[HARGA SATUAN]])</f>
        <v>3000000</v>
      </c>
      <c r="AI109" s="26">
        <f ca="1">IF(NOTA[[#This Row],[ID_H]]="","",INDEX(NOTA[TANGGAL],MATCH(,INDIRECT(ADDRESS(ROW(NOTA[TANGGAL]),COLUMN(NOTA[TANGGAL]))&amp;":"&amp;ADDRESS(ROW(),COLUMN(NOTA[TANGGAL]))),-1)))</f>
        <v>45449</v>
      </c>
      <c r="AJ109" s="26">
        <f ca="1">IF(NOTA[[#This Row],[ID_H]]="","",INDEX(NOTA[TGL.NOTA],MATCH(,INDIRECT(ADDRESS(ROW(NOTA[TGL.NOTA]),COLUMN(NOTA[TGL.NOTA]))&amp;":"&amp;ADDRESS(ROW(),COLUMN(NOTA[TGL.NOTA]))),-1)))</f>
        <v>45447</v>
      </c>
      <c r="AK109" s="26" t="str">
        <f ca="1">IF(NOTA[[#This Row],[ID_H]]="","",INDEX(NOTA[NO.NOTA],MATCH(NOTA[[#This Row],[ID_H]],NOTA[ID_H],0)))</f>
        <v>06736</v>
      </c>
      <c r="AL109" s="28" t="str">
        <f ca="1">IF(NOTA[[#This Row],[NAMA BARANG]]="","",INDEX(NOTA[SUPPLIER],MATCH(,INDIRECT(ADDRESS(ROW(NOTA[ID]),COLUMN(NOTA[ID]))&amp;":"&amp;ADDRESS(ROW(),COLUMN(NOTA[ID]))),-1)))</f>
        <v>MARCONATA</v>
      </c>
      <c r="AM109" s="28" t="str">
        <f ca="1">IF(NOTA[[#This Row],[ID_H]]="","",IF(NOTA[[#This Row],[FAKTUR]]="",INDIRECT(ADDRESS(ROW()-1,COLUMN())),NOTA[[#This Row],[FAKTUR]]))</f>
        <v>UNTANA</v>
      </c>
      <c r="AN109" s="25" t="str">
        <f ca="1">IF(NOTA[[#This Row],[ID]]="","",COUNTIF(NOTA[ID_H],NOTA[[#This Row],[ID_H]]))</f>
        <v/>
      </c>
      <c r="AO109" s="25">
        <f ca="1">IF(NOTA[[#This Row],[TGL.NOTA]]="",IF(NOTA[[#This Row],[SUPPLIER_H]]="","",AO108),MONTH(NOTA[[#This Row],[TGL.NOTA]]))</f>
        <v>6</v>
      </c>
      <c r="AP109" s="25" t="str">
        <f>LOWER(SUBSTITUTE(SUBSTITUTE(SUBSTITUTE(SUBSTITUTE(SUBSTITUTE(SUBSTITUTE(SUBSTITUTE(SUBSTITUTE(SUBSTITUTE(NOTA[[#This Row],[NAMA BARANG]]," ",),".",""),"-",""),"(",""),")",""),",",""),"/",""),"""",""),"+",""))</f>
        <v>agbrandedkcg237brilliant</v>
      </c>
      <c r="AQ1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agbrandedkcg237brilliant3000000</v>
      </c>
      <c r="AR1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agbrandedkcg237brilliant3000000</v>
      </c>
      <c r="AS1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9" s="25"/>
      <c r="AU109" s="25">
        <f>IF(NOTA[[#This Row],[CONCAT1]]="","",MATCH(NOTA[[#This Row],[CONCAT1]],[3]!db[NB NOTA_C],0))</f>
        <v>3438</v>
      </c>
      <c r="AV109" s="25" t="str">
        <f>IF(NOTA[[#This Row],[QTY/ CTN]]="","",TRUE)</f>
        <v/>
      </c>
      <c r="AW109" s="25" t="str">
        <f ca="1">IF(NOTA[[#This Row],[ID_H]]="","",IF(NOTA[[#This Row],[Column3]]=TRUE,NOTA[[#This Row],[QTY/ CTN]],INDEX([3]!db[QTY/ CTN],NOTA[[#This Row],[//DB]])))</f>
        <v>150 PCS</v>
      </c>
      <c r="AX1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agbrandedkcg237brilliant150pcsuntana</v>
      </c>
      <c r="AY109" s="25">
        <f ca="1">IF(NOTA[[#This Row],[ID_H]]="","",MATCH(NOTA[[#This Row],[NB NOTA_C_QTY]],[3]!db[NB NOTA_C_QTY+F],0))</f>
        <v>3438</v>
      </c>
      <c r="AZ109" s="38">
        <f ca="1">IF(NOTA[[#This Row],[NB NOTA_C_QTY]]="","",ROW()-2)</f>
        <v>107</v>
      </c>
    </row>
    <row r="110" spans="1:52" ht="20.100000000000001" customHeight="1">
      <c r="A1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10" s="25">
        <f ca="1">IF(NOTA[[#This Row],[NAMA BARANG]]="","",INDEX(NOTA[ID],MATCH(,INDIRECT(ADDRESS(ROW(NOTA[ID]),COLUMN(NOTA[ID]))&amp;":"&amp;ADDRESS(ROW(),COLUMN(NOTA[ID]))),-1)))</f>
        <v>27</v>
      </c>
      <c r="E110" s="33"/>
      <c r="H110" s="34"/>
      <c r="L110" s="25" t="s">
        <v>335</v>
      </c>
      <c r="M110" s="27">
        <v>1</v>
      </c>
      <c r="N110" s="25">
        <v>150</v>
      </c>
      <c r="P110" s="28">
        <v>20000</v>
      </c>
      <c r="Q110" s="29"/>
      <c r="R110" s="35"/>
      <c r="S110" s="36"/>
      <c r="V110" s="37"/>
      <c r="W110" s="32"/>
      <c r="X110" s="37">
        <f>IF(NOTA[[#This Row],[HARGA/ CTN]]="",NOTA[[#This Row],[JUMLAH_H]],NOTA[[#This Row],[HARGA/ CTN]]*IF(NOTA[[#This Row],[C]]="",0,NOTA[[#This Row],[C]]))</f>
        <v>3000000</v>
      </c>
      <c r="Y110" s="37">
        <f>IF(NOTA[[#This Row],[JUMLAH]]="","",NOTA[[#This Row],[JUMLAH]]*NOTA[[#This Row],[DISC 1]])</f>
        <v>0</v>
      </c>
      <c r="Z110" s="37">
        <f>IF(NOTA[[#This Row],[JUMLAH]]="","",(NOTA[[#This Row],[JUMLAH]]-NOTA[[#This Row],[DISC 1-]])*NOTA[[#This Row],[DISC 2]])</f>
        <v>0</v>
      </c>
      <c r="AA110" s="37">
        <f>IF(NOTA[[#This Row],[JUMLAH]]="","",(NOTA[[#This Row],[JUMLAH]]-NOTA[[#This Row],[DISC 1-]]-NOTA[[#This Row],[DISC 2-]])*NOTA[[#This Row],[DISC 3]])</f>
        <v>0</v>
      </c>
      <c r="AB110" s="37">
        <f>IF(NOTA[[#This Row],[JUMLAH]]="","",NOTA[[#This Row],[DISC 1-]]+NOTA[[#This Row],[DISC 2-]]+NOTA[[#This Row],[DISC 3-]])</f>
        <v>0</v>
      </c>
      <c r="AC110" s="37">
        <f>IF(NOTA[[#This Row],[JUMLAH]]="","",NOTA[[#This Row],[JUMLAH]]-NOTA[[#This Row],[DISC]])</f>
        <v>3000000</v>
      </c>
      <c r="AD110" s="37"/>
      <c r="AE1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0" s="28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110" s="37">
        <f>IF(OR(NOTA[[#This Row],[QTY]]="",NOTA[[#This Row],[HARGA SATUAN]]="",),"",NOTA[[#This Row],[QTY]]*NOTA[[#This Row],[HARGA SATUAN]])</f>
        <v>3000000</v>
      </c>
      <c r="AI110" s="26">
        <f ca="1">IF(NOTA[[#This Row],[ID_H]]="","",INDEX(NOTA[TANGGAL],MATCH(,INDIRECT(ADDRESS(ROW(NOTA[TANGGAL]),COLUMN(NOTA[TANGGAL]))&amp;":"&amp;ADDRESS(ROW(),COLUMN(NOTA[TANGGAL]))),-1)))</f>
        <v>45449</v>
      </c>
      <c r="AJ110" s="26">
        <f ca="1">IF(NOTA[[#This Row],[ID_H]]="","",INDEX(NOTA[TGL.NOTA],MATCH(,INDIRECT(ADDRESS(ROW(NOTA[TGL.NOTA]),COLUMN(NOTA[TGL.NOTA]))&amp;":"&amp;ADDRESS(ROW(),COLUMN(NOTA[TGL.NOTA]))),-1)))</f>
        <v>45447</v>
      </c>
      <c r="AK110" s="26" t="str">
        <f ca="1">IF(NOTA[[#This Row],[ID_H]]="","",INDEX(NOTA[NO.NOTA],MATCH(NOTA[[#This Row],[ID_H]],NOTA[ID_H],0)))</f>
        <v>06736</v>
      </c>
      <c r="AL110" s="28" t="str">
        <f ca="1">IF(NOTA[[#This Row],[NAMA BARANG]]="","",INDEX(NOTA[SUPPLIER],MATCH(,INDIRECT(ADDRESS(ROW(NOTA[ID]),COLUMN(NOTA[ID]))&amp;":"&amp;ADDRESS(ROW(),COLUMN(NOTA[ID]))),-1)))</f>
        <v>MARCONATA</v>
      </c>
      <c r="AM110" s="28" t="str">
        <f ca="1">IF(NOTA[[#This Row],[ID_H]]="","",IF(NOTA[[#This Row],[FAKTUR]]="",INDIRECT(ADDRESS(ROW()-1,COLUMN())),NOTA[[#This Row],[FAKTUR]]))</f>
        <v>UNTANA</v>
      </c>
      <c r="AN110" s="25" t="str">
        <f ca="1">IF(NOTA[[#This Row],[ID]]="","",COUNTIF(NOTA[ID_H],NOTA[[#This Row],[ID_H]]))</f>
        <v/>
      </c>
      <c r="AO110" s="25">
        <f ca="1">IF(NOTA[[#This Row],[TGL.NOTA]]="",IF(NOTA[[#This Row],[SUPPLIER_H]]="","",AO109),MONTH(NOTA[[#This Row],[TGL.NOTA]]))</f>
        <v>6</v>
      </c>
      <c r="AP110" s="25" t="str">
        <f>LOWER(SUBSTITUTE(SUBSTITUTE(SUBSTITUTE(SUBSTITUTE(SUBSTITUTE(SUBSTITUTE(SUBSTITUTE(SUBSTITUTE(SUBSTITUTE(NOTA[[#This Row],[NAMA BARANG]]," ",),".",""),"-",""),"(",""),")",""),",",""),"/",""),"""",""),"+",""))</f>
        <v>agbrandedkcglvbunga</v>
      </c>
      <c r="AQ1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agbrandedkcglvbunga3000000</v>
      </c>
      <c r="AR1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agbrandedkcglvbunga3000000</v>
      </c>
      <c r="AS1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0" s="25"/>
      <c r="AU110" s="25">
        <f>IF(NOTA[[#This Row],[CONCAT1]]="","",MATCH(NOTA[[#This Row],[CONCAT1]],[3]!db[NB NOTA_C],0))</f>
        <v>3439</v>
      </c>
      <c r="AV110" s="25" t="str">
        <f>IF(NOTA[[#This Row],[QTY/ CTN]]="","",TRUE)</f>
        <v/>
      </c>
      <c r="AW110" s="25" t="str">
        <f ca="1">IF(NOTA[[#This Row],[ID_H]]="","",IF(NOTA[[#This Row],[Column3]]=TRUE,NOTA[[#This Row],[QTY/ CTN]],INDEX([3]!db[QTY/ CTN],NOTA[[#This Row],[//DB]])))</f>
        <v>150 PCS</v>
      </c>
      <c r="AX1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agbrandedkcglvbunga150pcsuntana</v>
      </c>
      <c r="AY110" s="25">
        <f ca="1">IF(NOTA[[#This Row],[ID_H]]="","",MATCH(NOTA[[#This Row],[NB NOTA_C_QTY]],[3]!db[NB NOTA_C_QTY+F],0))</f>
        <v>3439</v>
      </c>
      <c r="AZ110" s="38">
        <f ca="1">IF(NOTA[[#This Row],[NB NOTA_C_QTY]]="","",ROW()-2)</f>
        <v>108</v>
      </c>
    </row>
    <row r="111" spans="1:52" ht="20.100000000000001" customHeight="1">
      <c r="A1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11" s="25">
        <f ca="1">IF(NOTA[[#This Row],[NAMA BARANG]]="","",INDEX(NOTA[ID],MATCH(,INDIRECT(ADDRESS(ROW(NOTA[ID]),COLUMN(NOTA[ID]))&amp;":"&amp;ADDRESS(ROW(),COLUMN(NOTA[ID]))),-1)))</f>
        <v>27</v>
      </c>
      <c r="E111" s="33"/>
      <c r="H111" s="34"/>
      <c r="L111" s="25" t="s">
        <v>336</v>
      </c>
      <c r="M111" s="27">
        <v>1</v>
      </c>
      <c r="N111" s="25">
        <v>150</v>
      </c>
      <c r="P111" s="28">
        <v>20000</v>
      </c>
      <c r="Q111" s="29"/>
      <c r="R111" s="35"/>
      <c r="S111" s="36"/>
      <c r="V111" s="37"/>
      <c r="W111" s="32"/>
      <c r="X111" s="37">
        <f>IF(NOTA[[#This Row],[HARGA/ CTN]]="",NOTA[[#This Row],[JUMLAH_H]],NOTA[[#This Row],[HARGA/ CTN]]*IF(NOTA[[#This Row],[C]]="",0,NOTA[[#This Row],[C]]))</f>
        <v>3000000</v>
      </c>
      <c r="Y111" s="37">
        <f>IF(NOTA[[#This Row],[JUMLAH]]="","",NOTA[[#This Row],[JUMLAH]]*NOTA[[#This Row],[DISC 1]])</f>
        <v>0</v>
      </c>
      <c r="Z111" s="37">
        <f>IF(NOTA[[#This Row],[JUMLAH]]="","",(NOTA[[#This Row],[JUMLAH]]-NOTA[[#This Row],[DISC 1-]])*NOTA[[#This Row],[DISC 2]])</f>
        <v>0</v>
      </c>
      <c r="AA111" s="37">
        <f>IF(NOTA[[#This Row],[JUMLAH]]="","",(NOTA[[#This Row],[JUMLAH]]-NOTA[[#This Row],[DISC 1-]]-NOTA[[#This Row],[DISC 2-]])*NOTA[[#This Row],[DISC 3]])</f>
        <v>0</v>
      </c>
      <c r="AB111" s="37">
        <f>IF(NOTA[[#This Row],[JUMLAH]]="","",NOTA[[#This Row],[DISC 1-]]+NOTA[[#This Row],[DISC 2-]]+NOTA[[#This Row],[DISC 3-]])</f>
        <v>0</v>
      </c>
      <c r="AC111" s="37">
        <f>IF(NOTA[[#This Row],[JUMLAH]]="","",NOTA[[#This Row],[JUMLAH]]-NOTA[[#This Row],[DISC]])</f>
        <v>3000000</v>
      </c>
      <c r="AD111" s="37"/>
      <c r="AE11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</v>
      </c>
      <c r="AG111" s="28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111" s="37">
        <f>IF(OR(NOTA[[#This Row],[QTY]]="",NOTA[[#This Row],[HARGA SATUAN]]="",),"",NOTA[[#This Row],[QTY]]*NOTA[[#This Row],[HARGA SATUAN]])</f>
        <v>3000000</v>
      </c>
      <c r="AI111" s="26">
        <f ca="1">IF(NOTA[[#This Row],[ID_H]]="","",INDEX(NOTA[TANGGAL],MATCH(,INDIRECT(ADDRESS(ROW(NOTA[TANGGAL]),COLUMN(NOTA[TANGGAL]))&amp;":"&amp;ADDRESS(ROW(),COLUMN(NOTA[TANGGAL]))),-1)))</f>
        <v>45449</v>
      </c>
      <c r="AJ111" s="26">
        <f ca="1">IF(NOTA[[#This Row],[ID_H]]="","",INDEX(NOTA[TGL.NOTA],MATCH(,INDIRECT(ADDRESS(ROW(NOTA[TGL.NOTA]),COLUMN(NOTA[TGL.NOTA]))&amp;":"&amp;ADDRESS(ROW(),COLUMN(NOTA[TGL.NOTA]))),-1)))</f>
        <v>45447</v>
      </c>
      <c r="AK111" s="26" t="str">
        <f ca="1">IF(NOTA[[#This Row],[ID_H]]="","",INDEX(NOTA[NO.NOTA],MATCH(NOTA[[#This Row],[ID_H]],NOTA[ID_H],0)))</f>
        <v>06736</v>
      </c>
      <c r="AL111" s="28" t="str">
        <f ca="1">IF(NOTA[[#This Row],[NAMA BARANG]]="","",INDEX(NOTA[SUPPLIER],MATCH(,INDIRECT(ADDRESS(ROW(NOTA[ID]),COLUMN(NOTA[ID]))&amp;":"&amp;ADDRESS(ROW(),COLUMN(NOTA[ID]))),-1)))</f>
        <v>MARCONATA</v>
      </c>
      <c r="AM111" s="28" t="str">
        <f ca="1">IF(NOTA[[#This Row],[ID_H]]="","",IF(NOTA[[#This Row],[FAKTUR]]="",INDIRECT(ADDRESS(ROW()-1,COLUMN())),NOTA[[#This Row],[FAKTUR]]))</f>
        <v>UNTANA</v>
      </c>
      <c r="AN111" s="25" t="str">
        <f ca="1">IF(NOTA[[#This Row],[ID]]="","",COUNTIF(NOTA[ID_H],NOTA[[#This Row],[ID_H]]))</f>
        <v/>
      </c>
      <c r="AO111" s="25">
        <f ca="1">IF(NOTA[[#This Row],[TGL.NOTA]]="",IF(NOTA[[#This Row],[SUPPLIER_H]]="","",AO110),MONTH(NOTA[[#This Row],[TGL.NOTA]]))</f>
        <v>6</v>
      </c>
      <c r="AP111" s="25" t="str">
        <f>LOWER(SUBSTITUTE(SUBSTITUTE(SUBSTITUTE(SUBSTITUTE(SUBSTITUTE(SUBSTITUTE(SUBSTITUTE(SUBSTITUTE(SUBSTITUTE(NOTA[[#This Row],[NAMA BARANG]]," ",),".",""),"-",""),"(",""),")",""),",",""),"/",""),"""",""),"+",""))</f>
        <v>agbrandedkcglvkotak</v>
      </c>
      <c r="AQ1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agbrandedkcglvkotak3000000</v>
      </c>
      <c r="AR1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agbrandedkcglvkotak3000000</v>
      </c>
      <c r="AS1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1" s="25"/>
      <c r="AU111" s="25">
        <f>IF(NOTA[[#This Row],[CONCAT1]]="","",MATCH(NOTA[[#This Row],[CONCAT1]],[3]!db[NB NOTA_C],0))</f>
        <v>3440</v>
      </c>
      <c r="AV111" s="25" t="str">
        <f>IF(NOTA[[#This Row],[QTY/ CTN]]="","",TRUE)</f>
        <v/>
      </c>
      <c r="AW111" s="25" t="str">
        <f ca="1">IF(NOTA[[#This Row],[ID_H]]="","",IF(NOTA[[#This Row],[Column3]]=TRUE,NOTA[[#This Row],[QTY/ CTN]],INDEX([3]!db[QTY/ CTN],NOTA[[#This Row],[//DB]])))</f>
        <v>150 PCS</v>
      </c>
      <c r="AX1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agbrandedkcglvkotak150pcsuntana</v>
      </c>
      <c r="AY111" s="25">
        <f ca="1">IF(NOTA[[#This Row],[ID_H]]="","",MATCH(NOTA[[#This Row],[NB NOTA_C_QTY]],[3]!db[NB NOTA_C_QTY+F],0))</f>
        <v>3440</v>
      </c>
      <c r="AZ111" s="38">
        <f ca="1">IF(NOTA[[#This Row],[NB NOTA_C_QTY]]="","",ROW()-2)</f>
        <v>109</v>
      </c>
    </row>
    <row r="112" spans="1:52" ht="20.100000000000001" customHeight="1">
      <c r="A1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12" s="25" t="str">
        <f ca="1">IF(NOTA[[#This Row],[NAMA BARANG]]="","",INDEX(NOTA[ID],MATCH(,INDIRECT(ADDRESS(ROW(NOTA[ID]),COLUMN(NOTA[ID]))&amp;":"&amp;ADDRESS(ROW(),COLUMN(NOTA[ID]))),-1)))</f>
        <v/>
      </c>
      <c r="E112" s="33"/>
      <c r="H112" s="34"/>
      <c r="Q112" s="29"/>
      <c r="R112" s="35"/>
      <c r="S112" s="36"/>
      <c r="V112" s="37"/>
      <c r="W112" s="32"/>
      <c r="X112" s="37" t="str">
        <f>IF(NOTA[[#This Row],[HARGA/ CTN]]="",NOTA[[#This Row],[JUMLAH_H]],NOTA[[#This Row],[HARGA/ CTN]]*IF(NOTA[[#This Row],[C]]="",0,NOTA[[#This Row],[C]]))</f>
        <v/>
      </c>
      <c r="Y112" s="37" t="str">
        <f>IF(NOTA[[#This Row],[JUMLAH]]="","",NOTA[[#This Row],[JUMLAH]]*NOTA[[#This Row],[DISC 1]])</f>
        <v/>
      </c>
      <c r="Z112" s="37" t="str">
        <f>IF(NOTA[[#This Row],[JUMLAH]]="","",(NOTA[[#This Row],[JUMLAH]]-NOTA[[#This Row],[DISC 1-]])*NOTA[[#This Row],[DISC 2]])</f>
        <v/>
      </c>
      <c r="AA112" s="37" t="str">
        <f>IF(NOTA[[#This Row],[JUMLAH]]="","",(NOTA[[#This Row],[JUMLAH]]-NOTA[[#This Row],[DISC 1-]]-NOTA[[#This Row],[DISC 2-]])*NOTA[[#This Row],[DISC 3]])</f>
        <v/>
      </c>
      <c r="AB112" s="37" t="str">
        <f>IF(NOTA[[#This Row],[JUMLAH]]="","",NOTA[[#This Row],[DISC 1-]]+NOTA[[#This Row],[DISC 2-]]+NOTA[[#This Row],[DISC 3-]])</f>
        <v/>
      </c>
      <c r="AC112" s="37" t="str">
        <f>IF(NOTA[[#This Row],[JUMLAH]]="","",NOTA[[#This Row],[JUMLAH]]-NOTA[[#This Row],[DISC]])</f>
        <v/>
      </c>
      <c r="AD112" s="37"/>
      <c r="AE1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2" s="37" t="str">
        <f>IF(OR(NOTA[[#This Row],[QTY]]="",NOTA[[#This Row],[HARGA SATUAN]]="",),"",NOTA[[#This Row],[QTY]]*NOTA[[#This Row],[HARGA SATUAN]])</f>
        <v/>
      </c>
      <c r="AI112" s="26" t="str">
        <f ca="1">IF(NOTA[[#This Row],[ID_H]]="","",INDEX(NOTA[TANGGAL],MATCH(,INDIRECT(ADDRESS(ROW(NOTA[TANGGAL]),COLUMN(NOTA[TANGGAL]))&amp;":"&amp;ADDRESS(ROW(),COLUMN(NOTA[TANGGAL]))),-1)))</f>
        <v/>
      </c>
      <c r="AJ112" s="26" t="str">
        <f ca="1">IF(NOTA[[#This Row],[ID_H]]="","",INDEX(NOTA[TGL.NOTA],MATCH(,INDIRECT(ADDRESS(ROW(NOTA[TGL.NOTA]),COLUMN(NOTA[TGL.NOTA]))&amp;":"&amp;ADDRESS(ROW(),COLUMN(NOTA[TGL.NOTA]))),-1)))</f>
        <v/>
      </c>
      <c r="AK112" s="26" t="str">
        <f ca="1">IF(NOTA[[#This Row],[ID_H]]="","",INDEX(NOTA[NO.NOTA],MATCH(NOTA[[#This Row],[ID_H]],NOTA[ID_H],0)))</f>
        <v/>
      </c>
      <c r="AL112" s="28" t="str">
        <f ca="1">IF(NOTA[[#This Row],[NAMA BARANG]]="","",INDEX(NOTA[SUPPLIER],MATCH(,INDIRECT(ADDRESS(ROW(NOTA[ID]),COLUMN(NOTA[ID]))&amp;":"&amp;ADDRESS(ROW(),COLUMN(NOTA[ID]))),-1)))</f>
        <v/>
      </c>
      <c r="AM112" s="28" t="str">
        <f ca="1">IF(NOTA[[#This Row],[ID_H]]="","",IF(NOTA[[#This Row],[FAKTUR]]="",INDIRECT(ADDRESS(ROW()-1,COLUMN())),NOTA[[#This Row],[FAKTUR]]))</f>
        <v/>
      </c>
      <c r="AN112" s="25" t="str">
        <f ca="1">IF(NOTA[[#This Row],[ID]]="","",COUNTIF(NOTA[ID_H],NOTA[[#This Row],[ID_H]]))</f>
        <v/>
      </c>
      <c r="AO112" s="25" t="str">
        <f ca="1">IF(NOTA[[#This Row],[TGL.NOTA]]="",IF(NOTA[[#This Row],[SUPPLIER_H]]="","",AO111),MONTH(NOTA[[#This Row],[TGL.NOTA]]))</f>
        <v/>
      </c>
      <c r="AP1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2" s="25"/>
      <c r="AU112" s="25" t="str">
        <f>IF(NOTA[[#This Row],[CONCAT1]]="","",MATCH(NOTA[[#This Row],[CONCAT1]],[3]!db[NB NOTA_C],0))</f>
        <v/>
      </c>
      <c r="AV112" s="25" t="str">
        <f>IF(NOTA[[#This Row],[QTY/ CTN]]="","",TRUE)</f>
        <v/>
      </c>
      <c r="AW112" s="25" t="str">
        <f ca="1">IF(NOTA[[#This Row],[ID_H]]="","",IF(NOTA[[#This Row],[Column3]]=TRUE,NOTA[[#This Row],[QTY/ CTN]],INDEX([3]!db[QTY/ CTN],NOTA[[#This Row],[//DB]])))</f>
        <v/>
      </c>
      <c r="AX1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2" s="25" t="str">
        <f ca="1">IF(NOTA[[#This Row],[ID_H]]="","",MATCH(NOTA[[#This Row],[NB NOTA_C_QTY]],[3]!db[NB NOTA_C_QTY+F],0))</f>
        <v/>
      </c>
      <c r="AZ112" s="38" t="str">
        <f ca="1">IF(NOTA[[#This Row],[NB NOTA_C_QTY]]="","",ROW()-2)</f>
        <v/>
      </c>
    </row>
    <row r="113" spans="1:52" ht="20.100000000000001" customHeight="1">
      <c r="A113" s="28">
        <f ca="1">IF(INDIRECT(ADDRESS(ROW()-1,COLUMN(NOTA[[#Headers],[ID]])))="ID",1,IF(NOTA[[#This Row],[FAKTUR]]="","",COUNT(INDIRECT(ADDRESS(ROW(NOTA[ID]),COLUMN(NOTA[ID]))&amp;":"&amp;ADDRESS(ROW()-1,COLUMN(NOTA[ID]))))+1))</f>
        <v>28</v>
      </c>
      <c r="B11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COM_1306_618-2</v>
      </c>
      <c r="D113" s="25">
        <f ca="1">IF(NOTA[[#This Row],[NAMA BARANG]]="","",INDEX(NOTA[ID],MATCH(,INDIRECT(ADDRESS(ROW(NOTA[ID]),COLUMN(NOTA[ID]))&amp;":"&amp;ADDRESS(ROW(),COLUMN(NOTA[ID]))),-1)))</f>
        <v>28</v>
      </c>
      <c r="E113" s="33">
        <v>45456</v>
      </c>
      <c r="F113" s="25" t="s">
        <v>284</v>
      </c>
      <c r="G113" s="25" t="s">
        <v>109</v>
      </c>
      <c r="H113" s="34" t="s">
        <v>337</v>
      </c>
      <c r="J113" s="26">
        <v>45456</v>
      </c>
      <c r="L113" s="25" t="s">
        <v>309</v>
      </c>
      <c r="N113" s="25">
        <v>8</v>
      </c>
      <c r="O113" s="25" t="s">
        <v>110</v>
      </c>
      <c r="P113" s="28">
        <v>195000</v>
      </c>
      <c r="Q113" s="29"/>
      <c r="R113" s="35"/>
      <c r="S113" s="36"/>
      <c r="V113" s="37"/>
      <c r="W113" s="32"/>
      <c r="X113" s="37">
        <f>IF(NOTA[[#This Row],[HARGA/ CTN]]="",NOTA[[#This Row],[JUMLAH_H]],NOTA[[#This Row],[HARGA/ CTN]]*IF(NOTA[[#This Row],[C]]="",0,NOTA[[#This Row],[C]]))</f>
        <v>1560000</v>
      </c>
      <c r="Y113" s="37">
        <f>IF(NOTA[[#This Row],[JUMLAH]]="","",NOTA[[#This Row],[JUMLAH]]*NOTA[[#This Row],[DISC 1]])</f>
        <v>0</v>
      </c>
      <c r="Z113" s="37">
        <f>IF(NOTA[[#This Row],[JUMLAH]]="","",(NOTA[[#This Row],[JUMLAH]]-NOTA[[#This Row],[DISC 1-]])*NOTA[[#This Row],[DISC 2]])</f>
        <v>0</v>
      </c>
      <c r="AA113" s="37">
        <f>IF(NOTA[[#This Row],[JUMLAH]]="","",(NOTA[[#This Row],[JUMLAH]]-NOTA[[#This Row],[DISC 1-]]-NOTA[[#This Row],[DISC 2-]])*NOTA[[#This Row],[DISC 3]])</f>
        <v>0</v>
      </c>
      <c r="AB113" s="37">
        <f>IF(NOTA[[#This Row],[JUMLAH]]="","",NOTA[[#This Row],[DISC 1-]]+NOTA[[#This Row],[DISC 2-]]+NOTA[[#This Row],[DISC 3-]])</f>
        <v>0</v>
      </c>
      <c r="AC113" s="37">
        <f>IF(NOTA[[#This Row],[JUMLAH]]="","",NOTA[[#This Row],[JUMLAH]]-NOTA[[#This Row],[DISC]])</f>
        <v>1560000</v>
      </c>
      <c r="AD113" s="37"/>
      <c r="AE1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3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113" s="37">
        <f>IF(OR(NOTA[[#This Row],[QTY]]="",NOTA[[#This Row],[HARGA SATUAN]]="",),"",NOTA[[#This Row],[QTY]]*NOTA[[#This Row],[HARGA SATUAN]])</f>
        <v>1560000</v>
      </c>
      <c r="AI113" s="26">
        <f ca="1">IF(NOTA[[#This Row],[ID_H]]="","",INDEX(NOTA[TANGGAL],MATCH(,INDIRECT(ADDRESS(ROW(NOTA[TANGGAL]),COLUMN(NOTA[TANGGAL]))&amp;":"&amp;ADDRESS(ROW(),COLUMN(NOTA[TANGGAL]))),-1)))</f>
        <v>45456</v>
      </c>
      <c r="AJ113" s="26">
        <f ca="1">IF(NOTA[[#This Row],[ID_H]]="","",INDEX(NOTA[TGL.NOTA],MATCH(,INDIRECT(ADDRESS(ROW(NOTA[TGL.NOTA]),COLUMN(NOTA[TGL.NOTA]))&amp;":"&amp;ADDRESS(ROW(),COLUMN(NOTA[TGL.NOTA]))),-1)))</f>
        <v>45456</v>
      </c>
      <c r="AK113" s="26" t="str">
        <f ca="1">IF(NOTA[[#This Row],[ID_H]]="","",INDEX(NOTA[NO.NOTA],MATCH(NOTA[[#This Row],[ID_H]],NOTA[ID_H],0)))</f>
        <v>0618</v>
      </c>
      <c r="AL113" s="28" t="str">
        <f ca="1">IF(NOTA[[#This Row],[NAMA BARANG]]="","",INDEX(NOTA[SUPPLIER],MATCH(,INDIRECT(ADDRESS(ROW(NOTA[ID]),COLUMN(NOTA[ID]))&amp;":"&amp;ADDRESS(ROW(),COLUMN(NOTA[ID]))),-1)))</f>
        <v>COMBI</v>
      </c>
      <c r="AM113" s="28" t="str">
        <f ca="1">IF(NOTA[[#This Row],[ID_H]]="","",IF(NOTA[[#This Row],[FAKTUR]]="",INDIRECT(ADDRESS(ROW()-1,COLUMN())),NOTA[[#This Row],[FAKTUR]]))</f>
        <v>UNTANA</v>
      </c>
      <c r="AN113" s="25">
        <f ca="1">IF(NOTA[[#This Row],[ID]]="","",COUNTIF(NOTA[ID_H],NOTA[[#This Row],[ID_H]]))</f>
        <v>2</v>
      </c>
      <c r="AO113" s="25">
        <f>IF(NOTA[[#This Row],[TGL.NOTA]]="",IF(NOTA[[#This Row],[SUPPLIER_H]]="","",AO112),MONTH(NOTA[[#This Row],[TGL.NOTA]]))</f>
        <v>6</v>
      </c>
      <c r="AP113" s="25" t="str">
        <f>LOWER(SUBSTITUTE(SUBSTITUTE(SUBSTITUTE(SUBSTITUTE(SUBSTITUTE(SUBSTITUTE(SUBSTITUTE(SUBSTITUTE(SUBSTITUTE(NOTA[[#This Row],[NAMA BARANG]]," ",),".",""),"-",""),"(",""),")",""),",",""),"/",""),"""",""),"+",""))</f>
        <v>docritprestige</v>
      </c>
      <c r="AQ1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R1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docritprestige195000</v>
      </c>
      <c r="AS113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COMBIUNTANA061845456docritprestige</v>
      </c>
      <c r="AT113" s="25"/>
      <c r="AU113" s="25">
        <f>IF(NOTA[[#This Row],[CONCAT1]]="","",MATCH(NOTA[[#This Row],[CONCAT1]],[3]!db[NB NOTA_C],0))</f>
        <v>873</v>
      </c>
      <c r="AV113" s="25" t="str">
        <f>IF(NOTA[[#This Row],[QTY/ CTN]]="","",TRUE)</f>
        <v/>
      </c>
      <c r="AW113" s="25" t="str">
        <f ca="1">IF(NOTA[[#This Row],[ID_H]]="","",IF(NOTA[[#This Row],[Column3]]=TRUE,NOTA[[#This Row],[QTY/ CTN]],INDEX([3]!db[QTY/ CTN],NOTA[[#This Row],[//DB]])))</f>
        <v>8 LSN</v>
      </c>
      <c r="AX1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Y113" s="25">
        <f ca="1">IF(NOTA[[#This Row],[ID_H]]="","",MATCH(NOTA[[#This Row],[NB NOTA_C_QTY]],[3]!db[NB NOTA_C_QTY+F],0))</f>
        <v>873</v>
      </c>
      <c r="AZ113" s="38">
        <f ca="1">IF(NOTA[[#This Row],[NB NOTA_C_QTY]]="","",ROW()-2)</f>
        <v>111</v>
      </c>
    </row>
    <row r="114" spans="1:52" ht="20.100000000000001" customHeight="1">
      <c r="A1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14" s="25">
        <f ca="1">IF(NOTA[[#This Row],[NAMA BARANG]]="","",INDEX(NOTA[ID],MATCH(,INDIRECT(ADDRESS(ROW(NOTA[ID]),COLUMN(NOTA[ID]))&amp;":"&amp;ADDRESS(ROW(),COLUMN(NOTA[ID]))),-1)))</f>
        <v>28</v>
      </c>
      <c r="E114" s="33"/>
      <c r="H114" s="34"/>
      <c r="L114" s="25" t="s">
        <v>338</v>
      </c>
      <c r="N114" s="25">
        <v>8</v>
      </c>
      <c r="O114" s="25" t="s">
        <v>110</v>
      </c>
      <c r="P114" s="28">
        <v>213000</v>
      </c>
      <c r="Q114" s="29"/>
      <c r="R114" s="35"/>
      <c r="S114" s="36"/>
      <c r="V114" s="37"/>
      <c r="W114" s="32"/>
      <c r="X114" s="37">
        <f>IF(NOTA[[#This Row],[HARGA/ CTN]]="",NOTA[[#This Row],[JUMLAH_H]],NOTA[[#This Row],[HARGA/ CTN]]*IF(NOTA[[#This Row],[C]]="",0,NOTA[[#This Row],[C]]))</f>
        <v>1704000</v>
      </c>
      <c r="Y114" s="37">
        <f>IF(NOTA[[#This Row],[JUMLAH]]="","",NOTA[[#This Row],[JUMLAH]]*NOTA[[#This Row],[DISC 1]])</f>
        <v>0</v>
      </c>
      <c r="Z114" s="37">
        <f>IF(NOTA[[#This Row],[JUMLAH]]="","",(NOTA[[#This Row],[JUMLAH]]-NOTA[[#This Row],[DISC 1-]])*NOTA[[#This Row],[DISC 2]])</f>
        <v>0</v>
      </c>
      <c r="AA114" s="37">
        <f>IF(NOTA[[#This Row],[JUMLAH]]="","",(NOTA[[#This Row],[JUMLAH]]-NOTA[[#This Row],[DISC 1-]]-NOTA[[#This Row],[DISC 2-]])*NOTA[[#This Row],[DISC 3]])</f>
        <v>0</v>
      </c>
      <c r="AB114" s="37">
        <f>IF(NOTA[[#This Row],[JUMLAH]]="","",NOTA[[#This Row],[DISC 1-]]+NOTA[[#This Row],[DISC 2-]]+NOTA[[#This Row],[DISC 3-]])</f>
        <v>0</v>
      </c>
      <c r="AC114" s="37">
        <f>IF(NOTA[[#This Row],[JUMLAH]]="","",NOTA[[#This Row],[JUMLAH]]-NOTA[[#This Row],[DISC]])</f>
        <v>1704000</v>
      </c>
      <c r="AD114" s="37"/>
      <c r="AE11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3264000</v>
      </c>
      <c r="AG114" s="28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H114" s="37">
        <f>IF(OR(NOTA[[#This Row],[QTY]]="",NOTA[[#This Row],[HARGA SATUAN]]="",),"",NOTA[[#This Row],[QTY]]*NOTA[[#This Row],[HARGA SATUAN]])</f>
        <v>1704000</v>
      </c>
      <c r="AI114" s="26">
        <f ca="1">IF(NOTA[[#This Row],[ID_H]]="","",INDEX(NOTA[TANGGAL],MATCH(,INDIRECT(ADDRESS(ROW(NOTA[TANGGAL]),COLUMN(NOTA[TANGGAL]))&amp;":"&amp;ADDRESS(ROW(),COLUMN(NOTA[TANGGAL]))),-1)))</f>
        <v>45456</v>
      </c>
      <c r="AJ114" s="26">
        <f ca="1">IF(NOTA[[#This Row],[ID_H]]="","",INDEX(NOTA[TGL.NOTA],MATCH(,INDIRECT(ADDRESS(ROW(NOTA[TGL.NOTA]),COLUMN(NOTA[TGL.NOTA]))&amp;":"&amp;ADDRESS(ROW(),COLUMN(NOTA[TGL.NOTA]))),-1)))</f>
        <v>45456</v>
      </c>
      <c r="AK114" s="26" t="str">
        <f ca="1">IF(NOTA[[#This Row],[ID_H]]="","",INDEX(NOTA[NO.NOTA],MATCH(NOTA[[#This Row],[ID_H]],NOTA[ID_H],0)))</f>
        <v>0618</v>
      </c>
      <c r="AL114" s="28" t="str">
        <f ca="1">IF(NOTA[[#This Row],[NAMA BARANG]]="","",INDEX(NOTA[SUPPLIER],MATCH(,INDIRECT(ADDRESS(ROW(NOTA[ID]),COLUMN(NOTA[ID]))&amp;":"&amp;ADDRESS(ROW(),COLUMN(NOTA[ID]))),-1)))</f>
        <v>COMBI</v>
      </c>
      <c r="AM114" s="28" t="str">
        <f ca="1">IF(NOTA[[#This Row],[ID_H]]="","",IF(NOTA[[#This Row],[FAKTUR]]="",INDIRECT(ADDRESS(ROW()-1,COLUMN())),NOTA[[#This Row],[FAKTUR]]))</f>
        <v>UNTANA</v>
      </c>
      <c r="AN114" s="25" t="str">
        <f ca="1">IF(NOTA[[#This Row],[ID]]="","",COUNTIF(NOTA[ID_H],NOTA[[#This Row],[ID_H]]))</f>
        <v/>
      </c>
      <c r="AO114" s="25">
        <f ca="1">IF(NOTA[[#This Row],[TGL.NOTA]]="",IF(NOTA[[#This Row],[SUPPLIER_H]]="","",AO113),MONTH(NOTA[[#This Row],[TGL.NOTA]]))</f>
        <v>6</v>
      </c>
      <c r="AP114" s="25" t="str">
        <f>LOWER(SUBSTITUTE(SUBSTITUTE(SUBSTITUTE(SUBSTITUTE(SUBSTITUTE(SUBSTITUTE(SUBSTITUTE(SUBSTITUTE(SUBSTITUTE(NOTA[[#This Row],[NAMA BARANG]]," ",),".",""),"-",""),"(",""),")",""),",",""),"/",""),"""",""),"+",""))</f>
        <v>docritbrilliant</v>
      </c>
      <c r="AQ1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docritbrilliant1704000</v>
      </c>
      <c r="AR1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S1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4" s="25"/>
      <c r="AU114" s="25">
        <f>IF(NOTA[[#This Row],[CONCAT1]]="","",MATCH(NOTA[[#This Row],[CONCAT1]],[3]!db[NB NOTA_C],0))</f>
        <v>856</v>
      </c>
      <c r="AV114" s="25" t="str">
        <f>IF(NOTA[[#This Row],[QTY/ CTN]]="","",TRUE)</f>
        <v/>
      </c>
      <c r="AW114" s="25" t="str">
        <f ca="1">IF(NOTA[[#This Row],[ID_H]]="","",IF(NOTA[[#This Row],[Column3]]=TRUE,NOTA[[#This Row],[QTY/ CTN]],INDEX([3]!db[QTY/ CTN],NOTA[[#This Row],[//DB]])))</f>
        <v>8 LSN</v>
      </c>
      <c r="AX1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Y114" s="25">
        <f ca="1">IF(NOTA[[#This Row],[ID_H]]="","",MATCH(NOTA[[#This Row],[NB NOTA_C_QTY]],[3]!db[NB NOTA_C_QTY+F],0))</f>
        <v>856</v>
      </c>
      <c r="AZ114" s="38">
        <f ca="1">IF(NOTA[[#This Row],[NB NOTA_C_QTY]]="","",ROW()-2)</f>
        <v>112</v>
      </c>
    </row>
    <row r="115" spans="1:52" ht="20.100000000000001" customHeight="1">
      <c r="A1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15" s="25" t="str">
        <f ca="1">IF(NOTA[[#This Row],[NAMA BARANG]]="","",INDEX(NOTA[ID],MATCH(,INDIRECT(ADDRESS(ROW(NOTA[ID]),COLUMN(NOTA[ID]))&amp;":"&amp;ADDRESS(ROW(),COLUMN(NOTA[ID]))),-1)))</f>
        <v/>
      </c>
      <c r="E115" s="33"/>
      <c r="H115" s="34"/>
      <c r="Q115" s="29"/>
      <c r="R115" s="35"/>
      <c r="S115" s="36"/>
      <c r="V115" s="37"/>
      <c r="W115" s="32"/>
      <c r="X115" s="37" t="str">
        <f>IF(NOTA[[#This Row],[HARGA/ CTN]]="",NOTA[[#This Row],[JUMLAH_H]],NOTA[[#This Row],[HARGA/ CTN]]*IF(NOTA[[#This Row],[C]]="",0,NOTA[[#This Row],[C]]))</f>
        <v/>
      </c>
      <c r="Y115" s="37" t="str">
        <f>IF(NOTA[[#This Row],[JUMLAH]]="","",NOTA[[#This Row],[JUMLAH]]*NOTA[[#This Row],[DISC 1]])</f>
        <v/>
      </c>
      <c r="Z115" s="37" t="str">
        <f>IF(NOTA[[#This Row],[JUMLAH]]="","",(NOTA[[#This Row],[JUMLAH]]-NOTA[[#This Row],[DISC 1-]])*NOTA[[#This Row],[DISC 2]])</f>
        <v/>
      </c>
      <c r="AA115" s="37" t="str">
        <f>IF(NOTA[[#This Row],[JUMLAH]]="","",(NOTA[[#This Row],[JUMLAH]]-NOTA[[#This Row],[DISC 1-]]-NOTA[[#This Row],[DISC 2-]])*NOTA[[#This Row],[DISC 3]])</f>
        <v/>
      </c>
      <c r="AB115" s="37" t="str">
        <f>IF(NOTA[[#This Row],[JUMLAH]]="","",NOTA[[#This Row],[DISC 1-]]+NOTA[[#This Row],[DISC 2-]]+NOTA[[#This Row],[DISC 3-]])</f>
        <v/>
      </c>
      <c r="AC115" s="37" t="str">
        <f>IF(NOTA[[#This Row],[JUMLAH]]="","",NOTA[[#This Row],[JUMLAH]]-NOTA[[#This Row],[DISC]])</f>
        <v/>
      </c>
      <c r="AD115" s="37"/>
      <c r="AE1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5" s="37" t="str">
        <f>IF(OR(NOTA[[#This Row],[QTY]]="",NOTA[[#This Row],[HARGA SATUAN]]="",),"",NOTA[[#This Row],[QTY]]*NOTA[[#This Row],[HARGA SATUAN]])</f>
        <v/>
      </c>
      <c r="AI115" s="26" t="str">
        <f ca="1">IF(NOTA[[#This Row],[ID_H]]="","",INDEX(NOTA[TANGGAL],MATCH(,INDIRECT(ADDRESS(ROW(NOTA[TANGGAL]),COLUMN(NOTA[TANGGAL]))&amp;":"&amp;ADDRESS(ROW(),COLUMN(NOTA[TANGGAL]))),-1)))</f>
        <v/>
      </c>
      <c r="AJ115" s="26" t="str">
        <f ca="1">IF(NOTA[[#This Row],[ID_H]]="","",INDEX(NOTA[TGL.NOTA],MATCH(,INDIRECT(ADDRESS(ROW(NOTA[TGL.NOTA]),COLUMN(NOTA[TGL.NOTA]))&amp;":"&amp;ADDRESS(ROW(),COLUMN(NOTA[TGL.NOTA]))),-1)))</f>
        <v/>
      </c>
      <c r="AK115" s="26" t="str">
        <f ca="1">IF(NOTA[[#This Row],[ID_H]]="","",INDEX(NOTA[NO.NOTA],MATCH(NOTA[[#This Row],[ID_H]],NOTA[ID_H],0)))</f>
        <v/>
      </c>
      <c r="AL115" s="28" t="str">
        <f ca="1">IF(NOTA[[#This Row],[NAMA BARANG]]="","",INDEX(NOTA[SUPPLIER],MATCH(,INDIRECT(ADDRESS(ROW(NOTA[ID]),COLUMN(NOTA[ID]))&amp;":"&amp;ADDRESS(ROW(),COLUMN(NOTA[ID]))),-1)))</f>
        <v/>
      </c>
      <c r="AM115" s="28" t="str">
        <f ca="1">IF(NOTA[[#This Row],[ID_H]]="","",IF(NOTA[[#This Row],[FAKTUR]]="",INDIRECT(ADDRESS(ROW()-1,COLUMN())),NOTA[[#This Row],[FAKTUR]]))</f>
        <v/>
      </c>
      <c r="AN115" s="25" t="str">
        <f ca="1">IF(NOTA[[#This Row],[ID]]="","",COUNTIF(NOTA[ID_H],NOTA[[#This Row],[ID_H]]))</f>
        <v/>
      </c>
      <c r="AO115" s="25" t="str">
        <f ca="1">IF(NOTA[[#This Row],[TGL.NOTA]]="",IF(NOTA[[#This Row],[SUPPLIER_H]]="","",AO114),MONTH(NOTA[[#This Row],[TGL.NOTA]]))</f>
        <v/>
      </c>
      <c r="AP1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5" s="25"/>
      <c r="AU115" s="25" t="str">
        <f>IF(NOTA[[#This Row],[CONCAT1]]="","",MATCH(NOTA[[#This Row],[CONCAT1]],[3]!db[NB NOTA_C],0))</f>
        <v/>
      </c>
      <c r="AV115" s="25" t="str">
        <f>IF(NOTA[[#This Row],[QTY/ CTN]]="","",TRUE)</f>
        <v/>
      </c>
      <c r="AW115" s="25" t="str">
        <f ca="1">IF(NOTA[[#This Row],[ID_H]]="","",IF(NOTA[[#This Row],[Column3]]=TRUE,NOTA[[#This Row],[QTY/ CTN]],INDEX([3]!db[QTY/ CTN],NOTA[[#This Row],[//DB]])))</f>
        <v/>
      </c>
      <c r="AX1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5" s="25" t="str">
        <f ca="1">IF(NOTA[[#This Row],[ID_H]]="","",MATCH(NOTA[[#This Row],[NB NOTA_C_QTY]],[3]!db[NB NOTA_C_QTY+F],0))</f>
        <v/>
      </c>
      <c r="AZ115" s="38" t="str">
        <f ca="1">IF(NOTA[[#This Row],[NB NOTA_C_QTY]]="","",ROW()-2)</f>
        <v/>
      </c>
    </row>
    <row r="116" spans="1:52" ht="20.100000000000001" customHeight="1">
      <c r="A116" s="28">
        <f ca="1">IF(INDIRECT(ADDRESS(ROW()-1,COLUMN(NOTA[[#Headers],[ID]])))="ID",1,IF(NOTA[[#This Row],[FAKTUR]]="","",COUNT(INDIRECT(ADDRESS(ROW(NOTA[ID]),COLUMN(NOTA[ID]))&amp;":"&amp;ADDRESS(ROW()-1,COLUMN(NOTA[ID]))))+1))</f>
        <v>29</v>
      </c>
      <c r="B11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COM_1206_617-1</v>
      </c>
      <c r="D116" s="25">
        <f ca="1">IF(NOTA[[#This Row],[NAMA BARANG]]="","",INDEX(NOTA[ID],MATCH(,INDIRECT(ADDRESS(ROW(NOTA[ID]),COLUMN(NOTA[ID]))&amp;":"&amp;ADDRESS(ROW(),COLUMN(NOTA[ID]))),-1)))</f>
        <v>29</v>
      </c>
      <c r="E116" s="33">
        <v>45455</v>
      </c>
      <c r="F116" s="25" t="s">
        <v>284</v>
      </c>
      <c r="G116" s="25" t="s">
        <v>109</v>
      </c>
      <c r="H116" s="34" t="s">
        <v>339</v>
      </c>
      <c r="J116" s="26">
        <v>45455</v>
      </c>
      <c r="L116" s="25" t="s">
        <v>308</v>
      </c>
      <c r="N116" s="25">
        <v>16</v>
      </c>
      <c r="O116" s="25" t="s">
        <v>110</v>
      </c>
      <c r="P116" s="28">
        <v>180000</v>
      </c>
      <c r="Q116" s="29"/>
      <c r="R116" s="35"/>
      <c r="S116" s="36"/>
      <c r="V116" s="37"/>
      <c r="W116" s="32"/>
      <c r="X116" s="37">
        <f>IF(NOTA[[#This Row],[HARGA/ CTN]]="",NOTA[[#This Row],[JUMLAH_H]],NOTA[[#This Row],[HARGA/ CTN]]*IF(NOTA[[#This Row],[C]]="",0,NOTA[[#This Row],[C]]))</f>
        <v>2880000</v>
      </c>
      <c r="Y116" s="37">
        <f>IF(NOTA[[#This Row],[JUMLAH]]="","",NOTA[[#This Row],[JUMLAH]]*NOTA[[#This Row],[DISC 1]])</f>
        <v>0</v>
      </c>
      <c r="Z116" s="37">
        <f>IF(NOTA[[#This Row],[JUMLAH]]="","",(NOTA[[#This Row],[JUMLAH]]-NOTA[[#This Row],[DISC 1-]])*NOTA[[#This Row],[DISC 2]])</f>
        <v>0</v>
      </c>
      <c r="AA116" s="37">
        <f>IF(NOTA[[#This Row],[JUMLAH]]="","",(NOTA[[#This Row],[JUMLAH]]-NOTA[[#This Row],[DISC 1-]]-NOTA[[#This Row],[DISC 2-]])*NOTA[[#This Row],[DISC 3]])</f>
        <v>0</v>
      </c>
      <c r="AB116" s="37">
        <f>IF(NOTA[[#This Row],[JUMLAH]]="","",NOTA[[#This Row],[DISC 1-]]+NOTA[[#This Row],[DISC 2-]]+NOTA[[#This Row],[DISC 3-]])</f>
        <v>0</v>
      </c>
      <c r="AC116" s="37">
        <f>IF(NOTA[[#This Row],[JUMLAH]]="","",NOTA[[#This Row],[JUMLAH]]-NOTA[[#This Row],[DISC]])</f>
        <v>2880000</v>
      </c>
      <c r="AD116" s="37"/>
      <c r="AE11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2880000</v>
      </c>
      <c r="AG116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H116" s="37">
        <f>IF(OR(NOTA[[#This Row],[QTY]]="",NOTA[[#This Row],[HARGA SATUAN]]="",),"",NOTA[[#This Row],[QTY]]*NOTA[[#This Row],[HARGA SATUAN]])</f>
        <v>2880000</v>
      </c>
      <c r="AI116" s="26">
        <f ca="1">IF(NOTA[[#This Row],[ID_H]]="","",INDEX(NOTA[TANGGAL],MATCH(,INDIRECT(ADDRESS(ROW(NOTA[TANGGAL]),COLUMN(NOTA[TANGGAL]))&amp;":"&amp;ADDRESS(ROW(),COLUMN(NOTA[TANGGAL]))),-1)))</f>
        <v>45455</v>
      </c>
      <c r="AJ116" s="26">
        <f ca="1">IF(NOTA[[#This Row],[ID_H]]="","",INDEX(NOTA[TGL.NOTA],MATCH(,INDIRECT(ADDRESS(ROW(NOTA[TGL.NOTA]),COLUMN(NOTA[TGL.NOTA]))&amp;":"&amp;ADDRESS(ROW(),COLUMN(NOTA[TGL.NOTA]))),-1)))</f>
        <v>45455</v>
      </c>
      <c r="AK116" s="26" t="str">
        <f ca="1">IF(NOTA[[#This Row],[ID_H]]="","",INDEX(NOTA[NO.NOTA],MATCH(NOTA[[#This Row],[ID_H]],NOTA[ID_H],0)))</f>
        <v>0617</v>
      </c>
      <c r="AL116" s="28" t="str">
        <f ca="1">IF(NOTA[[#This Row],[NAMA BARANG]]="","",INDEX(NOTA[SUPPLIER],MATCH(,INDIRECT(ADDRESS(ROW(NOTA[ID]),COLUMN(NOTA[ID]))&amp;":"&amp;ADDRESS(ROW(),COLUMN(NOTA[ID]))),-1)))</f>
        <v>COMBI</v>
      </c>
      <c r="AM116" s="28" t="str">
        <f ca="1">IF(NOTA[[#This Row],[ID_H]]="","",IF(NOTA[[#This Row],[FAKTUR]]="",INDIRECT(ADDRESS(ROW()-1,COLUMN())),NOTA[[#This Row],[FAKTUR]]))</f>
        <v>UNTANA</v>
      </c>
      <c r="AN116" s="25">
        <f ca="1">IF(NOTA[[#This Row],[ID]]="","",COUNTIF(NOTA[ID_H],NOTA[[#This Row],[ID_H]]))</f>
        <v>1</v>
      </c>
      <c r="AO116" s="25">
        <f>IF(NOTA[[#This Row],[TGL.NOTA]]="",IF(NOTA[[#This Row],[SUPPLIER_H]]="","",AO115),MONTH(NOTA[[#This Row],[TGL.NOTA]]))</f>
        <v>6</v>
      </c>
      <c r="AP116" s="25" t="str">
        <f>LOWER(SUBSTITUTE(SUBSTITUTE(SUBSTITUTE(SUBSTITUTE(SUBSTITUTE(SUBSTITUTE(SUBSTITUTE(SUBSTITUTE(SUBSTITUTE(NOTA[[#This Row],[NAMA BARANG]]," ",),".",""),"-",""),"(",""),")",""),",",""),"/",""),"""",""),"+",""))</f>
        <v>docritinfinity</v>
      </c>
      <c r="AQ1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docritinfinity2880000</v>
      </c>
      <c r="AR1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docritinfinity180000</v>
      </c>
      <c r="AS116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COMBIUNTANA061745455docritinfinity</v>
      </c>
      <c r="AT116" s="25"/>
      <c r="AU116" s="25">
        <f>IF(NOTA[[#This Row],[CONCAT1]]="","",MATCH(NOTA[[#This Row],[CONCAT1]],[3]!db[NB NOTA_C],0))</f>
        <v>865</v>
      </c>
      <c r="AV116" s="25" t="str">
        <f>IF(NOTA[[#This Row],[QTY/ CTN]]="","",TRUE)</f>
        <v/>
      </c>
      <c r="AW116" s="25" t="str">
        <f ca="1">IF(NOTA[[#This Row],[ID_H]]="","",IF(NOTA[[#This Row],[Column3]]=TRUE,NOTA[[#This Row],[QTY/ CTN]],INDEX([3]!db[QTY/ CTN],NOTA[[#This Row],[//DB]])))</f>
        <v>8 LSN</v>
      </c>
      <c r="AX1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Y116" s="25">
        <f ca="1">IF(NOTA[[#This Row],[ID_H]]="","",MATCH(NOTA[[#This Row],[NB NOTA_C_QTY]],[3]!db[NB NOTA_C_QTY+F],0))</f>
        <v>865</v>
      </c>
      <c r="AZ116" s="38">
        <f ca="1">IF(NOTA[[#This Row],[NB NOTA_C_QTY]]="","",ROW()-2)</f>
        <v>114</v>
      </c>
    </row>
    <row r="117" spans="1:52" ht="20.100000000000001" customHeight="1">
      <c r="A1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17" s="25" t="str">
        <f ca="1">IF(NOTA[[#This Row],[NAMA BARANG]]="","",INDEX(NOTA[ID],MATCH(,INDIRECT(ADDRESS(ROW(NOTA[ID]),COLUMN(NOTA[ID]))&amp;":"&amp;ADDRESS(ROW(),COLUMN(NOTA[ID]))),-1)))</f>
        <v/>
      </c>
      <c r="E117" s="33"/>
      <c r="H117" s="34"/>
      <c r="Q117" s="29"/>
      <c r="R117" s="35"/>
      <c r="S117" s="36"/>
      <c r="V117" s="37"/>
      <c r="W117" s="32"/>
      <c r="X117" s="37" t="str">
        <f>IF(NOTA[[#This Row],[HARGA/ CTN]]="",NOTA[[#This Row],[JUMLAH_H]],NOTA[[#This Row],[HARGA/ CTN]]*IF(NOTA[[#This Row],[C]]="",0,NOTA[[#This Row],[C]]))</f>
        <v/>
      </c>
      <c r="Y117" s="37" t="str">
        <f>IF(NOTA[[#This Row],[JUMLAH]]="","",NOTA[[#This Row],[JUMLAH]]*NOTA[[#This Row],[DISC 1]])</f>
        <v/>
      </c>
      <c r="Z117" s="37" t="str">
        <f>IF(NOTA[[#This Row],[JUMLAH]]="","",(NOTA[[#This Row],[JUMLAH]]-NOTA[[#This Row],[DISC 1-]])*NOTA[[#This Row],[DISC 2]])</f>
        <v/>
      </c>
      <c r="AA117" s="37" t="str">
        <f>IF(NOTA[[#This Row],[JUMLAH]]="","",(NOTA[[#This Row],[JUMLAH]]-NOTA[[#This Row],[DISC 1-]]-NOTA[[#This Row],[DISC 2-]])*NOTA[[#This Row],[DISC 3]])</f>
        <v/>
      </c>
      <c r="AB117" s="37" t="str">
        <f>IF(NOTA[[#This Row],[JUMLAH]]="","",NOTA[[#This Row],[DISC 1-]]+NOTA[[#This Row],[DISC 2-]]+NOTA[[#This Row],[DISC 3-]])</f>
        <v/>
      </c>
      <c r="AC117" s="37" t="str">
        <f>IF(NOTA[[#This Row],[JUMLAH]]="","",NOTA[[#This Row],[JUMLAH]]-NOTA[[#This Row],[DISC]])</f>
        <v/>
      </c>
      <c r="AD117" s="37"/>
      <c r="AE1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7" s="37" t="str">
        <f>IF(OR(NOTA[[#This Row],[QTY]]="",NOTA[[#This Row],[HARGA SATUAN]]="",),"",NOTA[[#This Row],[QTY]]*NOTA[[#This Row],[HARGA SATUAN]])</f>
        <v/>
      </c>
      <c r="AI117" s="26" t="str">
        <f ca="1">IF(NOTA[[#This Row],[ID_H]]="","",INDEX(NOTA[TANGGAL],MATCH(,INDIRECT(ADDRESS(ROW(NOTA[TANGGAL]),COLUMN(NOTA[TANGGAL]))&amp;":"&amp;ADDRESS(ROW(),COLUMN(NOTA[TANGGAL]))),-1)))</f>
        <v/>
      </c>
      <c r="AJ117" s="26" t="str">
        <f ca="1">IF(NOTA[[#This Row],[ID_H]]="","",INDEX(NOTA[TGL.NOTA],MATCH(,INDIRECT(ADDRESS(ROW(NOTA[TGL.NOTA]),COLUMN(NOTA[TGL.NOTA]))&amp;":"&amp;ADDRESS(ROW(),COLUMN(NOTA[TGL.NOTA]))),-1)))</f>
        <v/>
      </c>
      <c r="AK117" s="26" t="str">
        <f ca="1">IF(NOTA[[#This Row],[ID_H]]="","",INDEX(NOTA[NO.NOTA],MATCH(NOTA[[#This Row],[ID_H]],NOTA[ID_H],0)))</f>
        <v/>
      </c>
      <c r="AL117" s="28" t="str">
        <f ca="1">IF(NOTA[[#This Row],[NAMA BARANG]]="","",INDEX(NOTA[SUPPLIER],MATCH(,INDIRECT(ADDRESS(ROW(NOTA[ID]),COLUMN(NOTA[ID]))&amp;":"&amp;ADDRESS(ROW(),COLUMN(NOTA[ID]))),-1)))</f>
        <v/>
      </c>
      <c r="AM117" s="28" t="str">
        <f ca="1">IF(NOTA[[#This Row],[ID_H]]="","",IF(NOTA[[#This Row],[FAKTUR]]="",INDIRECT(ADDRESS(ROW()-1,COLUMN())),NOTA[[#This Row],[FAKTUR]]))</f>
        <v/>
      </c>
      <c r="AN117" s="25" t="str">
        <f ca="1">IF(NOTA[[#This Row],[ID]]="","",COUNTIF(NOTA[ID_H],NOTA[[#This Row],[ID_H]]))</f>
        <v/>
      </c>
      <c r="AO117" s="25" t="str">
        <f ca="1">IF(NOTA[[#This Row],[TGL.NOTA]]="",IF(NOTA[[#This Row],[SUPPLIER_H]]="","",AO116),MONTH(NOTA[[#This Row],[TGL.NOTA]]))</f>
        <v/>
      </c>
      <c r="AP1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7" s="25"/>
      <c r="AU117" s="25" t="str">
        <f>IF(NOTA[[#This Row],[CONCAT1]]="","",MATCH(NOTA[[#This Row],[CONCAT1]],[3]!db[NB NOTA_C],0))</f>
        <v/>
      </c>
      <c r="AV117" s="25" t="str">
        <f>IF(NOTA[[#This Row],[QTY/ CTN]]="","",TRUE)</f>
        <v/>
      </c>
      <c r="AW117" s="25" t="str">
        <f ca="1">IF(NOTA[[#This Row],[ID_H]]="","",IF(NOTA[[#This Row],[Column3]]=TRUE,NOTA[[#This Row],[QTY/ CTN]],INDEX([3]!db[QTY/ CTN],NOTA[[#This Row],[//DB]])))</f>
        <v/>
      </c>
      <c r="AX1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7" s="25" t="str">
        <f ca="1">IF(NOTA[[#This Row],[ID_H]]="","",MATCH(NOTA[[#This Row],[NB NOTA_C_QTY]],[3]!db[NB NOTA_C_QTY+F],0))</f>
        <v/>
      </c>
      <c r="AZ117" s="38" t="str">
        <f ca="1">IF(NOTA[[#This Row],[NB NOTA_C_QTY]]="","",ROW()-2)</f>
        <v/>
      </c>
    </row>
    <row r="118" spans="1:52" ht="20.100000000000001" customHeight="1">
      <c r="A118" s="28">
        <f ca="1">IF(INDIRECT(ADDRESS(ROW()-1,COLUMN(NOTA[[#Headers],[ID]])))="ID",1,IF(NOTA[[#This Row],[FAKTUR]]="","",COUNT(INDIRECT(ADDRESS(ROW(NOTA[ID]),COLUMN(NOTA[ID]))&amp;":"&amp;ADDRESS(ROW()-1,COLUMN(NOTA[ID]))))+1))</f>
        <v>30</v>
      </c>
      <c r="B11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HAN_1206_109-1</v>
      </c>
      <c r="D118" s="25">
        <f ca="1">IF(NOTA[[#This Row],[NAMA BARANG]]="","",INDEX(NOTA[ID],MATCH(,INDIRECT(ADDRESS(ROW(NOTA[ID]),COLUMN(NOTA[ID]))&amp;":"&amp;ADDRESS(ROW(),COLUMN(NOTA[ID]))),-1)))</f>
        <v>30</v>
      </c>
      <c r="E118" s="33">
        <v>45455</v>
      </c>
      <c r="F118" s="25" t="s">
        <v>328</v>
      </c>
      <c r="G118" s="25" t="s">
        <v>109</v>
      </c>
      <c r="H118" s="34" t="s">
        <v>340</v>
      </c>
      <c r="J118" s="26">
        <v>45455</v>
      </c>
      <c r="L118" s="25" t="s">
        <v>341</v>
      </c>
      <c r="N118" s="25">
        <v>150</v>
      </c>
      <c r="O118" s="25" t="s">
        <v>111</v>
      </c>
      <c r="P118" s="28">
        <v>6100</v>
      </c>
      <c r="Q118" s="29"/>
      <c r="R118" s="35"/>
      <c r="S118" s="36"/>
      <c r="V118" s="37"/>
      <c r="W118" s="32"/>
      <c r="X118" s="37">
        <f>IF(NOTA[[#This Row],[HARGA/ CTN]]="",NOTA[[#This Row],[JUMLAH_H]],NOTA[[#This Row],[HARGA/ CTN]]*IF(NOTA[[#This Row],[C]]="",0,NOTA[[#This Row],[C]]))</f>
        <v>915000</v>
      </c>
      <c r="Y118" s="37">
        <f>IF(NOTA[[#This Row],[JUMLAH]]="","",NOTA[[#This Row],[JUMLAH]]*NOTA[[#This Row],[DISC 1]])</f>
        <v>0</v>
      </c>
      <c r="Z118" s="37">
        <f>IF(NOTA[[#This Row],[JUMLAH]]="","",(NOTA[[#This Row],[JUMLAH]]-NOTA[[#This Row],[DISC 1-]])*NOTA[[#This Row],[DISC 2]])</f>
        <v>0</v>
      </c>
      <c r="AA118" s="37">
        <f>IF(NOTA[[#This Row],[JUMLAH]]="","",(NOTA[[#This Row],[JUMLAH]]-NOTA[[#This Row],[DISC 1-]]-NOTA[[#This Row],[DISC 2-]])*NOTA[[#This Row],[DISC 3]])</f>
        <v>0</v>
      </c>
      <c r="AB118" s="37">
        <f>IF(NOTA[[#This Row],[JUMLAH]]="","",NOTA[[#This Row],[DISC 1-]]+NOTA[[#This Row],[DISC 2-]]+NOTA[[#This Row],[DISC 3-]])</f>
        <v>0</v>
      </c>
      <c r="AC118" s="37">
        <f>IF(NOTA[[#This Row],[JUMLAH]]="","",NOTA[[#This Row],[JUMLAH]]-NOTA[[#This Row],[DISC]])</f>
        <v>915000</v>
      </c>
      <c r="AD118" s="37"/>
      <c r="AE11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915000</v>
      </c>
      <c r="AG118" s="28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H118" s="37">
        <f>IF(OR(NOTA[[#This Row],[QTY]]="",NOTA[[#This Row],[HARGA SATUAN]]="",),"",NOTA[[#This Row],[QTY]]*NOTA[[#This Row],[HARGA SATUAN]])</f>
        <v>915000</v>
      </c>
      <c r="AI118" s="26">
        <f ca="1">IF(NOTA[[#This Row],[ID_H]]="","",INDEX(NOTA[TANGGAL],MATCH(,INDIRECT(ADDRESS(ROW(NOTA[TANGGAL]),COLUMN(NOTA[TANGGAL]))&amp;":"&amp;ADDRESS(ROW(),COLUMN(NOTA[TANGGAL]))),-1)))</f>
        <v>45455</v>
      </c>
      <c r="AJ118" s="26">
        <f ca="1">IF(NOTA[[#This Row],[ID_H]]="","",INDEX(NOTA[TGL.NOTA],MATCH(,INDIRECT(ADDRESS(ROW(NOTA[TGL.NOTA]),COLUMN(NOTA[TGL.NOTA]))&amp;":"&amp;ADDRESS(ROW(),COLUMN(NOTA[TGL.NOTA]))),-1)))</f>
        <v>45455</v>
      </c>
      <c r="AK118" s="26" t="str">
        <f ca="1">IF(NOTA[[#This Row],[ID_H]]="","",INDEX(NOTA[NO.NOTA],MATCH(NOTA[[#This Row],[ID_H]],NOTA[ID_H],0)))</f>
        <v>HN062024109</v>
      </c>
      <c r="AL118" s="28" t="str">
        <f ca="1">IF(NOTA[[#This Row],[NAMA BARANG]]="","",INDEX(NOTA[SUPPLIER],MATCH(,INDIRECT(ADDRESS(ROW(NOTA[ID]),COLUMN(NOTA[ID]))&amp;":"&amp;ADDRESS(ROW(),COLUMN(NOTA[ID]))),-1)))</f>
        <v>HANSA</v>
      </c>
      <c r="AM118" s="28" t="str">
        <f ca="1">IF(NOTA[[#This Row],[ID_H]]="","",IF(NOTA[[#This Row],[FAKTUR]]="",INDIRECT(ADDRESS(ROW()-1,COLUMN())),NOTA[[#This Row],[FAKTUR]]))</f>
        <v>UNTANA</v>
      </c>
      <c r="AN118" s="25">
        <f ca="1">IF(NOTA[[#This Row],[ID]]="","",COUNTIF(NOTA[ID_H],NOTA[[#This Row],[ID_H]]))</f>
        <v>1</v>
      </c>
      <c r="AO118" s="25">
        <f>IF(NOTA[[#This Row],[TGL.NOTA]]="",IF(NOTA[[#This Row],[SUPPLIER_H]]="","",AO117),MONTH(NOTA[[#This Row],[TGL.NOTA]]))</f>
        <v>6</v>
      </c>
      <c r="AP118" s="25" t="str">
        <f>LOWER(SUBSTITUTE(SUBSTITUTE(SUBSTITUTE(SUBSTITUTE(SUBSTITUTE(SUBSTITUTE(SUBSTITUTE(SUBSTITUTE(SUBSTITUTE(NOTA[[#This Row],[NAMA BARANG]]," ",),".",""),"-",""),"(",""),")",""),",",""),"/",""),"""",""),"+",""))</f>
        <v>malamshintoengb612w</v>
      </c>
      <c r="AQ1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R1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S118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HANSAUNTANAHN06202410945455malamshintoengb612w</v>
      </c>
      <c r="AT118" s="25"/>
      <c r="AU118" s="25">
        <f>IF(NOTA[[#This Row],[CONCAT1]]="","",MATCH(NOTA[[#This Row],[CONCAT1]],[3]!db[NB NOTA_C],0))</f>
        <v>2053</v>
      </c>
      <c r="AV118" s="25" t="str">
        <f>IF(NOTA[[#This Row],[QTY/ CTN]]="","",TRUE)</f>
        <v/>
      </c>
      <c r="AW118" s="25" t="str">
        <f ca="1">IF(NOTA[[#This Row],[ID_H]]="","",IF(NOTA[[#This Row],[Column3]]=TRUE,NOTA[[#This Row],[QTY/ CTN]],INDEX([3]!db[QTY/ CTN],NOTA[[#This Row],[//DB]])))</f>
        <v>150 PCS</v>
      </c>
      <c r="AX1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Y118" s="25">
        <f ca="1">IF(NOTA[[#This Row],[ID_H]]="","",MATCH(NOTA[[#This Row],[NB NOTA_C_QTY]],[3]!db[NB NOTA_C_QTY+F],0))</f>
        <v>2053</v>
      </c>
      <c r="AZ118" s="38">
        <f ca="1">IF(NOTA[[#This Row],[NB NOTA_C_QTY]]="","",ROW()-2)</f>
        <v>116</v>
      </c>
    </row>
    <row r="119" spans="1:52" ht="20.100000000000001" customHeight="1">
      <c r="A1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19" s="25" t="str">
        <f ca="1">IF(NOTA[[#This Row],[NAMA BARANG]]="","",INDEX(NOTA[ID],MATCH(,INDIRECT(ADDRESS(ROW(NOTA[ID]),COLUMN(NOTA[ID]))&amp;":"&amp;ADDRESS(ROW(),COLUMN(NOTA[ID]))),-1)))</f>
        <v/>
      </c>
      <c r="E119" s="33"/>
      <c r="H119" s="34"/>
      <c r="Q119" s="29"/>
      <c r="R119" s="35"/>
      <c r="S119" s="36"/>
      <c r="V119" s="37"/>
      <c r="W119" s="32"/>
      <c r="X119" s="37" t="str">
        <f>IF(NOTA[[#This Row],[HARGA/ CTN]]="",NOTA[[#This Row],[JUMLAH_H]],NOTA[[#This Row],[HARGA/ CTN]]*IF(NOTA[[#This Row],[C]]="",0,NOTA[[#This Row],[C]]))</f>
        <v/>
      </c>
      <c r="Y119" s="37" t="str">
        <f>IF(NOTA[[#This Row],[JUMLAH]]="","",NOTA[[#This Row],[JUMLAH]]*NOTA[[#This Row],[DISC 1]])</f>
        <v/>
      </c>
      <c r="Z119" s="37" t="str">
        <f>IF(NOTA[[#This Row],[JUMLAH]]="","",(NOTA[[#This Row],[JUMLAH]]-NOTA[[#This Row],[DISC 1-]])*NOTA[[#This Row],[DISC 2]])</f>
        <v/>
      </c>
      <c r="AA119" s="37" t="str">
        <f>IF(NOTA[[#This Row],[JUMLAH]]="","",(NOTA[[#This Row],[JUMLAH]]-NOTA[[#This Row],[DISC 1-]]-NOTA[[#This Row],[DISC 2-]])*NOTA[[#This Row],[DISC 3]])</f>
        <v/>
      </c>
      <c r="AB119" s="37" t="str">
        <f>IF(NOTA[[#This Row],[JUMLAH]]="","",NOTA[[#This Row],[DISC 1-]]+NOTA[[#This Row],[DISC 2-]]+NOTA[[#This Row],[DISC 3-]])</f>
        <v/>
      </c>
      <c r="AC119" s="37" t="str">
        <f>IF(NOTA[[#This Row],[JUMLAH]]="","",NOTA[[#This Row],[JUMLAH]]-NOTA[[#This Row],[DISC]])</f>
        <v/>
      </c>
      <c r="AD119" s="37"/>
      <c r="AE1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9" s="37" t="str">
        <f>IF(OR(NOTA[[#This Row],[QTY]]="",NOTA[[#This Row],[HARGA SATUAN]]="",),"",NOTA[[#This Row],[QTY]]*NOTA[[#This Row],[HARGA SATUAN]])</f>
        <v/>
      </c>
      <c r="AI119" s="26" t="str">
        <f ca="1">IF(NOTA[[#This Row],[ID_H]]="","",INDEX(NOTA[TANGGAL],MATCH(,INDIRECT(ADDRESS(ROW(NOTA[TANGGAL]),COLUMN(NOTA[TANGGAL]))&amp;":"&amp;ADDRESS(ROW(),COLUMN(NOTA[TANGGAL]))),-1)))</f>
        <v/>
      </c>
      <c r="AJ119" s="26" t="str">
        <f ca="1">IF(NOTA[[#This Row],[ID_H]]="","",INDEX(NOTA[TGL.NOTA],MATCH(,INDIRECT(ADDRESS(ROW(NOTA[TGL.NOTA]),COLUMN(NOTA[TGL.NOTA]))&amp;":"&amp;ADDRESS(ROW(),COLUMN(NOTA[TGL.NOTA]))),-1)))</f>
        <v/>
      </c>
      <c r="AK119" s="26" t="str">
        <f ca="1">IF(NOTA[[#This Row],[ID_H]]="","",INDEX(NOTA[NO.NOTA],MATCH(NOTA[[#This Row],[ID_H]],NOTA[ID_H],0)))</f>
        <v/>
      </c>
      <c r="AL119" s="28" t="str">
        <f ca="1">IF(NOTA[[#This Row],[NAMA BARANG]]="","",INDEX(NOTA[SUPPLIER],MATCH(,INDIRECT(ADDRESS(ROW(NOTA[ID]),COLUMN(NOTA[ID]))&amp;":"&amp;ADDRESS(ROW(),COLUMN(NOTA[ID]))),-1)))</f>
        <v/>
      </c>
      <c r="AM119" s="28" t="str">
        <f ca="1">IF(NOTA[[#This Row],[ID_H]]="","",IF(NOTA[[#This Row],[FAKTUR]]="",INDIRECT(ADDRESS(ROW()-1,COLUMN())),NOTA[[#This Row],[FAKTUR]]))</f>
        <v/>
      </c>
      <c r="AN119" s="25" t="str">
        <f ca="1">IF(NOTA[[#This Row],[ID]]="","",COUNTIF(NOTA[ID_H],NOTA[[#This Row],[ID_H]]))</f>
        <v/>
      </c>
      <c r="AO119" s="25" t="str">
        <f ca="1">IF(NOTA[[#This Row],[TGL.NOTA]]="",IF(NOTA[[#This Row],[SUPPLIER_H]]="","",AO118),MONTH(NOTA[[#This Row],[TGL.NOTA]]))</f>
        <v/>
      </c>
      <c r="AP1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9" s="25"/>
      <c r="AU119" s="25" t="str">
        <f>IF(NOTA[[#This Row],[CONCAT1]]="","",MATCH(NOTA[[#This Row],[CONCAT1]],[3]!db[NB NOTA_C],0))</f>
        <v/>
      </c>
      <c r="AV119" s="25" t="str">
        <f>IF(NOTA[[#This Row],[QTY/ CTN]]="","",TRUE)</f>
        <v/>
      </c>
      <c r="AW119" s="25" t="str">
        <f ca="1">IF(NOTA[[#This Row],[ID_H]]="","",IF(NOTA[[#This Row],[Column3]]=TRUE,NOTA[[#This Row],[QTY/ CTN]],INDEX([3]!db[QTY/ CTN],NOTA[[#This Row],[//DB]])))</f>
        <v/>
      </c>
      <c r="AX1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9" s="25" t="str">
        <f ca="1">IF(NOTA[[#This Row],[ID_H]]="","",MATCH(NOTA[[#This Row],[NB NOTA_C_QTY]],[3]!db[NB NOTA_C_QTY+F],0))</f>
        <v/>
      </c>
      <c r="AZ119" s="38" t="str">
        <f ca="1">IF(NOTA[[#This Row],[NB NOTA_C_QTY]]="","",ROW()-2)</f>
        <v/>
      </c>
    </row>
    <row r="120" spans="1:52" ht="20.100000000000001" customHeight="1">
      <c r="A120" s="28">
        <f ca="1">IF(INDIRECT(ADDRESS(ROW()-1,COLUMN(NOTA[[#Headers],[ID]])))="ID",1,IF(NOTA[[#This Row],[FAKTUR]]="","",COUNT(INDIRECT(ADDRESS(ROW(NOTA[ID]),COLUMN(NOTA[ID]))&amp;":"&amp;ADDRESS(ROW()-1,COLUMN(NOTA[ID]))))+1))</f>
        <v>31</v>
      </c>
      <c r="B12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PMJ_1306_139-5</v>
      </c>
      <c r="D120" s="25">
        <f ca="1">IF(NOTA[[#This Row],[NAMA BARANG]]="","",INDEX(NOTA[ID],MATCH(,INDIRECT(ADDRESS(ROW(NOTA[ID]),COLUMN(NOTA[ID]))&amp;":"&amp;ADDRESS(ROW(),COLUMN(NOTA[ID]))),-1)))</f>
        <v>31</v>
      </c>
      <c r="E120" s="33">
        <v>45456</v>
      </c>
      <c r="F120" s="25" t="s">
        <v>342</v>
      </c>
      <c r="G120" s="25" t="s">
        <v>109</v>
      </c>
      <c r="H120" s="34" t="s">
        <v>343</v>
      </c>
      <c r="J120" s="26">
        <v>45454</v>
      </c>
      <c r="L120" s="25" t="s">
        <v>344</v>
      </c>
      <c r="M120" s="27">
        <v>2</v>
      </c>
      <c r="N120" s="25">
        <v>288</v>
      </c>
      <c r="O120" s="25" t="s">
        <v>110</v>
      </c>
      <c r="P120" s="28">
        <v>23000</v>
      </c>
      <c r="Q120" s="29"/>
      <c r="R120" s="35"/>
      <c r="S120" s="36"/>
      <c r="V120" s="37"/>
      <c r="W120" s="32"/>
      <c r="X120" s="37">
        <f>IF(NOTA[[#This Row],[HARGA/ CTN]]="",NOTA[[#This Row],[JUMLAH_H]],NOTA[[#This Row],[HARGA/ CTN]]*IF(NOTA[[#This Row],[C]]="",0,NOTA[[#This Row],[C]]))</f>
        <v>6624000</v>
      </c>
      <c r="Y120" s="37">
        <f>IF(NOTA[[#This Row],[JUMLAH]]="","",NOTA[[#This Row],[JUMLAH]]*NOTA[[#This Row],[DISC 1]])</f>
        <v>0</v>
      </c>
      <c r="Z120" s="37">
        <f>IF(NOTA[[#This Row],[JUMLAH]]="","",(NOTA[[#This Row],[JUMLAH]]-NOTA[[#This Row],[DISC 1-]])*NOTA[[#This Row],[DISC 2]])</f>
        <v>0</v>
      </c>
      <c r="AA120" s="37">
        <f>IF(NOTA[[#This Row],[JUMLAH]]="","",(NOTA[[#This Row],[JUMLAH]]-NOTA[[#This Row],[DISC 1-]]-NOTA[[#This Row],[DISC 2-]])*NOTA[[#This Row],[DISC 3]])</f>
        <v>0</v>
      </c>
      <c r="AB120" s="37">
        <f>IF(NOTA[[#This Row],[JUMLAH]]="","",NOTA[[#This Row],[DISC 1-]]+NOTA[[#This Row],[DISC 2-]]+NOTA[[#This Row],[DISC 3-]])</f>
        <v>0</v>
      </c>
      <c r="AC120" s="37">
        <f>IF(NOTA[[#This Row],[JUMLAH]]="","",NOTA[[#This Row],[JUMLAH]]-NOTA[[#This Row],[DISC]])</f>
        <v>6624000</v>
      </c>
      <c r="AD120" s="37"/>
      <c r="AE1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0" s="28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H120" s="37">
        <f>IF(OR(NOTA[[#This Row],[QTY]]="",NOTA[[#This Row],[HARGA SATUAN]]="",),"",NOTA[[#This Row],[QTY]]*NOTA[[#This Row],[HARGA SATUAN]])</f>
        <v>6624000</v>
      </c>
      <c r="AI120" s="26">
        <f ca="1">IF(NOTA[[#This Row],[ID_H]]="","",INDEX(NOTA[TANGGAL],MATCH(,INDIRECT(ADDRESS(ROW(NOTA[TANGGAL]),COLUMN(NOTA[TANGGAL]))&amp;":"&amp;ADDRESS(ROW(),COLUMN(NOTA[TANGGAL]))),-1)))</f>
        <v>45456</v>
      </c>
      <c r="AJ120" s="26">
        <f ca="1">IF(NOTA[[#This Row],[ID_H]]="","",INDEX(NOTA[TGL.NOTA],MATCH(,INDIRECT(ADDRESS(ROW(NOTA[TGL.NOTA]),COLUMN(NOTA[TGL.NOTA]))&amp;":"&amp;ADDRESS(ROW(),COLUMN(NOTA[TGL.NOTA]))),-1)))</f>
        <v>45454</v>
      </c>
      <c r="AK120" s="26" t="str">
        <f ca="1">IF(NOTA[[#This Row],[ID_H]]="","",INDEX(NOTA[NO.NOTA],MATCH(NOTA[[#This Row],[ID_H]],NOTA[ID_H],0)))</f>
        <v>03139</v>
      </c>
      <c r="AL120" s="28" t="str">
        <f ca="1">IF(NOTA[[#This Row],[NAMA BARANG]]="","",INDEX(NOTA[SUPPLIER],MATCH(,INDIRECT(ADDRESS(ROW(NOTA[ID]),COLUMN(NOTA[ID]))&amp;":"&amp;ADDRESS(ROW(),COLUMN(NOTA[ID]))),-1)))</f>
        <v>PMJP</v>
      </c>
      <c r="AM120" s="28" t="str">
        <f ca="1">IF(NOTA[[#This Row],[ID_H]]="","",IF(NOTA[[#This Row],[FAKTUR]]="",INDIRECT(ADDRESS(ROW()-1,COLUMN())),NOTA[[#This Row],[FAKTUR]]))</f>
        <v>UNTANA</v>
      </c>
      <c r="AN120" s="25">
        <f ca="1">IF(NOTA[[#This Row],[ID]]="","",COUNTIF(NOTA[ID_H],NOTA[[#This Row],[ID_H]]))</f>
        <v>5</v>
      </c>
      <c r="AO120" s="25">
        <f>IF(NOTA[[#This Row],[TGL.NOTA]]="",IF(NOTA[[#This Row],[SUPPLIER_H]]="","",AO119),MONTH(NOTA[[#This Row],[TGL.NOTA]]))</f>
        <v>6</v>
      </c>
      <c r="AP120" s="25" t="str">
        <f>LOWER(SUBSTITUTE(SUBSTITUTE(SUBSTITUTE(SUBSTITUTE(SUBSTITUTE(SUBSTITUTE(SUBSTITUTE(SUBSTITUTE(SUBSTITUTE(NOTA[[#This Row],[NAMA BARANG]]," ",),".",""),"-",""),"(",""),")",""),",",""),"/",""),"""",""),"+",""))</f>
        <v>stabillotz8001</v>
      </c>
      <c r="AQ1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stabillotz80013312000</v>
      </c>
      <c r="AR1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stabillotz80013312000</v>
      </c>
      <c r="AS120" s="25" t="str">
        <f>IF(NOTA[[#This Row],[SUPPLIER]]="","",NOTA[[#This Row],[SUPPLIER]]&amp;NOTA[[#This Row],[FAKTUR]]&amp;NOTA[[#This Row],[NO.NOTA]]&amp;NOTA[[#This Row],[NO.SJ]]&amp;NOTA[[#This Row],[TGL.NOTA]]&amp;NOTA[[#This Row],[CONCAT1]])</f>
        <v>PMJPUNTANA0313945454stabillotz8001</v>
      </c>
      <c r="AT120" s="25"/>
      <c r="AU120" s="25">
        <f>IF(NOTA[[#This Row],[CONCAT1]]="","",MATCH(NOTA[[#This Row],[CONCAT1]],[3]!db[NB NOTA_C],0))</f>
        <v>2930</v>
      </c>
      <c r="AV120" s="25" t="str">
        <f>IF(NOTA[[#This Row],[QTY/ CTN]]="","",TRUE)</f>
        <v/>
      </c>
      <c r="AW120" s="25" t="str">
        <f ca="1">IF(NOTA[[#This Row],[ID_H]]="","",IF(NOTA[[#This Row],[Column3]]=TRUE,NOTA[[#This Row],[QTY/ CTN]],INDEX([3]!db[QTY/ CTN],NOTA[[#This Row],[//DB]])))</f>
        <v>144 LSN</v>
      </c>
      <c r="AX1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stabillotz8001144lsnuntana</v>
      </c>
      <c r="AY120" s="25">
        <f ca="1">IF(NOTA[[#This Row],[ID_H]]="","",MATCH(NOTA[[#This Row],[NB NOTA_C_QTY]],[3]!db[NB NOTA_C_QTY+F],0))</f>
        <v>2930</v>
      </c>
      <c r="AZ120" s="38">
        <f ca="1">IF(NOTA[[#This Row],[NB NOTA_C_QTY]]="","",ROW()-2)</f>
        <v>118</v>
      </c>
    </row>
    <row r="121" spans="1:52" ht="20.100000000000001" customHeight="1">
      <c r="A1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21" s="25">
        <f ca="1">IF(NOTA[[#This Row],[NAMA BARANG]]="","",INDEX(NOTA[ID],MATCH(,INDIRECT(ADDRESS(ROW(NOTA[ID]),COLUMN(NOTA[ID]))&amp;":"&amp;ADDRESS(ROW(),COLUMN(NOTA[ID]))),-1)))</f>
        <v>31</v>
      </c>
      <c r="E121" s="33"/>
      <c r="H121" s="34"/>
      <c r="L121" s="25" t="s">
        <v>345</v>
      </c>
      <c r="M121" s="27">
        <v>7</v>
      </c>
      <c r="N121" s="25">
        <v>672</v>
      </c>
      <c r="O121" s="25" t="s">
        <v>111</v>
      </c>
      <c r="P121" s="28">
        <v>14500</v>
      </c>
      <c r="Q121" s="29"/>
      <c r="R121" s="35"/>
      <c r="S121" s="36"/>
      <c r="V121" s="37"/>
      <c r="W121" s="32"/>
      <c r="X121" s="37">
        <f>IF(NOTA[[#This Row],[HARGA/ CTN]]="",NOTA[[#This Row],[JUMLAH_H]],NOTA[[#This Row],[HARGA/ CTN]]*IF(NOTA[[#This Row],[C]]="",0,NOTA[[#This Row],[C]]))</f>
        <v>9744000</v>
      </c>
      <c r="Y121" s="37">
        <f>IF(NOTA[[#This Row],[JUMLAH]]="","",NOTA[[#This Row],[JUMLAH]]*NOTA[[#This Row],[DISC 1]])</f>
        <v>0</v>
      </c>
      <c r="Z121" s="37">
        <f>IF(NOTA[[#This Row],[JUMLAH]]="","",(NOTA[[#This Row],[JUMLAH]]-NOTA[[#This Row],[DISC 1-]])*NOTA[[#This Row],[DISC 2]])</f>
        <v>0</v>
      </c>
      <c r="AA121" s="37">
        <f>IF(NOTA[[#This Row],[JUMLAH]]="","",(NOTA[[#This Row],[JUMLAH]]-NOTA[[#This Row],[DISC 1-]]-NOTA[[#This Row],[DISC 2-]])*NOTA[[#This Row],[DISC 3]])</f>
        <v>0</v>
      </c>
      <c r="AB121" s="37">
        <f>IF(NOTA[[#This Row],[JUMLAH]]="","",NOTA[[#This Row],[DISC 1-]]+NOTA[[#This Row],[DISC 2-]]+NOTA[[#This Row],[DISC 3-]])</f>
        <v>0</v>
      </c>
      <c r="AC121" s="37">
        <f>IF(NOTA[[#This Row],[JUMLAH]]="","",NOTA[[#This Row],[JUMLAH]]-NOTA[[#This Row],[DISC]])</f>
        <v>9744000</v>
      </c>
      <c r="AD121" s="37"/>
      <c r="AE1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1" s="28">
        <f>IF(NOTA[[#This Row],[NAMA BARANG]]="","",IF(NOTA[[#This Row],[JUMLAH_H]]="",NOTA[[#This Row],[HARGA/ CTN]],NOTA[[#This Row],[QTY]]*NOTA[[#This Row],[HARGA SATUAN]]/IF(ISNUMBER(NOTA[[#This Row],[C]]),NOTA[[#This Row],[C]],1)))</f>
        <v>1392000</v>
      </c>
      <c r="AH121" s="37">
        <f>IF(OR(NOTA[[#This Row],[QTY]]="",NOTA[[#This Row],[HARGA SATUAN]]="",),"",NOTA[[#This Row],[QTY]]*NOTA[[#This Row],[HARGA SATUAN]])</f>
        <v>9744000</v>
      </c>
      <c r="AI121" s="26">
        <f ca="1">IF(NOTA[[#This Row],[ID_H]]="","",INDEX(NOTA[TANGGAL],MATCH(,INDIRECT(ADDRESS(ROW(NOTA[TANGGAL]),COLUMN(NOTA[TANGGAL]))&amp;":"&amp;ADDRESS(ROW(),COLUMN(NOTA[TANGGAL]))),-1)))</f>
        <v>45456</v>
      </c>
      <c r="AJ121" s="26">
        <f ca="1">IF(NOTA[[#This Row],[ID_H]]="","",INDEX(NOTA[TGL.NOTA],MATCH(,INDIRECT(ADDRESS(ROW(NOTA[TGL.NOTA]),COLUMN(NOTA[TGL.NOTA]))&amp;":"&amp;ADDRESS(ROW(),COLUMN(NOTA[TGL.NOTA]))),-1)))</f>
        <v>45454</v>
      </c>
      <c r="AK121" s="26" t="str">
        <f ca="1">IF(NOTA[[#This Row],[ID_H]]="","",INDEX(NOTA[NO.NOTA],MATCH(NOTA[[#This Row],[ID_H]],NOTA[ID_H],0)))</f>
        <v>03139</v>
      </c>
      <c r="AL121" s="28" t="str">
        <f ca="1">IF(NOTA[[#This Row],[NAMA BARANG]]="","",INDEX(NOTA[SUPPLIER],MATCH(,INDIRECT(ADDRESS(ROW(NOTA[ID]),COLUMN(NOTA[ID]))&amp;":"&amp;ADDRESS(ROW(),COLUMN(NOTA[ID]))),-1)))</f>
        <v>PMJP</v>
      </c>
      <c r="AM121" s="28" t="str">
        <f ca="1">IF(NOTA[[#This Row],[ID_H]]="","",IF(NOTA[[#This Row],[FAKTUR]]="",INDIRECT(ADDRESS(ROW()-1,COLUMN())),NOTA[[#This Row],[FAKTUR]]))</f>
        <v>UNTANA</v>
      </c>
      <c r="AN121" s="25" t="str">
        <f ca="1">IF(NOTA[[#This Row],[ID]]="","",COUNTIF(NOTA[ID_H],NOTA[[#This Row],[ID_H]]))</f>
        <v/>
      </c>
      <c r="AO121" s="25">
        <f ca="1">IF(NOTA[[#This Row],[TGL.NOTA]]="",IF(NOTA[[#This Row],[SUPPLIER_H]]="","",AO120),MONTH(NOTA[[#This Row],[TGL.NOTA]]))</f>
        <v>6</v>
      </c>
      <c r="AP121" s="25" t="str">
        <f>LOWER(SUBSTITUTE(SUBSTITUTE(SUBSTITUTE(SUBSTITUTE(SUBSTITUTE(SUBSTITUTE(SUBSTITUTE(SUBSTITUTE(SUBSTITUTE(NOTA[[#This Row],[NAMA BARANG]]," ",),".",""),"-",""),"(",""),")",""),",",""),"/",""),"""",""),"+",""))</f>
        <v>magicboard908</v>
      </c>
      <c r="AQ1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magicboard9081392000</v>
      </c>
      <c r="AR1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magicboard9081392000</v>
      </c>
      <c r="AS1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1" s="25"/>
      <c r="AU121" s="25">
        <f>IF(NOTA[[#This Row],[CONCAT1]]="","",MATCH(NOTA[[#This Row],[CONCAT1]],[3]!db[NB NOTA_C],0))</f>
        <v>3441</v>
      </c>
      <c r="AV121" s="25" t="str">
        <f>IF(NOTA[[#This Row],[QTY/ CTN]]="","",TRUE)</f>
        <v/>
      </c>
      <c r="AW121" s="25" t="str">
        <f ca="1">IF(NOTA[[#This Row],[ID_H]]="","",IF(NOTA[[#This Row],[Column3]]=TRUE,NOTA[[#This Row],[QTY/ CTN]],INDEX([3]!db[QTY/ CTN],NOTA[[#This Row],[//DB]])))</f>
        <v>96 PCS</v>
      </c>
      <c r="AX1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magicboard90896pcsuntana</v>
      </c>
      <c r="AY121" s="25">
        <f ca="1">IF(NOTA[[#This Row],[ID_H]]="","",MATCH(NOTA[[#This Row],[NB NOTA_C_QTY]],[3]!db[NB NOTA_C_QTY+F],0))</f>
        <v>3441</v>
      </c>
      <c r="AZ121" s="38">
        <f ca="1">IF(NOTA[[#This Row],[NB NOTA_C_QTY]]="","",ROW()-2)</f>
        <v>119</v>
      </c>
    </row>
    <row r="122" spans="1:52" ht="20.100000000000001" customHeight="1">
      <c r="A1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22" s="25">
        <f ca="1">IF(NOTA[[#This Row],[NAMA BARANG]]="","",INDEX(NOTA[ID],MATCH(,INDIRECT(ADDRESS(ROW(NOTA[ID]),COLUMN(NOTA[ID]))&amp;":"&amp;ADDRESS(ROW(),COLUMN(NOTA[ID]))),-1)))</f>
        <v>31</v>
      </c>
      <c r="E122" s="33"/>
      <c r="H122" s="34"/>
      <c r="L122" s="25" t="s">
        <v>345</v>
      </c>
      <c r="N122" s="25">
        <v>94</v>
      </c>
      <c r="O122" s="25" t="s">
        <v>111</v>
      </c>
      <c r="P122" s="28">
        <v>14500</v>
      </c>
      <c r="Q122" s="29"/>
      <c r="R122" s="35"/>
      <c r="S122" s="36"/>
      <c r="V122" s="37"/>
      <c r="W122" s="32"/>
      <c r="X122" s="37">
        <f>IF(NOTA[[#This Row],[HARGA/ CTN]]="",NOTA[[#This Row],[JUMLAH_H]],NOTA[[#This Row],[HARGA/ CTN]]*IF(NOTA[[#This Row],[C]]="",0,NOTA[[#This Row],[C]]))</f>
        <v>1363000</v>
      </c>
      <c r="Y122" s="37">
        <f>IF(NOTA[[#This Row],[JUMLAH]]="","",NOTA[[#This Row],[JUMLAH]]*NOTA[[#This Row],[DISC 1]])</f>
        <v>0</v>
      </c>
      <c r="Z122" s="37">
        <f>IF(NOTA[[#This Row],[JUMLAH]]="","",(NOTA[[#This Row],[JUMLAH]]-NOTA[[#This Row],[DISC 1-]])*NOTA[[#This Row],[DISC 2]])</f>
        <v>0</v>
      </c>
      <c r="AA122" s="37">
        <f>IF(NOTA[[#This Row],[JUMLAH]]="","",(NOTA[[#This Row],[JUMLAH]]-NOTA[[#This Row],[DISC 1-]]-NOTA[[#This Row],[DISC 2-]])*NOTA[[#This Row],[DISC 3]])</f>
        <v>0</v>
      </c>
      <c r="AB122" s="37">
        <f>IF(NOTA[[#This Row],[JUMLAH]]="","",NOTA[[#This Row],[DISC 1-]]+NOTA[[#This Row],[DISC 2-]]+NOTA[[#This Row],[DISC 3-]])</f>
        <v>0</v>
      </c>
      <c r="AC122" s="37">
        <f>IF(NOTA[[#This Row],[JUMLAH]]="","",NOTA[[#This Row],[JUMLAH]]-NOTA[[#This Row],[DISC]])</f>
        <v>1363000</v>
      </c>
      <c r="AD122" s="37"/>
      <c r="AE1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2" s="28">
        <f>IF(NOTA[[#This Row],[NAMA BARANG]]="","",IF(NOTA[[#This Row],[JUMLAH_H]]="",NOTA[[#This Row],[HARGA/ CTN]],NOTA[[#This Row],[QTY]]*NOTA[[#This Row],[HARGA SATUAN]]/IF(ISNUMBER(NOTA[[#This Row],[C]]),NOTA[[#This Row],[C]],1)))</f>
        <v>1363000</v>
      </c>
      <c r="AH122" s="37">
        <f>IF(OR(NOTA[[#This Row],[QTY]]="",NOTA[[#This Row],[HARGA SATUAN]]="",),"",NOTA[[#This Row],[QTY]]*NOTA[[#This Row],[HARGA SATUAN]])</f>
        <v>1363000</v>
      </c>
      <c r="AI122" s="26">
        <f ca="1">IF(NOTA[[#This Row],[ID_H]]="","",INDEX(NOTA[TANGGAL],MATCH(,INDIRECT(ADDRESS(ROW(NOTA[TANGGAL]),COLUMN(NOTA[TANGGAL]))&amp;":"&amp;ADDRESS(ROW(),COLUMN(NOTA[TANGGAL]))),-1)))</f>
        <v>45456</v>
      </c>
      <c r="AJ122" s="26">
        <f ca="1">IF(NOTA[[#This Row],[ID_H]]="","",INDEX(NOTA[TGL.NOTA],MATCH(,INDIRECT(ADDRESS(ROW(NOTA[TGL.NOTA]),COLUMN(NOTA[TGL.NOTA]))&amp;":"&amp;ADDRESS(ROW(),COLUMN(NOTA[TGL.NOTA]))),-1)))</f>
        <v>45454</v>
      </c>
      <c r="AK122" s="26" t="str">
        <f ca="1">IF(NOTA[[#This Row],[ID_H]]="","",INDEX(NOTA[NO.NOTA],MATCH(NOTA[[#This Row],[ID_H]],NOTA[ID_H],0)))</f>
        <v>03139</v>
      </c>
      <c r="AL122" s="28" t="str">
        <f ca="1">IF(NOTA[[#This Row],[NAMA BARANG]]="","",INDEX(NOTA[SUPPLIER],MATCH(,INDIRECT(ADDRESS(ROW(NOTA[ID]),COLUMN(NOTA[ID]))&amp;":"&amp;ADDRESS(ROW(),COLUMN(NOTA[ID]))),-1)))</f>
        <v>PMJP</v>
      </c>
      <c r="AM122" s="28" t="str">
        <f ca="1">IF(NOTA[[#This Row],[ID_H]]="","",IF(NOTA[[#This Row],[FAKTUR]]="",INDIRECT(ADDRESS(ROW()-1,COLUMN())),NOTA[[#This Row],[FAKTUR]]))</f>
        <v>UNTANA</v>
      </c>
      <c r="AN122" s="25" t="str">
        <f ca="1">IF(NOTA[[#This Row],[ID]]="","",COUNTIF(NOTA[ID_H],NOTA[[#This Row],[ID_H]]))</f>
        <v/>
      </c>
      <c r="AO122" s="25">
        <f ca="1">IF(NOTA[[#This Row],[TGL.NOTA]]="",IF(NOTA[[#This Row],[SUPPLIER_H]]="","",AO121),MONTH(NOTA[[#This Row],[TGL.NOTA]]))</f>
        <v>6</v>
      </c>
      <c r="AP122" s="25" t="str">
        <f>LOWER(SUBSTITUTE(SUBSTITUTE(SUBSTITUTE(SUBSTITUTE(SUBSTITUTE(SUBSTITUTE(SUBSTITUTE(SUBSTITUTE(SUBSTITUTE(NOTA[[#This Row],[NAMA BARANG]]," ",),".",""),"-",""),"(",""),")",""),",",""),"/",""),"""",""),"+",""))</f>
        <v>magicboard908</v>
      </c>
      <c r="AQ1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magicboard9081363000</v>
      </c>
      <c r="AR1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magicboard90814500</v>
      </c>
      <c r="AS1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2" s="25"/>
      <c r="AU122" s="25">
        <f>IF(NOTA[[#This Row],[CONCAT1]]="","",MATCH(NOTA[[#This Row],[CONCAT1]],[3]!db[NB NOTA_C],0))</f>
        <v>3441</v>
      </c>
      <c r="AV122" s="25" t="str">
        <f>IF(NOTA[[#This Row],[QTY/ CTN]]="","",TRUE)</f>
        <v/>
      </c>
      <c r="AW122" s="25" t="str">
        <f ca="1">IF(NOTA[[#This Row],[ID_H]]="","",IF(NOTA[[#This Row],[Column3]]=TRUE,NOTA[[#This Row],[QTY/ CTN]],INDEX([3]!db[QTY/ CTN],NOTA[[#This Row],[//DB]])))</f>
        <v>96 PCS</v>
      </c>
      <c r="AX1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magicboard90896pcsuntana</v>
      </c>
      <c r="AY122" s="25">
        <f ca="1">IF(NOTA[[#This Row],[ID_H]]="","",MATCH(NOTA[[#This Row],[NB NOTA_C_QTY]],[3]!db[NB NOTA_C_QTY+F],0))</f>
        <v>3441</v>
      </c>
      <c r="AZ122" s="38">
        <f ca="1">IF(NOTA[[#This Row],[NB NOTA_C_QTY]]="","",ROW()-2)</f>
        <v>120</v>
      </c>
    </row>
    <row r="123" spans="1:52" ht="20.100000000000001" customHeight="1">
      <c r="A1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23" s="25">
        <f ca="1">IF(NOTA[[#This Row],[NAMA BARANG]]="","",INDEX(NOTA[ID],MATCH(,INDIRECT(ADDRESS(ROW(NOTA[ID]),COLUMN(NOTA[ID]))&amp;":"&amp;ADDRESS(ROW(),COLUMN(NOTA[ID]))),-1)))</f>
        <v>31</v>
      </c>
      <c r="E123" s="33"/>
      <c r="H123" s="34"/>
      <c r="L123" s="25" t="s">
        <v>346</v>
      </c>
      <c r="M123" s="27">
        <v>7</v>
      </c>
      <c r="N123" s="25">
        <v>672</v>
      </c>
      <c r="O123" s="25" t="s">
        <v>111</v>
      </c>
      <c r="P123" s="28">
        <v>14500</v>
      </c>
      <c r="Q123" s="29"/>
      <c r="R123" s="35"/>
      <c r="S123" s="36"/>
      <c r="V123" s="37"/>
      <c r="W123" s="32"/>
      <c r="X123" s="37">
        <f>IF(NOTA[[#This Row],[HARGA/ CTN]]="",NOTA[[#This Row],[JUMLAH_H]],NOTA[[#This Row],[HARGA/ CTN]]*IF(NOTA[[#This Row],[C]]="",0,NOTA[[#This Row],[C]]))</f>
        <v>9744000</v>
      </c>
      <c r="Y123" s="37">
        <f>IF(NOTA[[#This Row],[JUMLAH]]="","",NOTA[[#This Row],[JUMLAH]]*NOTA[[#This Row],[DISC 1]])</f>
        <v>0</v>
      </c>
      <c r="Z123" s="37">
        <f>IF(NOTA[[#This Row],[JUMLAH]]="","",(NOTA[[#This Row],[JUMLAH]]-NOTA[[#This Row],[DISC 1-]])*NOTA[[#This Row],[DISC 2]])</f>
        <v>0</v>
      </c>
      <c r="AA123" s="37">
        <f>IF(NOTA[[#This Row],[JUMLAH]]="","",(NOTA[[#This Row],[JUMLAH]]-NOTA[[#This Row],[DISC 1-]]-NOTA[[#This Row],[DISC 2-]])*NOTA[[#This Row],[DISC 3]])</f>
        <v>0</v>
      </c>
      <c r="AB123" s="37">
        <f>IF(NOTA[[#This Row],[JUMLAH]]="","",NOTA[[#This Row],[DISC 1-]]+NOTA[[#This Row],[DISC 2-]]+NOTA[[#This Row],[DISC 3-]])</f>
        <v>0</v>
      </c>
      <c r="AC123" s="37">
        <f>IF(NOTA[[#This Row],[JUMLAH]]="","",NOTA[[#This Row],[JUMLAH]]-NOTA[[#This Row],[DISC]])</f>
        <v>9744000</v>
      </c>
      <c r="AD123" s="37"/>
      <c r="AE1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3" s="28">
        <f>IF(NOTA[[#This Row],[NAMA BARANG]]="","",IF(NOTA[[#This Row],[JUMLAH_H]]="",NOTA[[#This Row],[HARGA/ CTN]],NOTA[[#This Row],[QTY]]*NOTA[[#This Row],[HARGA SATUAN]]/IF(ISNUMBER(NOTA[[#This Row],[C]]),NOTA[[#This Row],[C]],1)))</f>
        <v>1392000</v>
      </c>
      <c r="AH123" s="37">
        <f>IF(OR(NOTA[[#This Row],[QTY]]="",NOTA[[#This Row],[HARGA SATUAN]]="",),"",NOTA[[#This Row],[QTY]]*NOTA[[#This Row],[HARGA SATUAN]])</f>
        <v>9744000</v>
      </c>
      <c r="AI123" s="26">
        <f ca="1">IF(NOTA[[#This Row],[ID_H]]="","",INDEX(NOTA[TANGGAL],MATCH(,INDIRECT(ADDRESS(ROW(NOTA[TANGGAL]),COLUMN(NOTA[TANGGAL]))&amp;":"&amp;ADDRESS(ROW(),COLUMN(NOTA[TANGGAL]))),-1)))</f>
        <v>45456</v>
      </c>
      <c r="AJ123" s="26">
        <f ca="1">IF(NOTA[[#This Row],[ID_H]]="","",INDEX(NOTA[TGL.NOTA],MATCH(,INDIRECT(ADDRESS(ROW(NOTA[TGL.NOTA]),COLUMN(NOTA[TGL.NOTA]))&amp;":"&amp;ADDRESS(ROW(),COLUMN(NOTA[TGL.NOTA]))),-1)))</f>
        <v>45454</v>
      </c>
      <c r="AK123" s="26" t="str">
        <f ca="1">IF(NOTA[[#This Row],[ID_H]]="","",INDEX(NOTA[NO.NOTA],MATCH(NOTA[[#This Row],[ID_H]],NOTA[ID_H],0)))</f>
        <v>03139</v>
      </c>
      <c r="AL123" s="28" t="str">
        <f ca="1">IF(NOTA[[#This Row],[NAMA BARANG]]="","",INDEX(NOTA[SUPPLIER],MATCH(,INDIRECT(ADDRESS(ROW(NOTA[ID]),COLUMN(NOTA[ID]))&amp;":"&amp;ADDRESS(ROW(),COLUMN(NOTA[ID]))),-1)))</f>
        <v>PMJP</v>
      </c>
      <c r="AM123" s="28" t="str">
        <f ca="1">IF(NOTA[[#This Row],[ID_H]]="","",IF(NOTA[[#This Row],[FAKTUR]]="",INDIRECT(ADDRESS(ROW()-1,COLUMN())),NOTA[[#This Row],[FAKTUR]]))</f>
        <v>UNTANA</v>
      </c>
      <c r="AN123" s="25" t="str">
        <f ca="1">IF(NOTA[[#This Row],[ID]]="","",COUNTIF(NOTA[ID_H],NOTA[[#This Row],[ID_H]]))</f>
        <v/>
      </c>
      <c r="AO123" s="25">
        <f ca="1">IF(NOTA[[#This Row],[TGL.NOTA]]="",IF(NOTA[[#This Row],[SUPPLIER_H]]="","",AO122),MONTH(NOTA[[#This Row],[TGL.NOTA]]))</f>
        <v>6</v>
      </c>
      <c r="AP123" s="25" t="str">
        <f>LOWER(SUBSTITUTE(SUBSTITUTE(SUBSTITUTE(SUBSTITUTE(SUBSTITUTE(SUBSTITUTE(SUBSTITUTE(SUBSTITUTE(SUBSTITUTE(NOTA[[#This Row],[NAMA BARANG]]," ",),".",""),"-",""),"(",""),")",""),",",""),"/",""),"""",""),"+",""))</f>
        <v>magicboard906</v>
      </c>
      <c r="AQ1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magicboard9061392000</v>
      </c>
      <c r="AR1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magicboard9061392000</v>
      </c>
      <c r="AS1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3" s="25"/>
      <c r="AU123" s="25">
        <f>IF(NOTA[[#This Row],[CONCAT1]]="","",MATCH(NOTA[[#This Row],[CONCAT1]],[3]!db[NB NOTA_C],0))</f>
        <v>3442</v>
      </c>
      <c r="AV123" s="25" t="str">
        <f>IF(NOTA[[#This Row],[QTY/ CTN]]="","",TRUE)</f>
        <v/>
      </c>
      <c r="AW123" s="25" t="str">
        <f ca="1">IF(NOTA[[#This Row],[ID_H]]="","",IF(NOTA[[#This Row],[Column3]]=TRUE,NOTA[[#This Row],[QTY/ CTN]],INDEX([3]!db[QTY/ CTN],NOTA[[#This Row],[//DB]])))</f>
        <v>96 PCS</v>
      </c>
      <c r="AX1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magicboard90696pcsuntana</v>
      </c>
      <c r="AY123" s="25">
        <f ca="1">IF(NOTA[[#This Row],[ID_H]]="","",MATCH(NOTA[[#This Row],[NB NOTA_C_QTY]],[3]!db[NB NOTA_C_QTY+F],0))</f>
        <v>3442</v>
      </c>
      <c r="AZ123" s="38">
        <f ca="1">IF(NOTA[[#This Row],[NB NOTA_C_QTY]]="","",ROW()-2)</f>
        <v>121</v>
      </c>
    </row>
    <row r="124" spans="1:52" ht="20.100000000000001" customHeight="1">
      <c r="A1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24" s="25">
        <f ca="1">IF(NOTA[[#This Row],[NAMA BARANG]]="","",INDEX(NOTA[ID],MATCH(,INDIRECT(ADDRESS(ROW(NOTA[ID]),COLUMN(NOTA[ID]))&amp;":"&amp;ADDRESS(ROW(),COLUMN(NOTA[ID]))),-1)))</f>
        <v>31</v>
      </c>
      <c r="E124" s="33"/>
      <c r="H124" s="34"/>
      <c r="L124" s="25" t="s">
        <v>346</v>
      </c>
      <c r="N124" s="25">
        <v>94</v>
      </c>
      <c r="O124" s="25" t="s">
        <v>111</v>
      </c>
      <c r="P124" s="28">
        <v>14500</v>
      </c>
      <c r="Q124" s="29"/>
      <c r="R124" s="35"/>
      <c r="S124" s="36"/>
      <c r="V124" s="37"/>
      <c r="W124" s="32"/>
      <c r="X124" s="37">
        <f>IF(NOTA[[#This Row],[HARGA/ CTN]]="",NOTA[[#This Row],[JUMLAH_H]],NOTA[[#This Row],[HARGA/ CTN]]*IF(NOTA[[#This Row],[C]]="",0,NOTA[[#This Row],[C]]))</f>
        <v>1363000</v>
      </c>
      <c r="Y124" s="37">
        <f>IF(NOTA[[#This Row],[JUMLAH]]="","",NOTA[[#This Row],[JUMLAH]]*NOTA[[#This Row],[DISC 1]])</f>
        <v>0</v>
      </c>
      <c r="Z124" s="37">
        <f>IF(NOTA[[#This Row],[JUMLAH]]="","",(NOTA[[#This Row],[JUMLAH]]-NOTA[[#This Row],[DISC 1-]])*NOTA[[#This Row],[DISC 2]])</f>
        <v>0</v>
      </c>
      <c r="AA124" s="37">
        <f>IF(NOTA[[#This Row],[JUMLAH]]="","",(NOTA[[#This Row],[JUMLAH]]-NOTA[[#This Row],[DISC 1-]]-NOTA[[#This Row],[DISC 2-]])*NOTA[[#This Row],[DISC 3]])</f>
        <v>0</v>
      </c>
      <c r="AB124" s="37">
        <f>IF(NOTA[[#This Row],[JUMLAH]]="","",NOTA[[#This Row],[DISC 1-]]+NOTA[[#This Row],[DISC 2-]]+NOTA[[#This Row],[DISC 3-]])</f>
        <v>0</v>
      </c>
      <c r="AC124" s="37">
        <f>IF(NOTA[[#This Row],[JUMLAH]]="","",NOTA[[#This Row],[JUMLAH]]-NOTA[[#This Row],[DISC]])</f>
        <v>1363000</v>
      </c>
      <c r="AD124" s="37"/>
      <c r="AE12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2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28838000</v>
      </c>
      <c r="AG124" s="28">
        <f>IF(NOTA[[#This Row],[NAMA BARANG]]="","",IF(NOTA[[#This Row],[JUMLAH_H]]="",NOTA[[#This Row],[HARGA/ CTN]],NOTA[[#This Row],[QTY]]*NOTA[[#This Row],[HARGA SATUAN]]/IF(ISNUMBER(NOTA[[#This Row],[C]]),NOTA[[#This Row],[C]],1)))</f>
        <v>1363000</v>
      </c>
      <c r="AH124" s="37">
        <f>IF(OR(NOTA[[#This Row],[QTY]]="",NOTA[[#This Row],[HARGA SATUAN]]="",),"",NOTA[[#This Row],[QTY]]*NOTA[[#This Row],[HARGA SATUAN]])</f>
        <v>1363000</v>
      </c>
      <c r="AI124" s="26">
        <f ca="1">IF(NOTA[[#This Row],[ID_H]]="","",INDEX(NOTA[TANGGAL],MATCH(,INDIRECT(ADDRESS(ROW(NOTA[TANGGAL]),COLUMN(NOTA[TANGGAL]))&amp;":"&amp;ADDRESS(ROW(),COLUMN(NOTA[TANGGAL]))),-1)))</f>
        <v>45456</v>
      </c>
      <c r="AJ124" s="26">
        <f ca="1">IF(NOTA[[#This Row],[ID_H]]="","",INDEX(NOTA[TGL.NOTA],MATCH(,INDIRECT(ADDRESS(ROW(NOTA[TGL.NOTA]),COLUMN(NOTA[TGL.NOTA]))&amp;":"&amp;ADDRESS(ROW(),COLUMN(NOTA[TGL.NOTA]))),-1)))</f>
        <v>45454</v>
      </c>
      <c r="AK124" s="26" t="str">
        <f ca="1">IF(NOTA[[#This Row],[ID_H]]="","",INDEX(NOTA[NO.NOTA],MATCH(NOTA[[#This Row],[ID_H]],NOTA[ID_H],0)))</f>
        <v>03139</v>
      </c>
      <c r="AL124" s="28" t="str">
        <f ca="1">IF(NOTA[[#This Row],[NAMA BARANG]]="","",INDEX(NOTA[SUPPLIER],MATCH(,INDIRECT(ADDRESS(ROW(NOTA[ID]),COLUMN(NOTA[ID]))&amp;":"&amp;ADDRESS(ROW(),COLUMN(NOTA[ID]))),-1)))</f>
        <v>PMJP</v>
      </c>
      <c r="AM124" s="28" t="str">
        <f ca="1">IF(NOTA[[#This Row],[ID_H]]="","",IF(NOTA[[#This Row],[FAKTUR]]="",INDIRECT(ADDRESS(ROW()-1,COLUMN())),NOTA[[#This Row],[FAKTUR]]))</f>
        <v>UNTANA</v>
      </c>
      <c r="AN124" s="25" t="str">
        <f ca="1">IF(NOTA[[#This Row],[ID]]="","",COUNTIF(NOTA[ID_H],NOTA[[#This Row],[ID_H]]))</f>
        <v/>
      </c>
      <c r="AO124" s="25">
        <f ca="1">IF(NOTA[[#This Row],[TGL.NOTA]]="",IF(NOTA[[#This Row],[SUPPLIER_H]]="","",AO123),MONTH(NOTA[[#This Row],[TGL.NOTA]]))</f>
        <v>6</v>
      </c>
      <c r="AP124" s="25" t="str">
        <f>LOWER(SUBSTITUTE(SUBSTITUTE(SUBSTITUTE(SUBSTITUTE(SUBSTITUTE(SUBSTITUTE(SUBSTITUTE(SUBSTITUTE(SUBSTITUTE(NOTA[[#This Row],[NAMA BARANG]]," ",),".",""),"-",""),"(",""),")",""),",",""),"/",""),"""",""),"+",""))</f>
        <v>magicboard906</v>
      </c>
      <c r="AQ1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magicboard9061363000</v>
      </c>
      <c r="AR1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magicboard90614500</v>
      </c>
      <c r="AS1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4" s="25"/>
      <c r="AU124" s="25">
        <f>IF(NOTA[[#This Row],[CONCAT1]]="","",MATCH(NOTA[[#This Row],[CONCAT1]],[3]!db[NB NOTA_C],0))</f>
        <v>3442</v>
      </c>
      <c r="AV124" s="25" t="str">
        <f>IF(NOTA[[#This Row],[QTY/ CTN]]="","",TRUE)</f>
        <v/>
      </c>
      <c r="AW124" s="25" t="str">
        <f ca="1">IF(NOTA[[#This Row],[ID_H]]="","",IF(NOTA[[#This Row],[Column3]]=TRUE,NOTA[[#This Row],[QTY/ CTN]],INDEX([3]!db[QTY/ CTN],NOTA[[#This Row],[//DB]])))</f>
        <v>96 PCS</v>
      </c>
      <c r="AX1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magicboard90696pcsuntana</v>
      </c>
      <c r="AY124" s="25">
        <f ca="1">IF(NOTA[[#This Row],[ID_H]]="","",MATCH(NOTA[[#This Row],[NB NOTA_C_QTY]],[3]!db[NB NOTA_C_QTY+F],0))</f>
        <v>3442</v>
      </c>
      <c r="AZ124" s="38">
        <f ca="1">IF(NOTA[[#This Row],[NB NOTA_C_QTY]]="","",ROW()-2)</f>
        <v>122</v>
      </c>
    </row>
    <row r="125" spans="1:52" ht="20.100000000000001" customHeight="1">
      <c r="A1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25" s="25" t="str">
        <f ca="1">IF(NOTA[[#This Row],[NAMA BARANG]]="","",INDEX(NOTA[ID],MATCH(,INDIRECT(ADDRESS(ROW(NOTA[ID]),COLUMN(NOTA[ID]))&amp;":"&amp;ADDRESS(ROW(),COLUMN(NOTA[ID]))),-1)))</f>
        <v/>
      </c>
      <c r="E125" s="33"/>
      <c r="H125" s="34"/>
      <c r="Q125" s="29"/>
      <c r="R125" s="35"/>
      <c r="S125" s="36"/>
      <c r="V125" s="37"/>
      <c r="W125" s="32"/>
      <c r="X125" s="37" t="str">
        <f>IF(NOTA[[#This Row],[HARGA/ CTN]]="",NOTA[[#This Row],[JUMLAH_H]],NOTA[[#This Row],[HARGA/ CTN]]*IF(NOTA[[#This Row],[C]]="",0,NOTA[[#This Row],[C]]))</f>
        <v/>
      </c>
      <c r="Y125" s="37" t="str">
        <f>IF(NOTA[[#This Row],[JUMLAH]]="","",NOTA[[#This Row],[JUMLAH]]*NOTA[[#This Row],[DISC 1]])</f>
        <v/>
      </c>
      <c r="Z125" s="37" t="str">
        <f>IF(NOTA[[#This Row],[JUMLAH]]="","",(NOTA[[#This Row],[JUMLAH]]-NOTA[[#This Row],[DISC 1-]])*NOTA[[#This Row],[DISC 2]])</f>
        <v/>
      </c>
      <c r="AA125" s="37" t="str">
        <f>IF(NOTA[[#This Row],[JUMLAH]]="","",(NOTA[[#This Row],[JUMLAH]]-NOTA[[#This Row],[DISC 1-]]-NOTA[[#This Row],[DISC 2-]])*NOTA[[#This Row],[DISC 3]])</f>
        <v/>
      </c>
      <c r="AB125" s="37" t="str">
        <f>IF(NOTA[[#This Row],[JUMLAH]]="","",NOTA[[#This Row],[DISC 1-]]+NOTA[[#This Row],[DISC 2-]]+NOTA[[#This Row],[DISC 3-]])</f>
        <v/>
      </c>
      <c r="AC125" s="37" t="str">
        <f>IF(NOTA[[#This Row],[JUMLAH]]="","",NOTA[[#This Row],[JUMLAH]]-NOTA[[#This Row],[DISC]])</f>
        <v/>
      </c>
      <c r="AD125" s="37"/>
      <c r="AE1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5" s="37" t="str">
        <f>IF(OR(NOTA[[#This Row],[QTY]]="",NOTA[[#This Row],[HARGA SATUAN]]="",),"",NOTA[[#This Row],[QTY]]*NOTA[[#This Row],[HARGA SATUAN]])</f>
        <v/>
      </c>
      <c r="AI125" s="26" t="str">
        <f ca="1">IF(NOTA[[#This Row],[ID_H]]="","",INDEX(NOTA[TANGGAL],MATCH(,INDIRECT(ADDRESS(ROW(NOTA[TANGGAL]),COLUMN(NOTA[TANGGAL]))&amp;":"&amp;ADDRESS(ROW(),COLUMN(NOTA[TANGGAL]))),-1)))</f>
        <v/>
      </c>
      <c r="AJ125" s="26" t="str">
        <f ca="1">IF(NOTA[[#This Row],[ID_H]]="","",INDEX(NOTA[TGL.NOTA],MATCH(,INDIRECT(ADDRESS(ROW(NOTA[TGL.NOTA]),COLUMN(NOTA[TGL.NOTA]))&amp;":"&amp;ADDRESS(ROW(),COLUMN(NOTA[TGL.NOTA]))),-1)))</f>
        <v/>
      </c>
      <c r="AK125" s="26" t="str">
        <f ca="1">IF(NOTA[[#This Row],[ID_H]]="","",INDEX(NOTA[NO.NOTA],MATCH(NOTA[[#This Row],[ID_H]],NOTA[ID_H],0)))</f>
        <v/>
      </c>
      <c r="AL125" s="28" t="str">
        <f ca="1">IF(NOTA[[#This Row],[NAMA BARANG]]="","",INDEX(NOTA[SUPPLIER],MATCH(,INDIRECT(ADDRESS(ROW(NOTA[ID]),COLUMN(NOTA[ID]))&amp;":"&amp;ADDRESS(ROW(),COLUMN(NOTA[ID]))),-1)))</f>
        <v/>
      </c>
      <c r="AM125" s="28" t="str">
        <f ca="1">IF(NOTA[[#This Row],[ID_H]]="","",IF(NOTA[[#This Row],[FAKTUR]]="",INDIRECT(ADDRESS(ROW()-1,COLUMN())),NOTA[[#This Row],[FAKTUR]]))</f>
        <v/>
      </c>
      <c r="AN125" s="25" t="str">
        <f ca="1">IF(NOTA[[#This Row],[ID]]="","",COUNTIF(NOTA[ID_H],NOTA[[#This Row],[ID_H]]))</f>
        <v/>
      </c>
      <c r="AO125" s="25" t="str">
        <f ca="1">IF(NOTA[[#This Row],[TGL.NOTA]]="",IF(NOTA[[#This Row],[SUPPLIER_H]]="","",AO124),MONTH(NOTA[[#This Row],[TGL.NOTA]]))</f>
        <v/>
      </c>
      <c r="AP1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5" s="25"/>
      <c r="AU125" s="25" t="str">
        <f>IF(NOTA[[#This Row],[CONCAT1]]="","",MATCH(NOTA[[#This Row],[CONCAT1]],[3]!db[NB NOTA_C],0))</f>
        <v/>
      </c>
      <c r="AV125" s="25" t="str">
        <f>IF(NOTA[[#This Row],[QTY/ CTN]]="","",TRUE)</f>
        <v/>
      </c>
      <c r="AW125" s="25" t="str">
        <f ca="1">IF(NOTA[[#This Row],[ID_H]]="","",IF(NOTA[[#This Row],[Column3]]=TRUE,NOTA[[#This Row],[QTY/ CTN]],INDEX([3]!db[QTY/ CTN],NOTA[[#This Row],[//DB]])))</f>
        <v/>
      </c>
      <c r="AX1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5" s="25" t="str">
        <f ca="1">IF(NOTA[[#This Row],[ID_H]]="","",MATCH(NOTA[[#This Row],[NB NOTA_C_QTY]],[3]!db[NB NOTA_C_QTY+F],0))</f>
        <v/>
      </c>
      <c r="AZ125" s="38" t="str">
        <f ca="1">IF(NOTA[[#This Row],[NB NOTA_C_QTY]]="","",ROW()-2)</f>
        <v/>
      </c>
    </row>
    <row r="126" spans="1:52" ht="20.100000000000001" customHeight="1">
      <c r="A126" s="28">
        <f ca="1">IF(INDIRECT(ADDRESS(ROW()-1,COLUMN(NOTA[[#Headers],[ID]])))="ID",1,IF(NOTA[[#This Row],[FAKTUR]]="","",COUNT(INDIRECT(ADDRESS(ROW(NOTA[ID]),COLUMN(NOTA[ID]))&amp;":"&amp;ADDRESS(ROW()-1,COLUMN(NOTA[ID]))))+1))</f>
        <v>32</v>
      </c>
      <c r="B12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BIN_1206_055-5</v>
      </c>
      <c r="D126" s="25">
        <f ca="1">IF(NOTA[[#This Row],[NAMA BARANG]]="","",INDEX(NOTA[ID],MATCH(,INDIRECT(ADDRESS(ROW(NOTA[ID]),COLUMN(NOTA[ID]))&amp;":"&amp;ADDRESS(ROW(),COLUMN(NOTA[ID]))),-1)))</f>
        <v>32</v>
      </c>
      <c r="E126" s="33">
        <v>45455</v>
      </c>
      <c r="F126" s="25" t="s">
        <v>112</v>
      </c>
      <c r="G126" s="25" t="s">
        <v>109</v>
      </c>
      <c r="H126" s="34" t="s">
        <v>347</v>
      </c>
      <c r="J126" s="26">
        <v>45451</v>
      </c>
      <c r="L126" s="25" t="s">
        <v>348</v>
      </c>
      <c r="M126" s="27">
        <v>1</v>
      </c>
      <c r="N126" s="25">
        <v>60</v>
      </c>
      <c r="O126" s="25" t="s">
        <v>111</v>
      </c>
      <c r="P126" s="28">
        <v>25000</v>
      </c>
      <c r="Q126" s="29"/>
      <c r="R126" s="35"/>
      <c r="S126" s="36"/>
      <c r="V126" s="37"/>
      <c r="W126" s="32"/>
      <c r="X126" s="37">
        <f>IF(NOTA[[#This Row],[HARGA/ CTN]]="",NOTA[[#This Row],[JUMLAH_H]],NOTA[[#This Row],[HARGA/ CTN]]*IF(NOTA[[#This Row],[C]]="",0,NOTA[[#This Row],[C]]))</f>
        <v>1500000</v>
      </c>
      <c r="Y126" s="37">
        <f>IF(NOTA[[#This Row],[JUMLAH]]="","",NOTA[[#This Row],[JUMLAH]]*NOTA[[#This Row],[DISC 1]])</f>
        <v>0</v>
      </c>
      <c r="Z126" s="37">
        <f>IF(NOTA[[#This Row],[JUMLAH]]="","",(NOTA[[#This Row],[JUMLAH]]-NOTA[[#This Row],[DISC 1-]])*NOTA[[#This Row],[DISC 2]])</f>
        <v>0</v>
      </c>
      <c r="AA126" s="37">
        <f>IF(NOTA[[#This Row],[JUMLAH]]="","",(NOTA[[#This Row],[JUMLAH]]-NOTA[[#This Row],[DISC 1-]]-NOTA[[#This Row],[DISC 2-]])*NOTA[[#This Row],[DISC 3]])</f>
        <v>0</v>
      </c>
      <c r="AB126" s="37">
        <f>IF(NOTA[[#This Row],[JUMLAH]]="","",NOTA[[#This Row],[DISC 1-]]+NOTA[[#This Row],[DISC 2-]]+NOTA[[#This Row],[DISC 3-]])</f>
        <v>0</v>
      </c>
      <c r="AC126" s="37">
        <f>IF(NOTA[[#This Row],[JUMLAH]]="","",NOTA[[#This Row],[JUMLAH]]-NOTA[[#This Row],[DISC]])</f>
        <v>1500000</v>
      </c>
      <c r="AD126" s="37"/>
      <c r="AE1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6" s="28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126" s="37">
        <f>IF(OR(NOTA[[#This Row],[QTY]]="",NOTA[[#This Row],[HARGA SATUAN]]="",),"",NOTA[[#This Row],[QTY]]*NOTA[[#This Row],[HARGA SATUAN]])</f>
        <v>1500000</v>
      </c>
      <c r="AI126" s="26">
        <f ca="1">IF(NOTA[[#This Row],[ID_H]]="","",INDEX(NOTA[TANGGAL],MATCH(,INDIRECT(ADDRESS(ROW(NOTA[TANGGAL]),COLUMN(NOTA[TANGGAL]))&amp;":"&amp;ADDRESS(ROW(),COLUMN(NOTA[TANGGAL]))),-1)))</f>
        <v>45455</v>
      </c>
      <c r="AJ126" s="26">
        <f ca="1">IF(NOTA[[#This Row],[ID_H]]="","",INDEX(NOTA[TGL.NOTA],MATCH(,INDIRECT(ADDRESS(ROW(NOTA[TGL.NOTA]),COLUMN(NOTA[TGL.NOTA]))&amp;":"&amp;ADDRESS(ROW(),COLUMN(NOTA[TGL.NOTA]))),-1)))</f>
        <v>45451</v>
      </c>
      <c r="AK126" s="26" t="str">
        <f ca="1">IF(NOTA[[#This Row],[ID_H]]="","",INDEX(NOTA[NO.NOTA],MATCH(NOTA[[#This Row],[ID_H]],NOTA[ID_H],0)))</f>
        <v>SO2024060086055</v>
      </c>
      <c r="AL126" s="28" t="str">
        <f ca="1">IF(NOTA[[#This Row],[NAMA BARANG]]="","",INDEX(NOTA[SUPPLIER],MATCH(,INDIRECT(ADDRESS(ROW(NOTA[ID]),COLUMN(NOTA[ID]))&amp;":"&amp;ADDRESS(ROW(),COLUMN(NOTA[ID]))),-1)))</f>
        <v>BINTANG SAUDARA</v>
      </c>
      <c r="AM126" s="28" t="str">
        <f ca="1">IF(NOTA[[#This Row],[ID_H]]="","",IF(NOTA[[#This Row],[FAKTUR]]="",INDIRECT(ADDRESS(ROW()-1,COLUMN())),NOTA[[#This Row],[FAKTUR]]))</f>
        <v>UNTANA</v>
      </c>
      <c r="AN126" s="25">
        <f ca="1">IF(NOTA[[#This Row],[ID]]="","",COUNTIF(NOTA[ID_H],NOTA[[#This Row],[ID_H]]))</f>
        <v>5</v>
      </c>
      <c r="AO126" s="25">
        <f>IF(NOTA[[#This Row],[TGL.NOTA]]="",IF(NOTA[[#This Row],[SUPPLIER_H]]="","",AO125),MONTH(NOTA[[#This Row],[TGL.NOTA]]))</f>
        <v>6</v>
      </c>
      <c r="AP126" s="25" t="str">
        <f>LOWER(SUBSTITUTE(SUBSTITUTE(SUBSTITUTE(SUBSTITUTE(SUBSTITUTE(SUBSTITUTE(SUBSTITUTE(SUBSTITUTE(SUBSTITUTE(NOTA[[#This Row],[NAMA BARANG]]," ",),".",""),"-",""),"(",""),")",""),",",""),"/",""),"""",""),"+",""))</f>
        <v>acrylicsisipankertasa5t15x21cm</v>
      </c>
      <c r="AQ1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acrylicsisipankertasa5t15x21cm1500000</v>
      </c>
      <c r="AR1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acrylicsisipankertasa5t15x21cm1500000</v>
      </c>
      <c r="AS126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SAUDARAUNTANASO202406008605545451acrylicsisipankertasa5t15x21cm</v>
      </c>
      <c r="AT126" s="25"/>
      <c r="AU126" s="25">
        <f>IF(NOTA[[#This Row],[CONCAT1]]="","",MATCH(NOTA[[#This Row],[CONCAT1]],[3]!db[NB NOTA_C],0))</f>
        <v>39</v>
      </c>
      <c r="AV126" s="25" t="str">
        <f>IF(NOTA[[#This Row],[QTY/ CTN]]="","",TRUE)</f>
        <v/>
      </c>
      <c r="AW126" s="25" t="str">
        <f ca="1">IF(NOTA[[#This Row],[ID_H]]="","",IF(NOTA[[#This Row],[Column3]]=TRUE,NOTA[[#This Row],[QTY/ CTN]],INDEX([3]!db[QTY/ CTN],NOTA[[#This Row],[//DB]])))</f>
        <v>60 PCS</v>
      </c>
      <c r="AX1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Y126" s="25">
        <f ca="1">IF(NOTA[[#This Row],[ID_H]]="","",MATCH(NOTA[[#This Row],[NB NOTA_C_QTY]],[3]!db[NB NOTA_C_QTY+F],0))</f>
        <v>39</v>
      </c>
      <c r="AZ126" s="38">
        <f ca="1">IF(NOTA[[#This Row],[NB NOTA_C_QTY]]="","",ROW()-2)</f>
        <v>124</v>
      </c>
    </row>
    <row r="127" spans="1:52" ht="20.100000000000001" customHeight="1">
      <c r="A1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27" s="25">
        <f ca="1">IF(NOTA[[#This Row],[NAMA BARANG]]="","",INDEX(NOTA[ID],MATCH(,INDIRECT(ADDRESS(ROW(NOTA[ID]),COLUMN(NOTA[ID]))&amp;":"&amp;ADDRESS(ROW(),COLUMN(NOTA[ID]))),-1)))</f>
        <v>32</v>
      </c>
      <c r="E127" s="33"/>
      <c r="H127" s="34"/>
      <c r="L127" s="25" t="s">
        <v>349</v>
      </c>
      <c r="M127" s="27">
        <v>1</v>
      </c>
      <c r="N127" s="25">
        <v>144</v>
      </c>
      <c r="O127" s="25" t="s">
        <v>111</v>
      </c>
      <c r="P127" s="28">
        <v>11000</v>
      </c>
      <c r="Q127" s="29"/>
      <c r="R127" s="35"/>
      <c r="S127" s="36">
        <v>0.03</v>
      </c>
      <c r="V127" s="37"/>
      <c r="W127" s="32"/>
      <c r="X127" s="37">
        <f>IF(NOTA[[#This Row],[HARGA/ CTN]]="",NOTA[[#This Row],[JUMLAH_H]],NOTA[[#This Row],[HARGA/ CTN]]*IF(NOTA[[#This Row],[C]]="",0,NOTA[[#This Row],[C]]))</f>
        <v>1584000</v>
      </c>
      <c r="Y127" s="37">
        <f>IF(NOTA[[#This Row],[JUMLAH]]="","",NOTA[[#This Row],[JUMLAH]]*NOTA[[#This Row],[DISC 1]])</f>
        <v>47520</v>
      </c>
      <c r="Z127" s="37">
        <f>IF(NOTA[[#This Row],[JUMLAH]]="","",(NOTA[[#This Row],[JUMLAH]]-NOTA[[#This Row],[DISC 1-]])*NOTA[[#This Row],[DISC 2]])</f>
        <v>0</v>
      </c>
      <c r="AA127" s="37">
        <f>IF(NOTA[[#This Row],[JUMLAH]]="","",(NOTA[[#This Row],[JUMLAH]]-NOTA[[#This Row],[DISC 1-]]-NOTA[[#This Row],[DISC 2-]])*NOTA[[#This Row],[DISC 3]])</f>
        <v>0</v>
      </c>
      <c r="AB127" s="37">
        <f>IF(NOTA[[#This Row],[JUMLAH]]="","",NOTA[[#This Row],[DISC 1-]]+NOTA[[#This Row],[DISC 2-]]+NOTA[[#This Row],[DISC 3-]])</f>
        <v>47520</v>
      </c>
      <c r="AC127" s="37">
        <f>IF(NOTA[[#This Row],[JUMLAH]]="","",NOTA[[#This Row],[JUMLAH]]-NOTA[[#This Row],[DISC]])</f>
        <v>1536480</v>
      </c>
      <c r="AD127" s="37"/>
      <c r="AE1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7" s="28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127" s="37">
        <f>IF(OR(NOTA[[#This Row],[QTY]]="",NOTA[[#This Row],[HARGA SATUAN]]="",),"",NOTA[[#This Row],[QTY]]*NOTA[[#This Row],[HARGA SATUAN]])</f>
        <v>1584000</v>
      </c>
      <c r="AI127" s="26">
        <f ca="1">IF(NOTA[[#This Row],[ID_H]]="","",INDEX(NOTA[TANGGAL],MATCH(,INDIRECT(ADDRESS(ROW(NOTA[TANGGAL]),COLUMN(NOTA[TANGGAL]))&amp;":"&amp;ADDRESS(ROW(),COLUMN(NOTA[TANGGAL]))),-1)))</f>
        <v>45455</v>
      </c>
      <c r="AJ127" s="26">
        <f ca="1">IF(NOTA[[#This Row],[ID_H]]="","",INDEX(NOTA[TGL.NOTA],MATCH(,INDIRECT(ADDRESS(ROW(NOTA[TGL.NOTA]),COLUMN(NOTA[TGL.NOTA]))&amp;":"&amp;ADDRESS(ROW(),COLUMN(NOTA[TGL.NOTA]))),-1)))</f>
        <v>45451</v>
      </c>
      <c r="AK127" s="26" t="str">
        <f ca="1">IF(NOTA[[#This Row],[ID_H]]="","",INDEX(NOTA[NO.NOTA],MATCH(NOTA[[#This Row],[ID_H]],NOTA[ID_H],0)))</f>
        <v>SO2024060086055</v>
      </c>
      <c r="AL127" s="28" t="str">
        <f ca="1">IF(NOTA[[#This Row],[NAMA BARANG]]="","",INDEX(NOTA[SUPPLIER],MATCH(,INDIRECT(ADDRESS(ROW(NOTA[ID]),COLUMN(NOTA[ID]))&amp;":"&amp;ADDRESS(ROW(),COLUMN(NOTA[ID]))),-1)))</f>
        <v>BINTANG SAUDARA</v>
      </c>
      <c r="AM127" s="28" t="str">
        <f ca="1">IF(NOTA[[#This Row],[ID_H]]="","",IF(NOTA[[#This Row],[FAKTUR]]="",INDIRECT(ADDRESS(ROW()-1,COLUMN())),NOTA[[#This Row],[FAKTUR]]))</f>
        <v>UNTANA</v>
      </c>
      <c r="AN127" s="25" t="str">
        <f ca="1">IF(NOTA[[#This Row],[ID]]="","",COUNTIF(NOTA[ID_H],NOTA[[#This Row],[ID_H]]))</f>
        <v/>
      </c>
      <c r="AO127" s="25">
        <f ca="1">IF(NOTA[[#This Row],[TGL.NOTA]]="",IF(NOTA[[#This Row],[SUPPLIER_H]]="","",AO126),MONTH(NOTA[[#This Row],[TGL.NOTA]]))</f>
        <v>6</v>
      </c>
      <c r="AP127" s="25" t="str">
        <f>LOWER(SUBSTITUTE(SUBSTITUTE(SUBSTITUTE(SUBSTITUTE(SUBSTITUTE(SUBSTITUTE(SUBSTITUTE(SUBSTITUTE(SUBSTITUTE(NOTA[[#This Row],[NAMA BARANG]]," ",),".",""),"-",""),"(",""),")",""),",",""),"/",""),"""",""),"+",""))</f>
        <v>agendadiaryd128</v>
      </c>
      <c r="AQ1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agendadiaryd12815840000,03</v>
      </c>
      <c r="AR1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agendadiaryd12815840000,03</v>
      </c>
      <c r="AS1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7" s="25"/>
      <c r="AU127" s="25">
        <f>IF(NOTA[[#This Row],[CONCAT1]]="","",MATCH(NOTA[[#This Row],[CONCAT1]],[3]!db[NB NOTA_C],0))</f>
        <v>63</v>
      </c>
      <c r="AV127" s="25" t="str">
        <f>IF(NOTA[[#This Row],[QTY/ CTN]]="","",TRUE)</f>
        <v/>
      </c>
      <c r="AW127" s="25" t="str">
        <f ca="1">IF(NOTA[[#This Row],[ID_H]]="","",IF(NOTA[[#This Row],[Column3]]=TRUE,NOTA[[#This Row],[QTY/ CTN]],INDEX([3]!db[QTY/ CTN],NOTA[[#This Row],[//DB]])))</f>
        <v>144 PCS</v>
      </c>
      <c r="AX1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agendadiaryd128144pcsuntana</v>
      </c>
      <c r="AY127" s="25">
        <f ca="1">IF(NOTA[[#This Row],[ID_H]]="","",MATCH(NOTA[[#This Row],[NB NOTA_C_QTY]],[3]!db[NB NOTA_C_QTY+F],0))</f>
        <v>63</v>
      </c>
      <c r="AZ127" s="38">
        <f ca="1">IF(NOTA[[#This Row],[NB NOTA_C_QTY]]="","",ROW()-2)</f>
        <v>125</v>
      </c>
    </row>
    <row r="128" spans="1:52" ht="20.100000000000001" customHeight="1">
      <c r="A1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28" s="25">
        <f ca="1">IF(NOTA[[#This Row],[NAMA BARANG]]="","",INDEX(NOTA[ID],MATCH(,INDIRECT(ADDRESS(ROW(NOTA[ID]),COLUMN(NOTA[ID]))&amp;":"&amp;ADDRESS(ROW(),COLUMN(NOTA[ID]))),-1)))</f>
        <v>32</v>
      </c>
      <c r="E128" s="33"/>
      <c r="H128" s="34"/>
      <c r="L128" s="25" t="s">
        <v>350</v>
      </c>
      <c r="M128" s="27">
        <v>2</v>
      </c>
      <c r="N128" s="25">
        <v>1600</v>
      </c>
      <c r="O128" s="25" t="s">
        <v>111</v>
      </c>
      <c r="P128" s="28">
        <v>2500</v>
      </c>
      <c r="Q128" s="29"/>
      <c r="R128" s="35"/>
      <c r="S128" s="36"/>
      <c r="V128" s="37"/>
      <c r="W128" s="32"/>
      <c r="X128" s="37">
        <f>IF(NOTA[[#This Row],[HARGA/ CTN]]="",NOTA[[#This Row],[JUMLAH_H]],NOTA[[#This Row],[HARGA/ CTN]]*IF(NOTA[[#This Row],[C]]="",0,NOTA[[#This Row],[C]]))</f>
        <v>4000000</v>
      </c>
      <c r="Y128" s="37">
        <f>IF(NOTA[[#This Row],[JUMLAH]]="","",NOTA[[#This Row],[JUMLAH]]*NOTA[[#This Row],[DISC 1]])</f>
        <v>0</v>
      </c>
      <c r="Z128" s="37">
        <f>IF(NOTA[[#This Row],[JUMLAH]]="","",(NOTA[[#This Row],[JUMLAH]]-NOTA[[#This Row],[DISC 1-]])*NOTA[[#This Row],[DISC 2]])</f>
        <v>0</v>
      </c>
      <c r="AA128" s="37">
        <f>IF(NOTA[[#This Row],[JUMLAH]]="","",(NOTA[[#This Row],[JUMLAH]]-NOTA[[#This Row],[DISC 1-]]-NOTA[[#This Row],[DISC 2-]])*NOTA[[#This Row],[DISC 3]])</f>
        <v>0</v>
      </c>
      <c r="AB128" s="37">
        <f>IF(NOTA[[#This Row],[JUMLAH]]="","",NOTA[[#This Row],[DISC 1-]]+NOTA[[#This Row],[DISC 2-]]+NOTA[[#This Row],[DISC 3-]])</f>
        <v>0</v>
      </c>
      <c r="AC128" s="37">
        <f>IF(NOTA[[#This Row],[JUMLAH]]="","",NOTA[[#This Row],[JUMLAH]]-NOTA[[#This Row],[DISC]])</f>
        <v>4000000</v>
      </c>
      <c r="AD128" s="37"/>
      <c r="AE1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8" s="28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H128" s="37">
        <f>IF(OR(NOTA[[#This Row],[QTY]]="",NOTA[[#This Row],[HARGA SATUAN]]="",),"",NOTA[[#This Row],[QTY]]*NOTA[[#This Row],[HARGA SATUAN]])</f>
        <v>4000000</v>
      </c>
      <c r="AI128" s="26">
        <f ca="1">IF(NOTA[[#This Row],[ID_H]]="","",INDEX(NOTA[TANGGAL],MATCH(,INDIRECT(ADDRESS(ROW(NOTA[TANGGAL]),COLUMN(NOTA[TANGGAL]))&amp;":"&amp;ADDRESS(ROW(),COLUMN(NOTA[TANGGAL]))),-1)))</f>
        <v>45455</v>
      </c>
      <c r="AJ128" s="26">
        <f ca="1">IF(NOTA[[#This Row],[ID_H]]="","",INDEX(NOTA[TGL.NOTA],MATCH(,INDIRECT(ADDRESS(ROW(NOTA[TGL.NOTA]),COLUMN(NOTA[TGL.NOTA]))&amp;":"&amp;ADDRESS(ROW(),COLUMN(NOTA[TGL.NOTA]))),-1)))</f>
        <v>45451</v>
      </c>
      <c r="AK128" s="26" t="str">
        <f ca="1">IF(NOTA[[#This Row],[ID_H]]="","",INDEX(NOTA[NO.NOTA],MATCH(NOTA[[#This Row],[ID_H]],NOTA[ID_H],0)))</f>
        <v>SO2024060086055</v>
      </c>
      <c r="AL128" s="28" t="str">
        <f ca="1">IF(NOTA[[#This Row],[NAMA BARANG]]="","",INDEX(NOTA[SUPPLIER],MATCH(,INDIRECT(ADDRESS(ROW(NOTA[ID]),COLUMN(NOTA[ID]))&amp;":"&amp;ADDRESS(ROW(),COLUMN(NOTA[ID]))),-1)))</f>
        <v>BINTANG SAUDARA</v>
      </c>
      <c r="AM128" s="28" t="str">
        <f ca="1">IF(NOTA[[#This Row],[ID_H]]="","",IF(NOTA[[#This Row],[FAKTUR]]="",INDIRECT(ADDRESS(ROW()-1,COLUMN())),NOTA[[#This Row],[FAKTUR]]))</f>
        <v>UNTANA</v>
      </c>
      <c r="AN128" s="25" t="str">
        <f ca="1">IF(NOTA[[#This Row],[ID]]="","",COUNTIF(NOTA[ID_H],NOTA[[#This Row],[ID_H]]))</f>
        <v/>
      </c>
      <c r="AO128" s="25">
        <f ca="1">IF(NOTA[[#This Row],[TGL.NOTA]]="",IF(NOTA[[#This Row],[SUPPLIER_H]]="","",AO127),MONTH(NOTA[[#This Row],[TGL.NOTA]]))</f>
        <v>6</v>
      </c>
      <c r="AP128" s="25" t="str">
        <f>LOWER(SUBSTITUTE(SUBSTITUTE(SUBSTITUTE(SUBSTITUTE(SUBSTITUTE(SUBSTITUTE(SUBSTITUTE(SUBSTITUTE(SUBSTITUTE(NOTA[[#This Row],[NAMA BARANG]]," ",),".",""),"-",""),"(",""),")",""),",",""),"/",""),"""",""),"+",""))</f>
        <v>bukumewarnaibtsmix2201</v>
      </c>
      <c r="AQ1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bukumewarnaibtsmix22012000000</v>
      </c>
      <c r="AR1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bukumewarnaibtsmix22012000000</v>
      </c>
      <c r="AS1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8" s="25"/>
      <c r="AU128" s="25">
        <f>IF(NOTA[[#This Row],[CONCAT1]]="","",MATCH(NOTA[[#This Row],[CONCAT1]],[3]!db[NB NOTA_C],0))</f>
        <v>555</v>
      </c>
      <c r="AV128" s="25" t="str">
        <f>IF(NOTA[[#This Row],[QTY/ CTN]]="","",TRUE)</f>
        <v/>
      </c>
      <c r="AW128" s="25" t="str">
        <f ca="1">IF(NOTA[[#This Row],[ID_H]]="","",IF(NOTA[[#This Row],[Column3]]=TRUE,NOTA[[#This Row],[QTY/ CTN]],INDEX([3]!db[QTY/ CTN],NOTA[[#This Row],[//DB]])))</f>
        <v>800 PCS</v>
      </c>
      <c r="AX1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bukumewarnaibtsmix2201800pcsuntana</v>
      </c>
      <c r="AY128" s="25">
        <f ca="1">IF(NOTA[[#This Row],[ID_H]]="","",MATCH(NOTA[[#This Row],[NB NOTA_C_QTY]],[3]!db[NB NOTA_C_QTY+F],0))</f>
        <v>555</v>
      </c>
      <c r="AZ128" s="38">
        <f ca="1">IF(NOTA[[#This Row],[NB NOTA_C_QTY]]="","",ROW()-2)</f>
        <v>126</v>
      </c>
    </row>
    <row r="129" spans="1:52" ht="20.100000000000001" customHeight="1">
      <c r="A1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29" s="25">
        <f ca="1">IF(NOTA[[#This Row],[NAMA BARANG]]="","",INDEX(NOTA[ID],MATCH(,INDIRECT(ADDRESS(ROW(NOTA[ID]),COLUMN(NOTA[ID]))&amp;":"&amp;ADDRESS(ROW(),COLUMN(NOTA[ID]))),-1)))</f>
        <v>32</v>
      </c>
      <c r="E129" s="33"/>
      <c r="H129" s="34"/>
      <c r="L129" s="39" t="s">
        <v>472</v>
      </c>
      <c r="M129" s="27">
        <v>5</v>
      </c>
      <c r="N129" s="25">
        <v>240</v>
      </c>
      <c r="O129" s="25" t="s">
        <v>111</v>
      </c>
      <c r="P129" s="28">
        <v>25500</v>
      </c>
      <c r="Q129" s="29"/>
      <c r="R129" s="35"/>
      <c r="S129" s="36"/>
      <c r="V129" s="37"/>
      <c r="W129" s="32"/>
      <c r="X129" s="37">
        <f>IF(NOTA[[#This Row],[HARGA/ CTN]]="",NOTA[[#This Row],[JUMLAH_H]],NOTA[[#This Row],[HARGA/ CTN]]*IF(NOTA[[#This Row],[C]]="",0,NOTA[[#This Row],[C]]))</f>
        <v>6120000</v>
      </c>
      <c r="Y129" s="37">
        <f>IF(NOTA[[#This Row],[JUMLAH]]="","",NOTA[[#This Row],[JUMLAH]]*NOTA[[#This Row],[DISC 1]])</f>
        <v>0</v>
      </c>
      <c r="Z129" s="37">
        <f>IF(NOTA[[#This Row],[JUMLAH]]="","",(NOTA[[#This Row],[JUMLAH]]-NOTA[[#This Row],[DISC 1-]])*NOTA[[#This Row],[DISC 2]])</f>
        <v>0</v>
      </c>
      <c r="AA129" s="37">
        <f>IF(NOTA[[#This Row],[JUMLAH]]="","",(NOTA[[#This Row],[JUMLAH]]-NOTA[[#This Row],[DISC 1-]]-NOTA[[#This Row],[DISC 2-]])*NOTA[[#This Row],[DISC 3]])</f>
        <v>0</v>
      </c>
      <c r="AB129" s="37">
        <f>IF(NOTA[[#This Row],[JUMLAH]]="","",NOTA[[#This Row],[DISC 1-]]+NOTA[[#This Row],[DISC 2-]]+NOTA[[#This Row],[DISC 3-]])</f>
        <v>0</v>
      </c>
      <c r="AC129" s="37">
        <f>IF(NOTA[[#This Row],[JUMLAH]]="","",NOTA[[#This Row],[JUMLAH]]-NOTA[[#This Row],[DISC]])</f>
        <v>6120000</v>
      </c>
      <c r="AD129" s="37"/>
      <c r="AE1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9" s="28">
        <f>IF(NOTA[[#This Row],[NAMA BARANG]]="","",IF(NOTA[[#This Row],[JUMLAH_H]]="",NOTA[[#This Row],[HARGA/ CTN]],NOTA[[#This Row],[QTY]]*NOTA[[#This Row],[HARGA SATUAN]]/IF(ISNUMBER(NOTA[[#This Row],[C]]),NOTA[[#This Row],[C]],1)))</f>
        <v>1224000</v>
      </c>
      <c r="AH129" s="37">
        <f>IF(OR(NOTA[[#This Row],[QTY]]="",NOTA[[#This Row],[HARGA SATUAN]]="",),"",NOTA[[#This Row],[QTY]]*NOTA[[#This Row],[HARGA SATUAN]])</f>
        <v>6120000</v>
      </c>
      <c r="AI129" s="26">
        <f ca="1">IF(NOTA[[#This Row],[ID_H]]="","",INDEX(NOTA[TANGGAL],MATCH(,INDIRECT(ADDRESS(ROW(NOTA[TANGGAL]),COLUMN(NOTA[TANGGAL]))&amp;":"&amp;ADDRESS(ROW(),COLUMN(NOTA[TANGGAL]))),-1)))</f>
        <v>45455</v>
      </c>
      <c r="AJ129" s="26">
        <f ca="1">IF(NOTA[[#This Row],[ID_H]]="","",INDEX(NOTA[TGL.NOTA],MATCH(,INDIRECT(ADDRESS(ROW(NOTA[TGL.NOTA]),COLUMN(NOTA[TGL.NOTA]))&amp;":"&amp;ADDRESS(ROW(),COLUMN(NOTA[TGL.NOTA]))),-1)))</f>
        <v>45451</v>
      </c>
      <c r="AK129" s="26" t="str">
        <f ca="1">IF(NOTA[[#This Row],[ID_H]]="","",INDEX(NOTA[NO.NOTA],MATCH(NOTA[[#This Row],[ID_H]],NOTA[ID_H],0)))</f>
        <v>SO2024060086055</v>
      </c>
      <c r="AL129" s="28" t="str">
        <f ca="1">IF(NOTA[[#This Row],[NAMA BARANG]]="","",INDEX(NOTA[SUPPLIER],MATCH(,INDIRECT(ADDRESS(ROW(NOTA[ID]),COLUMN(NOTA[ID]))&amp;":"&amp;ADDRESS(ROW(),COLUMN(NOTA[ID]))),-1)))</f>
        <v>BINTANG SAUDARA</v>
      </c>
      <c r="AM129" s="28" t="str">
        <f ca="1">IF(NOTA[[#This Row],[ID_H]]="","",IF(NOTA[[#This Row],[FAKTUR]]="",INDIRECT(ADDRESS(ROW()-1,COLUMN())),NOTA[[#This Row],[FAKTUR]]))</f>
        <v>UNTANA</v>
      </c>
      <c r="AN129" s="25" t="str">
        <f ca="1">IF(NOTA[[#This Row],[ID]]="","",COUNTIF(NOTA[ID_H],NOTA[[#This Row],[ID_H]]))</f>
        <v/>
      </c>
      <c r="AO129" s="25">
        <f ca="1">IF(NOTA[[#This Row],[TGL.NOTA]]="",IF(NOTA[[#This Row],[SUPPLIER_H]]="","",AO128),MONTH(NOTA[[#This Row],[TGL.NOTA]]))</f>
        <v>6</v>
      </c>
      <c r="AP129" s="25" t="str">
        <f>LOWER(SUBSTITUTE(SUBSTITUTE(SUBSTITUTE(SUBSTITUTE(SUBSTITUTE(SUBSTITUTE(SUBSTITUTE(SUBSTITUTE(SUBSTITUTE(NOTA[[#This Row],[NAMA BARANG]]," ",),".",""),"-",""),"(",""),")",""),",",""),"/",""),"""",""),"+",""))</f>
        <v>sketchbooka43557</v>
      </c>
      <c r="AQ1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sketchbooka435571224000</v>
      </c>
      <c r="AR1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sketchbooka435571224000</v>
      </c>
      <c r="AS1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9" s="25"/>
      <c r="AU129" s="25">
        <f>IF(NOTA[[#This Row],[CONCAT1]]="","",MATCH(NOTA[[#This Row],[CONCAT1]],[3]!db[NB NOTA_C],0))</f>
        <v>2916</v>
      </c>
      <c r="AV129" s="25" t="str">
        <f>IF(NOTA[[#This Row],[QTY/ CTN]]="","",TRUE)</f>
        <v/>
      </c>
      <c r="AW129" s="25" t="str">
        <f ca="1">IF(NOTA[[#This Row],[ID_H]]="","",IF(NOTA[[#This Row],[Column3]]=TRUE,NOTA[[#This Row],[QTY/ CTN]],INDEX([3]!db[QTY/ CTN],NOTA[[#This Row],[//DB]])))</f>
        <v>72 PCS</v>
      </c>
      <c r="AX1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sketchbooka4355772pcsuntana</v>
      </c>
      <c r="AY129" s="25">
        <f ca="1">IF(NOTA[[#This Row],[ID_H]]="","",MATCH(NOTA[[#This Row],[NB NOTA_C_QTY]],[3]!db[NB NOTA_C_QTY+F],0))</f>
        <v>2916</v>
      </c>
      <c r="AZ129" s="38">
        <f ca="1">IF(NOTA[[#This Row],[NB NOTA_C_QTY]]="","",ROW()-2)</f>
        <v>127</v>
      </c>
    </row>
    <row r="130" spans="1:52" ht="20.100000000000001" customHeight="1">
      <c r="A1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30" s="25">
        <f ca="1">IF(NOTA[[#This Row],[NAMA BARANG]]="","",INDEX(NOTA[ID],MATCH(,INDIRECT(ADDRESS(ROW(NOTA[ID]),COLUMN(NOTA[ID]))&amp;":"&amp;ADDRESS(ROW(),COLUMN(NOTA[ID]))),-1)))</f>
        <v>32</v>
      </c>
      <c r="E130" s="33"/>
      <c r="H130" s="34"/>
      <c r="L130" s="25" t="s">
        <v>351</v>
      </c>
      <c r="M130" s="27">
        <v>5</v>
      </c>
      <c r="N130" s="25">
        <v>600</v>
      </c>
      <c r="O130" s="25" t="s">
        <v>111</v>
      </c>
      <c r="P130" s="28">
        <v>15500</v>
      </c>
      <c r="Q130" s="29"/>
      <c r="R130" s="35"/>
      <c r="S130" s="36"/>
      <c r="V130" s="37"/>
      <c r="W130" s="32"/>
      <c r="X130" s="37">
        <f>IF(NOTA[[#This Row],[HARGA/ CTN]]="",NOTA[[#This Row],[JUMLAH_H]],NOTA[[#This Row],[HARGA/ CTN]]*IF(NOTA[[#This Row],[C]]="",0,NOTA[[#This Row],[C]]))</f>
        <v>9300000</v>
      </c>
      <c r="Y130" s="37">
        <f>IF(NOTA[[#This Row],[JUMLAH]]="","",NOTA[[#This Row],[JUMLAH]]*NOTA[[#This Row],[DISC 1]])</f>
        <v>0</v>
      </c>
      <c r="Z130" s="37">
        <f>IF(NOTA[[#This Row],[JUMLAH]]="","",(NOTA[[#This Row],[JUMLAH]]-NOTA[[#This Row],[DISC 1-]])*NOTA[[#This Row],[DISC 2]])</f>
        <v>0</v>
      </c>
      <c r="AA130" s="37">
        <f>IF(NOTA[[#This Row],[JUMLAH]]="","",(NOTA[[#This Row],[JUMLAH]]-NOTA[[#This Row],[DISC 1-]]-NOTA[[#This Row],[DISC 2-]])*NOTA[[#This Row],[DISC 3]])</f>
        <v>0</v>
      </c>
      <c r="AB130" s="37">
        <f>IF(NOTA[[#This Row],[JUMLAH]]="","",NOTA[[#This Row],[DISC 1-]]+NOTA[[#This Row],[DISC 2-]]+NOTA[[#This Row],[DISC 3-]])</f>
        <v>0</v>
      </c>
      <c r="AC130" s="37">
        <f>IF(NOTA[[#This Row],[JUMLAH]]="","",NOTA[[#This Row],[JUMLAH]]-NOTA[[#This Row],[DISC]])</f>
        <v>9300000</v>
      </c>
      <c r="AD130" s="37"/>
      <c r="AE13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47520</v>
      </c>
      <c r="AF13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22456480</v>
      </c>
      <c r="AG130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H130" s="37">
        <f>IF(OR(NOTA[[#This Row],[QTY]]="",NOTA[[#This Row],[HARGA SATUAN]]="",),"",NOTA[[#This Row],[QTY]]*NOTA[[#This Row],[HARGA SATUAN]])</f>
        <v>9300000</v>
      </c>
      <c r="AI130" s="26">
        <f ca="1">IF(NOTA[[#This Row],[ID_H]]="","",INDEX(NOTA[TANGGAL],MATCH(,INDIRECT(ADDRESS(ROW(NOTA[TANGGAL]),COLUMN(NOTA[TANGGAL]))&amp;":"&amp;ADDRESS(ROW(),COLUMN(NOTA[TANGGAL]))),-1)))</f>
        <v>45455</v>
      </c>
      <c r="AJ130" s="26">
        <f ca="1">IF(NOTA[[#This Row],[ID_H]]="","",INDEX(NOTA[TGL.NOTA],MATCH(,INDIRECT(ADDRESS(ROW(NOTA[TGL.NOTA]),COLUMN(NOTA[TGL.NOTA]))&amp;":"&amp;ADDRESS(ROW(),COLUMN(NOTA[TGL.NOTA]))),-1)))</f>
        <v>45451</v>
      </c>
      <c r="AK130" s="26" t="str">
        <f ca="1">IF(NOTA[[#This Row],[ID_H]]="","",INDEX(NOTA[NO.NOTA],MATCH(NOTA[[#This Row],[ID_H]],NOTA[ID_H],0)))</f>
        <v>SO2024060086055</v>
      </c>
      <c r="AL130" s="28" t="str">
        <f ca="1">IF(NOTA[[#This Row],[NAMA BARANG]]="","",INDEX(NOTA[SUPPLIER],MATCH(,INDIRECT(ADDRESS(ROW(NOTA[ID]),COLUMN(NOTA[ID]))&amp;":"&amp;ADDRESS(ROW(),COLUMN(NOTA[ID]))),-1)))</f>
        <v>BINTANG SAUDARA</v>
      </c>
      <c r="AM130" s="28" t="str">
        <f ca="1">IF(NOTA[[#This Row],[ID_H]]="","",IF(NOTA[[#This Row],[FAKTUR]]="",INDIRECT(ADDRESS(ROW()-1,COLUMN())),NOTA[[#This Row],[FAKTUR]]))</f>
        <v>UNTANA</v>
      </c>
      <c r="AN130" s="25" t="str">
        <f ca="1">IF(NOTA[[#This Row],[ID]]="","",COUNTIF(NOTA[ID_H],NOTA[[#This Row],[ID_H]]))</f>
        <v/>
      </c>
      <c r="AO130" s="25">
        <f ca="1">IF(NOTA[[#This Row],[TGL.NOTA]]="",IF(NOTA[[#This Row],[SUPPLIER_H]]="","",AO129),MONTH(NOTA[[#This Row],[TGL.NOTA]]))</f>
        <v>6</v>
      </c>
      <c r="AP130" s="25" t="str">
        <f>LOWER(SUBSTITUTE(SUBSTITUTE(SUBSTITUTE(SUBSTITUTE(SUBSTITUTE(SUBSTITUTE(SUBSTITUTE(SUBSTITUTE(SUBSTITUTE(NOTA[[#This Row],[NAMA BARANG]]," ",),".",""),"-",""),"(",""),")",""),",",""),"/",""),"""",""),"+",""))</f>
        <v>sketchbooka53555</v>
      </c>
      <c r="AQ1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sketchbooka535551860000</v>
      </c>
      <c r="AR1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sketchbooka535551860000</v>
      </c>
      <c r="AS1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0" s="25"/>
      <c r="AU130" s="25">
        <f>IF(NOTA[[#This Row],[CONCAT1]]="","",MATCH(NOTA[[#This Row],[CONCAT1]],[3]!db[NB NOTA_C],0))</f>
        <v>2917</v>
      </c>
      <c r="AV130" s="25" t="str">
        <f>IF(NOTA[[#This Row],[QTY/ CTN]]="","",TRUE)</f>
        <v/>
      </c>
      <c r="AW130" s="25" t="str">
        <f ca="1">IF(NOTA[[#This Row],[ID_H]]="","",IF(NOTA[[#This Row],[Column3]]=TRUE,NOTA[[#This Row],[QTY/ CTN]],INDEX([3]!db[QTY/ CTN],NOTA[[#This Row],[//DB]])))</f>
        <v>144 PCS</v>
      </c>
      <c r="AX1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sketchbooka53555144pcsuntana</v>
      </c>
      <c r="AY130" s="25">
        <f ca="1">IF(NOTA[[#This Row],[ID_H]]="","",MATCH(NOTA[[#This Row],[NB NOTA_C_QTY]],[3]!db[NB NOTA_C_QTY+F],0))</f>
        <v>2917</v>
      </c>
      <c r="AZ130" s="38">
        <f ca="1">IF(NOTA[[#This Row],[NB NOTA_C_QTY]]="","",ROW()-2)</f>
        <v>128</v>
      </c>
    </row>
    <row r="131" spans="1:52" ht="20.100000000000001" customHeight="1">
      <c r="A1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31" s="25" t="str">
        <f ca="1">IF(NOTA[[#This Row],[NAMA BARANG]]="","",INDEX(NOTA[ID],MATCH(,INDIRECT(ADDRESS(ROW(NOTA[ID]),COLUMN(NOTA[ID]))&amp;":"&amp;ADDRESS(ROW(),COLUMN(NOTA[ID]))),-1)))</f>
        <v/>
      </c>
      <c r="E131" s="33"/>
      <c r="H131" s="34"/>
      <c r="Q131" s="29"/>
      <c r="R131" s="35"/>
      <c r="S131" s="36"/>
      <c r="V131" s="37"/>
      <c r="W131" s="32"/>
      <c r="X131" s="37" t="str">
        <f>IF(NOTA[[#This Row],[HARGA/ CTN]]="",NOTA[[#This Row],[JUMLAH_H]],NOTA[[#This Row],[HARGA/ CTN]]*IF(NOTA[[#This Row],[C]]="",0,NOTA[[#This Row],[C]]))</f>
        <v/>
      </c>
      <c r="Y131" s="37" t="str">
        <f>IF(NOTA[[#This Row],[JUMLAH]]="","",NOTA[[#This Row],[JUMLAH]]*NOTA[[#This Row],[DISC 1]])</f>
        <v/>
      </c>
      <c r="Z131" s="37" t="str">
        <f>IF(NOTA[[#This Row],[JUMLAH]]="","",(NOTA[[#This Row],[JUMLAH]]-NOTA[[#This Row],[DISC 1-]])*NOTA[[#This Row],[DISC 2]])</f>
        <v/>
      </c>
      <c r="AA131" s="37" t="str">
        <f>IF(NOTA[[#This Row],[JUMLAH]]="","",(NOTA[[#This Row],[JUMLAH]]-NOTA[[#This Row],[DISC 1-]]-NOTA[[#This Row],[DISC 2-]])*NOTA[[#This Row],[DISC 3]])</f>
        <v/>
      </c>
      <c r="AB131" s="37" t="str">
        <f>IF(NOTA[[#This Row],[JUMLAH]]="","",NOTA[[#This Row],[DISC 1-]]+NOTA[[#This Row],[DISC 2-]]+NOTA[[#This Row],[DISC 3-]])</f>
        <v/>
      </c>
      <c r="AC131" s="37" t="str">
        <f>IF(NOTA[[#This Row],[JUMLAH]]="","",NOTA[[#This Row],[JUMLAH]]-NOTA[[#This Row],[DISC]])</f>
        <v/>
      </c>
      <c r="AD131" s="37"/>
      <c r="AE1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1" s="37" t="str">
        <f>IF(OR(NOTA[[#This Row],[QTY]]="",NOTA[[#This Row],[HARGA SATUAN]]="",),"",NOTA[[#This Row],[QTY]]*NOTA[[#This Row],[HARGA SATUAN]])</f>
        <v/>
      </c>
      <c r="AI131" s="26" t="str">
        <f ca="1">IF(NOTA[[#This Row],[ID_H]]="","",INDEX(NOTA[TANGGAL],MATCH(,INDIRECT(ADDRESS(ROW(NOTA[TANGGAL]),COLUMN(NOTA[TANGGAL]))&amp;":"&amp;ADDRESS(ROW(),COLUMN(NOTA[TANGGAL]))),-1)))</f>
        <v/>
      </c>
      <c r="AJ131" s="26" t="str">
        <f ca="1">IF(NOTA[[#This Row],[ID_H]]="","",INDEX(NOTA[TGL.NOTA],MATCH(,INDIRECT(ADDRESS(ROW(NOTA[TGL.NOTA]),COLUMN(NOTA[TGL.NOTA]))&amp;":"&amp;ADDRESS(ROW(),COLUMN(NOTA[TGL.NOTA]))),-1)))</f>
        <v/>
      </c>
      <c r="AK131" s="26" t="str">
        <f ca="1">IF(NOTA[[#This Row],[ID_H]]="","",INDEX(NOTA[NO.NOTA],MATCH(NOTA[[#This Row],[ID_H]],NOTA[ID_H],0)))</f>
        <v/>
      </c>
      <c r="AL131" s="28" t="str">
        <f ca="1">IF(NOTA[[#This Row],[NAMA BARANG]]="","",INDEX(NOTA[SUPPLIER],MATCH(,INDIRECT(ADDRESS(ROW(NOTA[ID]),COLUMN(NOTA[ID]))&amp;":"&amp;ADDRESS(ROW(),COLUMN(NOTA[ID]))),-1)))</f>
        <v/>
      </c>
      <c r="AM131" s="28" t="str">
        <f ca="1">IF(NOTA[[#This Row],[ID_H]]="","",IF(NOTA[[#This Row],[FAKTUR]]="",INDIRECT(ADDRESS(ROW()-1,COLUMN())),NOTA[[#This Row],[FAKTUR]]))</f>
        <v/>
      </c>
      <c r="AN131" s="25" t="str">
        <f ca="1">IF(NOTA[[#This Row],[ID]]="","",COUNTIF(NOTA[ID_H],NOTA[[#This Row],[ID_H]]))</f>
        <v/>
      </c>
      <c r="AO131" s="25" t="str">
        <f ca="1">IF(NOTA[[#This Row],[TGL.NOTA]]="",IF(NOTA[[#This Row],[SUPPLIER_H]]="","",AO130),MONTH(NOTA[[#This Row],[TGL.NOTA]]))</f>
        <v/>
      </c>
      <c r="AP1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1" s="25"/>
      <c r="AU131" s="25" t="str">
        <f>IF(NOTA[[#This Row],[CONCAT1]]="","",MATCH(NOTA[[#This Row],[CONCAT1]],[3]!db[NB NOTA_C],0))</f>
        <v/>
      </c>
      <c r="AV131" s="25" t="str">
        <f>IF(NOTA[[#This Row],[QTY/ CTN]]="","",TRUE)</f>
        <v/>
      </c>
      <c r="AW131" s="25" t="str">
        <f ca="1">IF(NOTA[[#This Row],[ID_H]]="","",IF(NOTA[[#This Row],[Column3]]=TRUE,NOTA[[#This Row],[QTY/ CTN]],INDEX([3]!db[QTY/ CTN],NOTA[[#This Row],[//DB]])))</f>
        <v/>
      </c>
      <c r="AX1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1" s="25" t="str">
        <f ca="1">IF(NOTA[[#This Row],[ID_H]]="","",MATCH(NOTA[[#This Row],[NB NOTA_C_QTY]],[3]!db[NB NOTA_C_QTY+F],0))</f>
        <v/>
      </c>
      <c r="AZ131" s="38" t="str">
        <f ca="1">IF(NOTA[[#This Row],[NB NOTA_C_QTY]]="","",ROW()-2)</f>
        <v/>
      </c>
    </row>
    <row r="132" spans="1:52" ht="20.100000000000001" customHeight="1">
      <c r="A132" s="28">
        <f ca="1">IF(INDIRECT(ADDRESS(ROW()-1,COLUMN(NOTA[[#Headers],[ID]])))="ID",1,IF(NOTA[[#This Row],[FAKTUR]]="","",COUNT(INDIRECT(ADDRESS(ROW(NOTA[ID]),COLUMN(NOTA[ID]))&amp;":"&amp;ADDRESS(ROW()-1,COLUMN(NOTA[ID]))))+1))</f>
        <v>33</v>
      </c>
      <c r="B13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DAV_1306_624-2</v>
      </c>
      <c r="D132" s="25">
        <f ca="1">IF(NOTA[[#This Row],[NAMA BARANG]]="","",INDEX(NOTA[ID],MATCH(,INDIRECT(ADDRESS(ROW(NOTA[ID]),COLUMN(NOTA[ID]))&amp;":"&amp;ADDRESS(ROW(),COLUMN(NOTA[ID]))),-1)))</f>
        <v>33</v>
      </c>
      <c r="E132" s="33">
        <v>45456</v>
      </c>
      <c r="F132" s="25" t="s">
        <v>352</v>
      </c>
      <c r="G132" s="25" t="s">
        <v>109</v>
      </c>
      <c r="H132" s="34" t="s">
        <v>353</v>
      </c>
      <c r="J132" s="26">
        <v>45450</v>
      </c>
      <c r="L132" s="25" t="s">
        <v>354</v>
      </c>
      <c r="M132" s="27">
        <v>3</v>
      </c>
      <c r="N132" s="25">
        <v>432</v>
      </c>
      <c r="O132" s="25" t="s">
        <v>110</v>
      </c>
      <c r="P132" s="28">
        <v>8750</v>
      </c>
      <c r="Q132" s="29"/>
      <c r="R132" s="35"/>
      <c r="S132" s="36"/>
      <c r="V132" s="37"/>
      <c r="W132" s="32"/>
      <c r="X132" s="37">
        <f>IF(NOTA[[#This Row],[HARGA/ CTN]]="",NOTA[[#This Row],[JUMLAH_H]],NOTA[[#This Row],[HARGA/ CTN]]*IF(NOTA[[#This Row],[C]]="",0,NOTA[[#This Row],[C]]))</f>
        <v>3780000</v>
      </c>
      <c r="Y132" s="37">
        <f>IF(NOTA[[#This Row],[JUMLAH]]="","",NOTA[[#This Row],[JUMLAH]]*NOTA[[#This Row],[DISC 1]])</f>
        <v>0</v>
      </c>
      <c r="Z132" s="37">
        <f>IF(NOTA[[#This Row],[JUMLAH]]="","",(NOTA[[#This Row],[JUMLAH]]-NOTA[[#This Row],[DISC 1-]])*NOTA[[#This Row],[DISC 2]])</f>
        <v>0</v>
      </c>
      <c r="AA132" s="37">
        <f>IF(NOTA[[#This Row],[JUMLAH]]="","",(NOTA[[#This Row],[JUMLAH]]-NOTA[[#This Row],[DISC 1-]]-NOTA[[#This Row],[DISC 2-]])*NOTA[[#This Row],[DISC 3]])</f>
        <v>0</v>
      </c>
      <c r="AB132" s="37">
        <f>IF(NOTA[[#This Row],[JUMLAH]]="","",NOTA[[#This Row],[DISC 1-]]+NOTA[[#This Row],[DISC 2-]]+NOTA[[#This Row],[DISC 3-]])</f>
        <v>0</v>
      </c>
      <c r="AC132" s="37">
        <f>IF(NOTA[[#This Row],[JUMLAH]]="","",NOTA[[#This Row],[JUMLAH]]-NOTA[[#This Row],[DISC]])</f>
        <v>3780000</v>
      </c>
      <c r="AD132" s="37"/>
      <c r="AE1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2" s="28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H132" s="37">
        <f>IF(OR(NOTA[[#This Row],[QTY]]="",NOTA[[#This Row],[HARGA SATUAN]]="",),"",NOTA[[#This Row],[QTY]]*NOTA[[#This Row],[HARGA SATUAN]])</f>
        <v>3780000</v>
      </c>
      <c r="AI132" s="26">
        <f ca="1">IF(NOTA[[#This Row],[ID_H]]="","",INDEX(NOTA[TANGGAL],MATCH(,INDIRECT(ADDRESS(ROW(NOTA[TANGGAL]),COLUMN(NOTA[TANGGAL]))&amp;":"&amp;ADDRESS(ROW(),COLUMN(NOTA[TANGGAL]))),-1)))</f>
        <v>45456</v>
      </c>
      <c r="AJ132" s="26">
        <f ca="1">IF(NOTA[[#This Row],[ID_H]]="","",INDEX(NOTA[TGL.NOTA],MATCH(,INDIRECT(ADDRESS(ROW(NOTA[TGL.NOTA]),COLUMN(NOTA[TGL.NOTA]))&amp;":"&amp;ADDRESS(ROW(),COLUMN(NOTA[TGL.NOTA]))),-1)))</f>
        <v>45450</v>
      </c>
      <c r="AK132" s="26" t="str">
        <f ca="1">IF(NOTA[[#This Row],[ID_H]]="","",INDEX(NOTA[NO.NOTA],MATCH(NOTA[[#This Row],[ID_H]],NOTA[ID_H],0)))</f>
        <v>80838/JL/UTM/0624</v>
      </c>
      <c r="AL132" s="28" t="str">
        <f ca="1">IF(NOTA[[#This Row],[NAMA BARANG]]="","",INDEX(NOTA[SUPPLIER],MATCH(,INDIRECT(ADDRESS(ROW(NOTA[ID]),COLUMN(NOTA[ID]))&amp;":"&amp;ADDRESS(ROW(),COLUMN(NOTA[ID]))),-1)))</f>
        <v>DAVIS MANDIRI GLOBALINDO</v>
      </c>
      <c r="AM132" s="28" t="str">
        <f ca="1">IF(NOTA[[#This Row],[ID_H]]="","",IF(NOTA[[#This Row],[FAKTUR]]="",INDIRECT(ADDRESS(ROW()-1,COLUMN())),NOTA[[#This Row],[FAKTUR]]))</f>
        <v>UNTANA</v>
      </c>
      <c r="AN132" s="25">
        <f ca="1">IF(NOTA[[#This Row],[ID]]="","",COUNTIF(NOTA[ID_H],NOTA[[#This Row],[ID_H]]))</f>
        <v>2</v>
      </c>
      <c r="AO132" s="25">
        <f>IF(NOTA[[#This Row],[TGL.NOTA]]="",IF(NOTA[[#This Row],[SUPPLIER_H]]="","",AO131),MONTH(NOTA[[#This Row],[TGL.NOTA]]))</f>
        <v>6</v>
      </c>
      <c r="AP132" s="25" t="str">
        <f>LOWER(SUBSTITUTE(SUBSTITUTE(SUBSTITUTE(SUBSTITUTE(SUBSTITUTE(SUBSTITUTE(SUBSTITUTE(SUBSTITUTE(SUBSTITUTE(NOTA[[#This Row],[NAMA BARANG]]," ",),".",""),"-",""),"(",""),")",""),",",""),"/",""),"""",""),"+",""))</f>
        <v>gelpeng8002</v>
      </c>
      <c r="AQ1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gelpeng80021260000</v>
      </c>
      <c r="AR1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gelpeng80021260000</v>
      </c>
      <c r="AS132" s="25" t="str">
        <f>IF(NOTA[[#This Row],[SUPPLIER]]="","",NOTA[[#This Row],[SUPPLIER]]&amp;NOTA[[#This Row],[FAKTUR]]&amp;NOTA[[#This Row],[NO.NOTA]]&amp;NOTA[[#This Row],[NO.SJ]]&amp;NOTA[[#This Row],[TGL.NOTA]]&amp;NOTA[[#This Row],[CONCAT1]])</f>
        <v>DAVIS MANDIRI GLOBALINDOUNTANA80838/JL/UTM/062445450gelpeng8002</v>
      </c>
      <c r="AT132" s="25"/>
      <c r="AU132" s="25">
        <f>IF(NOTA[[#This Row],[CONCAT1]]="","",MATCH(NOTA[[#This Row],[CONCAT1]],[3]!db[NB NOTA_C],0))</f>
        <v>3444</v>
      </c>
      <c r="AV132" s="25" t="str">
        <f>IF(NOTA[[#This Row],[QTY/ CTN]]="","",TRUE)</f>
        <v/>
      </c>
      <c r="AW132" s="25" t="str">
        <f ca="1">IF(NOTA[[#This Row],[ID_H]]="","",IF(NOTA[[#This Row],[Column3]]=TRUE,NOTA[[#This Row],[QTY/ CTN]],INDEX([3]!db[QTY/ CTN],NOTA[[#This Row],[//DB]])))</f>
        <v>144 LSN</v>
      </c>
      <c r="AX1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gelpeng8002144lsnuntana</v>
      </c>
      <c r="AY132" s="25">
        <f ca="1">IF(NOTA[[#This Row],[ID_H]]="","",MATCH(NOTA[[#This Row],[NB NOTA_C_QTY]],[3]!db[NB NOTA_C_QTY+F],0))</f>
        <v>3444</v>
      </c>
      <c r="AZ132" s="38">
        <f ca="1">IF(NOTA[[#This Row],[NB NOTA_C_QTY]]="","",ROW()-2)</f>
        <v>130</v>
      </c>
    </row>
    <row r="133" spans="1:52" ht="20.100000000000001" customHeight="1">
      <c r="A1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33" s="25">
        <f ca="1">IF(NOTA[[#This Row],[NAMA BARANG]]="","",INDEX(NOTA[ID],MATCH(,INDIRECT(ADDRESS(ROW(NOTA[ID]),COLUMN(NOTA[ID]))&amp;":"&amp;ADDRESS(ROW(),COLUMN(NOTA[ID]))),-1)))</f>
        <v>33</v>
      </c>
      <c r="E133" s="33"/>
      <c r="H133" s="34"/>
      <c r="L133" s="25" t="s">
        <v>355</v>
      </c>
      <c r="M133" s="27">
        <v>5</v>
      </c>
      <c r="N133" s="25">
        <v>720</v>
      </c>
      <c r="O133" s="25" t="s">
        <v>110</v>
      </c>
      <c r="P133" s="28">
        <v>8000</v>
      </c>
      <c r="Q133" s="29"/>
      <c r="R133" s="35"/>
      <c r="S133" s="36"/>
      <c r="V133" s="37"/>
      <c r="W133" s="32"/>
      <c r="X133" s="37">
        <f>IF(NOTA[[#This Row],[HARGA/ CTN]]="",NOTA[[#This Row],[JUMLAH_H]],NOTA[[#This Row],[HARGA/ CTN]]*IF(NOTA[[#This Row],[C]]="",0,NOTA[[#This Row],[C]]))</f>
        <v>5760000</v>
      </c>
      <c r="Y133" s="37">
        <f>IF(NOTA[[#This Row],[JUMLAH]]="","",NOTA[[#This Row],[JUMLAH]]*NOTA[[#This Row],[DISC 1]])</f>
        <v>0</v>
      </c>
      <c r="Z133" s="37">
        <f>IF(NOTA[[#This Row],[JUMLAH]]="","",(NOTA[[#This Row],[JUMLAH]]-NOTA[[#This Row],[DISC 1-]])*NOTA[[#This Row],[DISC 2]])</f>
        <v>0</v>
      </c>
      <c r="AA133" s="37">
        <f>IF(NOTA[[#This Row],[JUMLAH]]="","",(NOTA[[#This Row],[JUMLAH]]-NOTA[[#This Row],[DISC 1-]]-NOTA[[#This Row],[DISC 2-]])*NOTA[[#This Row],[DISC 3]])</f>
        <v>0</v>
      </c>
      <c r="AB133" s="37">
        <f>IF(NOTA[[#This Row],[JUMLAH]]="","",NOTA[[#This Row],[DISC 1-]]+NOTA[[#This Row],[DISC 2-]]+NOTA[[#This Row],[DISC 3-]])</f>
        <v>0</v>
      </c>
      <c r="AC133" s="37">
        <f>IF(NOTA[[#This Row],[JUMLAH]]="","",NOTA[[#This Row],[JUMLAH]]-NOTA[[#This Row],[DISC]])</f>
        <v>5760000</v>
      </c>
      <c r="AD133" s="37"/>
      <c r="AE13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3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9540000</v>
      </c>
      <c r="AG133" s="28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H133" s="37">
        <f>IF(OR(NOTA[[#This Row],[QTY]]="",NOTA[[#This Row],[HARGA SATUAN]]="",),"",NOTA[[#This Row],[QTY]]*NOTA[[#This Row],[HARGA SATUAN]])</f>
        <v>5760000</v>
      </c>
      <c r="AI133" s="26">
        <f ca="1">IF(NOTA[[#This Row],[ID_H]]="","",INDEX(NOTA[TANGGAL],MATCH(,INDIRECT(ADDRESS(ROW(NOTA[TANGGAL]),COLUMN(NOTA[TANGGAL]))&amp;":"&amp;ADDRESS(ROW(),COLUMN(NOTA[TANGGAL]))),-1)))</f>
        <v>45456</v>
      </c>
      <c r="AJ133" s="26">
        <f ca="1">IF(NOTA[[#This Row],[ID_H]]="","",INDEX(NOTA[TGL.NOTA],MATCH(,INDIRECT(ADDRESS(ROW(NOTA[TGL.NOTA]),COLUMN(NOTA[TGL.NOTA]))&amp;":"&amp;ADDRESS(ROW(),COLUMN(NOTA[TGL.NOTA]))),-1)))</f>
        <v>45450</v>
      </c>
      <c r="AK133" s="26" t="str">
        <f ca="1">IF(NOTA[[#This Row],[ID_H]]="","",INDEX(NOTA[NO.NOTA],MATCH(NOTA[[#This Row],[ID_H]],NOTA[ID_H],0)))</f>
        <v>80838/JL/UTM/0624</v>
      </c>
      <c r="AL133" s="28" t="str">
        <f ca="1">IF(NOTA[[#This Row],[NAMA BARANG]]="","",INDEX(NOTA[SUPPLIER],MATCH(,INDIRECT(ADDRESS(ROW(NOTA[ID]),COLUMN(NOTA[ID]))&amp;":"&amp;ADDRESS(ROW(),COLUMN(NOTA[ID]))),-1)))</f>
        <v>DAVIS MANDIRI GLOBALINDO</v>
      </c>
      <c r="AM133" s="28" t="str">
        <f ca="1">IF(NOTA[[#This Row],[ID_H]]="","",IF(NOTA[[#This Row],[FAKTUR]]="",INDIRECT(ADDRESS(ROW()-1,COLUMN())),NOTA[[#This Row],[FAKTUR]]))</f>
        <v>UNTANA</v>
      </c>
      <c r="AN133" s="25" t="str">
        <f ca="1">IF(NOTA[[#This Row],[ID]]="","",COUNTIF(NOTA[ID_H],NOTA[[#This Row],[ID_H]]))</f>
        <v/>
      </c>
      <c r="AO133" s="25">
        <f ca="1">IF(NOTA[[#This Row],[TGL.NOTA]]="",IF(NOTA[[#This Row],[SUPPLIER_H]]="","",AO132),MONTH(NOTA[[#This Row],[TGL.NOTA]]))</f>
        <v>6</v>
      </c>
      <c r="AP133" s="25" t="str">
        <f>LOWER(SUBSTITUTE(SUBSTITUTE(SUBSTITUTE(SUBSTITUTE(SUBSTITUTE(SUBSTITUTE(SUBSTITUTE(SUBSTITUTE(SUBSTITUTE(NOTA[[#This Row],[NAMA BARANG]]," ",),".",""),"-",""),"(",""),")",""),",",""),"/",""),"""",""),"+",""))</f>
        <v>gelpendv8003ipen14</v>
      </c>
      <c r="AQ1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gelpendv8003ipen141152000</v>
      </c>
      <c r="AR1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gelpendv8003ipen141152000</v>
      </c>
      <c r="AS1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3" s="25"/>
      <c r="AU133" s="25">
        <f>IF(NOTA[[#This Row],[CONCAT1]]="","",MATCH(NOTA[[#This Row],[CONCAT1]],[3]!db[NB NOTA_C],0))</f>
        <v>3446</v>
      </c>
      <c r="AV133" s="25" t="str">
        <f>IF(NOTA[[#This Row],[QTY/ CTN]]="","",TRUE)</f>
        <v/>
      </c>
      <c r="AW133" s="25" t="str">
        <f ca="1">IF(NOTA[[#This Row],[ID_H]]="","",IF(NOTA[[#This Row],[Column3]]=TRUE,NOTA[[#This Row],[QTY/ CTN]],INDEX([3]!db[QTY/ CTN],NOTA[[#This Row],[//DB]])))</f>
        <v>144 LSN</v>
      </c>
      <c r="AX1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gelpendv8003ipen14144lsnuntana</v>
      </c>
      <c r="AY133" s="25">
        <f ca="1">IF(NOTA[[#This Row],[ID_H]]="","",MATCH(NOTA[[#This Row],[NB NOTA_C_QTY]],[3]!db[NB NOTA_C_QTY+F],0))</f>
        <v>3446</v>
      </c>
      <c r="AZ133" s="38">
        <f ca="1">IF(NOTA[[#This Row],[NB NOTA_C_QTY]]="","",ROW()-2)</f>
        <v>131</v>
      </c>
    </row>
    <row r="134" spans="1:52" ht="20.100000000000001" customHeight="1">
      <c r="A1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34" s="25" t="str">
        <f ca="1">IF(NOTA[[#This Row],[NAMA BARANG]]="","",INDEX(NOTA[ID],MATCH(,INDIRECT(ADDRESS(ROW(NOTA[ID]),COLUMN(NOTA[ID]))&amp;":"&amp;ADDRESS(ROW(),COLUMN(NOTA[ID]))),-1)))</f>
        <v/>
      </c>
      <c r="E134" s="33"/>
      <c r="H134" s="34"/>
      <c r="Q134" s="29"/>
      <c r="R134" s="35"/>
      <c r="S134" s="36"/>
      <c r="V134" s="37"/>
      <c r="W134" s="32"/>
      <c r="X134" s="37" t="str">
        <f>IF(NOTA[[#This Row],[HARGA/ CTN]]="",NOTA[[#This Row],[JUMLAH_H]],NOTA[[#This Row],[HARGA/ CTN]]*IF(NOTA[[#This Row],[C]]="",0,NOTA[[#This Row],[C]]))</f>
        <v/>
      </c>
      <c r="Y134" s="37" t="str">
        <f>IF(NOTA[[#This Row],[JUMLAH]]="","",NOTA[[#This Row],[JUMLAH]]*NOTA[[#This Row],[DISC 1]])</f>
        <v/>
      </c>
      <c r="Z134" s="37" t="str">
        <f>IF(NOTA[[#This Row],[JUMLAH]]="","",(NOTA[[#This Row],[JUMLAH]]-NOTA[[#This Row],[DISC 1-]])*NOTA[[#This Row],[DISC 2]])</f>
        <v/>
      </c>
      <c r="AA134" s="37" t="str">
        <f>IF(NOTA[[#This Row],[JUMLAH]]="","",(NOTA[[#This Row],[JUMLAH]]-NOTA[[#This Row],[DISC 1-]]-NOTA[[#This Row],[DISC 2-]])*NOTA[[#This Row],[DISC 3]])</f>
        <v/>
      </c>
      <c r="AB134" s="37" t="str">
        <f>IF(NOTA[[#This Row],[JUMLAH]]="","",NOTA[[#This Row],[DISC 1-]]+NOTA[[#This Row],[DISC 2-]]+NOTA[[#This Row],[DISC 3-]])</f>
        <v/>
      </c>
      <c r="AC134" s="37" t="str">
        <f>IF(NOTA[[#This Row],[JUMLAH]]="","",NOTA[[#This Row],[JUMLAH]]-NOTA[[#This Row],[DISC]])</f>
        <v/>
      </c>
      <c r="AD134" s="37"/>
      <c r="AE1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4" s="37" t="str">
        <f>IF(OR(NOTA[[#This Row],[QTY]]="",NOTA[[#This Row],[HARGA SATUAN]]="",),"",NOTA[[#This Row],[QTY]]*NOTA[[#This Row],[HARGA SATUAN]])</f>
        <v/>
      </c>
      <c r="AI134" s="26" t="str">
        <f ca="1">IF(NOTA[[#This Row],[ID_H]]="","",INDEX(NOTA[TANGGAL],MATCH(,INDIRECT(ADDRESS(ROW(NOTA[TANGGAL]),COLUMN(NOTA[TANGGAL]))&amp;":"&amp;ADDRESS(ROW(),COLUMN(NOTA[TANGGAL]))),-1)))</f>
        <v/>
      </c>
      <c r="AJ134" s="26" t="str">
        <f ca="1">IF(NOTA[[#This Row],[ID_H]]="","",INDEX(NOTA[TGL.NOTA],MATCH(,INDIRECT(ADDRESS(ROW(NOTA[TGL.NOTA]),COLUMN(NOTA[TGL.NOTA]))&amp;":"&amp;ADDRESS(ROW(),COLUMN(NOTA[TGL.NOTA]))),-1)))</f>
        <v/>
      </c>
      <c r="AK134" s="26" t="str">
        <f ca="1">IF(NOTA[[#This Row],[ID_H]]="","",INDEX(NOTA[NO.NOTA],MATCH(NOTA[[#This Row],[ID_H]],NOTA[ID_H],0)))</f>
        <v/>
      </c>
      <c r="AL134" s="28" t="str">
        <f ca="1">IF(NOTA[[#This Row],[NAMA BARANG]]="","",INDEX(NOTA[SUPPLIER],MATCH(,INDIRECT(ADDRESS(ROW(NOTA[ID]),COLUMN(NOTA[ID]))&amp;":"&amp;ADDRESS(ROW(),COLUMN(NOTA[ID]))),-1)))</f>
        <v/>
      </c>
      <c r="AM134" s="28" t="str">
        <f ca="1">IF(NOTA[[#This Row],[ID_H]]="","",IF(NOTA[[#This Row],[FAKTUR]]="",INDIRECT(ADDRESS(ROW()-1,COLUMN())),NOTA[[#This Row],[FAKTUR]]))</f>
        <v/>
      </c>
      <c r="AN134" s="25" t="str">
        <f ca="1">IF(NOTA[[#This Row],[ID]]="","",COUNTIF(NOTA[ID_H],NOTA[[#This Row],[ID_H]]))</f>
        <v/>
      </c>
      <c r="AO134" s="25" t="str">
        <f ca="1">IF(NOTA[[#This Row],[TGL.NOTA]]="",IF(NOTA[[#This Row],[SUPPLIER_H]]="","",AO133),MONTH(NOTA[[#This Row],[TGL.NOTA]]))</f>
        <v/>
      </c>
      <c r="AP1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4" s="25"/>
      <c r="AU134" s="25" t="str">
        <f>IF(NOTA[[#This Row],[CONCAT1]]="","",MATCH(NOTA[[#This Row],[CONCAT1]],[3]!db[NB NOTA_C],0))</f>
        <v/>
      </c>
      <c r="AV134" s="25" t="str">
        <f>IF(NOTA[[#This Row],[QTY/ CTN]]="","",TRUE)</f>
        <v/>
      </c>
      <c r="AW134" s="25" t="str">
        <f ca="1">IF(NOTA[[#This Row],[ID_H]]="","",IF(NOTA[[#This Row],[Column3]]=TRUE,NOTA[[#This Row],[QTY/ CTN]],INDEX([3]!db[QTY/ CTN],NOTA[[#This Row],[//DB]])))</f>
        <v/>
      </c>
      <c r="AX1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4" s="25" t="str">
        <f ca="1">IF(NOTA[[#This Row],[ID_H]]="","",MATCH(NOTA[[#This Row],[NB NOTA_C_QTY]],[3]!db[NB NOTA_C_QTY+F],0))</f>
        <v/>
      </c>
      <c r="AZ134" s="38" t="str">
        <f ca="1">IF(NOTA[[#This Row],[NB NOTA_C_QTY]]="","",ROW()-2)</f>
        <v/>
      </c>
    </row>
    <row r="135" spans="1:52" ht="20.100000000000001" customHeight="1">
      <c r="A135" s="28">
        <f ca="1">IF(INDIRECT(ADDRESS(ROW()-1,COLUMN(NOTA[[#Headers],[ID]])))="ID",1,IF(NOTA[[#This Row],[FAKTUR]]="","",COUNT(INDIRECT(ADDRESS(ROW(NOTA[ID]),COLUMN(NOTA[ID]))&amp;":"&amp;ADDRESS(ROW()-1,COLUMN(NOTA[ID]))))+1))</f>
        <v>34</v>
      </c>
      <c r="B13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HAN_1106_104-7</v>
      </c>
      <c r="D135" s="25">
        <f ca="1">IF(NOTA[[#This Row],[NAMA BARANG]]="","",INDEX(NOTA[ID],MATCH(,INDIRECT(ADDRESS(ROW(NOTA[ID]),COLUMN(NOTA[ID]))&amp;":"&amp;ADDRESS(ROW(),COLUMN(NOTA[ID]))),-1)))</f>
        <v>34</v>
      </c>
      <c r="E135" s="33">
        <v>45454</v>
      </c>
      <c r="F135" s="25" t="s">
        <v>328</v>
      </c>
      <c r="G135" s="25" t="s">
        <v>109</v>
      </c>
      <c r="H135" s="34" t="s">
        <v>356</v>
      </c>
      <c r="J135" s="26">
        <v>45454</v>
      </c>
      <c r="L135" s="25" t="s">
        <v>330</v>
      </c>
      <c r="N135" s="25">
        <v>60</v>
      </c>
      <c r="O135" s="25" t="s">
        <v>111</v>
      </c>
      <c r="P135" s="28">
        <v>1600</v>
      </c>
      <c r="Q135" s="29"/>
      <c r="R135" s="35"/>
      <c r="S135" s="36"/>
      <c r="V135" s="37"/>
      <c r="W135" s="32"/>
      <c r="X135" s="37">
        <f>IF(NOTA[[#This Row],[HARGA/ CTN]]="",NOTA[[#This Row],[JUMLAH_H]],NOTA[[#This Row],[HARGA/ CTN]]*IF(NOTA[[#This Row],[C]]="",0,NOTA[[#This Row],[C]]))</f>
        <v>96000</v>
      </c>
      <c r="Y135" s="37">
        <f>IF(NOTA[[#This Row],[JUMLAH]]="","",NOTA[[#This Row],[JUMLAH]]*NOTA[[#This Row],[DISC 1]])</f>
        <v>0</v>
      </c>
      <c r="Z135" s="37">
        <f>IF(NOTA[[#This Row],[JUMLAH]]="","",(NOTA[[#This Row],[JUMLAH]]-NOTA[[#This Row],[DISC 1-]])*NOTA[[#This Row],[DISC 2]])</f>
        <v>0</v>
      </c>
      <c r="AA135" s="37">
        <f>IF(NOTA[[#This Row],[JUMLAH]]="","",(NOTA[[#This Row],[JUMLAH]]-NOTA[[#This Row],[DISC 1-]]-NOTA[[#This Row],[DISC 2-]])*NOTA[[#This Row],[DISC 3]])</f>
        <v>0</v>
      </c>
      <c r="AB135" s="37">
        <f>IF(NOTA[[#This Row],[JUMLAH]]="","",NOTA[[#This Row],[DISC 1-]]+NOTA[[#This Row],[DISC 2-]]+NOTA[[#This Row],[DISC 3-]])</f>
        <v>0</v>
      </c>
      <c r="AC135" s="37">
        <f>IF(NOTA[[#This Row],[JUMLAH]]="","",NOTA[[#This Row],[JUMLAH]]-NOTA[[#This Row],[DISC]])</f>
        <v>96000</v>
      </c>
      <c r="AD135" s="37"/>
      <c r="AE1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5" s="28">
        <f>IF(NOTA[[#This Row],[NAMA BARANG]]="","",IF(NOTA[[#This Row],[JUMLAH_H]]="",NOTA[[#This Row],[HARGA/ CTN]],NOTA[[#This Row],[QTY]]*NOTA[[#This Row],[HARGA SATUAN]]/IF(ISNUMBER(NOTA[[#This Row],[C]]),NOTA[[#This Row],[C]],1)))</f>
        <v>96000</v>
      </c>
      <c r="AH135" s="37">
        <f>IF(OR(NOTA[[#This Row],[QTY]]="",NOTA[[#This Row],[HARGA SATUAN]]="",),"",NOTA[[#This Row],[QTY]]*NOTA[[#This Row],[HARGA SATUAN]])</f>
        <v>96000</v>
      </c>
      <c r="AI135" s="26">
        <f ca="1">IF(NOTA[[#This Row],[ID_H]]="","",INDEX(NOTA[TANGGAL],MATCH(,INDIRECT(ADDRESS(ROW(NOTA[TANGGAL]),COLUMN(NOTA[TANGGAL]))&amp;":"&amp;ADDRESS(ROW(),COLUMN(NOTA[TANGGAL]))),-1)))</f>
        <v>45454</v>
      </c>
      <c r="AJ135" s="26">
        <f ca="1">IF(NOTA[[#This Row],[ID_H]]="","",INDEX(NOTA[TGL.NOTA],MATCH(,INDIRECT(ADDRESS(ROW(NOTA[TGL.NOTA]),COLUMN(NOTA[TGL.NOTA]))&amp;":"&amp;ADDRESS(ROW(),COLUMN(NOTA[TGL.NOTA]))),-1)))</f>
        <v>45454</v>
      </c>
      <c r="AK135" s="26" t="str">
        <f ca="1">IF(NOTA[[#This Row],[ID_H]]="","",INDEX(NOTA[NO.NOTA],MATCH(NOTA[[#This Row],[ID_H]],NOTA[ID_H],0)))</f>
        <v>HN062024104</v>
      </c>
      <c r="AL135" s="28" t="str">
        <f ca="1">IF(NOTA[[#This Row],[NAMA BARANG]]="","",INDEX(NOTA[SUPPLIER],MATCH(,INDIRECT(ADDRESS(ROW(NOTA[ID]),COLUMN(NOTA[ID]))&amp;":"&amp;ADDRESS(ROW(),COLUMN(NOTA[ID]))),-1)))</f>
        <v>HANSA</v>
      </c>
      <c r="AM135" s="28" t="str">
        <f ca="1">IF(NOTA[[#This Row],[ID_H]]="","",IF(NOTA[[#This Row],[FAKTUR]]="",INDIRECT(ADDRESS(ROW()-1,COLUMN())),NOTA[[#This Row],[FAKTUR]]))</f>
        <v>UNTANA</v>
      </c>
      <c r="AN135" s="25">
        <f ca="1">IF(NOTA[[#This Row],[ID]]="","",COUNTIF(NOTA[ID_H],NOTA[[#This Row],[ID_H]]))</f>
        <v>7</v>
      </c>
      <c r="AO135" s="25">
        <f>IF(NOTA[[#This Row],[TGL.NOTA]]="",IF(NOTA[[#This Row],[SUPPLIER_H]]="","",AO134),MONTH(NOTA[[#This Row],[TGL.NOTA]]))</f>
        <v>6</v>
      </c>
      <c r="AP135" s="25" t="str">
        <f>LOWER(SUBSTITUTE(SUBSTITUTE(SUBSTITUTE(SUBSTITUTE(SUBSTITUTE(SUBSTITUTE(SUBSTITUTE(SUBSTITUTE(SUBSTITUTE(NOTA[[#This Row],[NAMA BARANG]]," ",),".",""),"-",""),"(",""),")",""),",",""),"/",""),"""",""),"+",""))</f>
        <v>malamshintoengk612w</v>
      </c>
      <c r="AQ1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malamshintoengk612w96000</v>
      </c>
      <c r="AR1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S135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HANSAUNTANAHN06202410445454malamshintoengk612w</v>
      </c>
      <c r="AT135" s="25"/>
      <c r="AU135" s="25">
        <f>IF(NOTA[[#This Row],[CONCAT1]]="","",MATCH(NOTA[[#This Row],[CONCAT1]],[3]!db[NB NOTA_C],0))</f>
        <v>2056</v>
      </c>
      <c r="AV135" s="25" t="str">
        <f>IF(NOTA[[#This Row],[QTY/ CTN]]="","",TRUE)</f>
        <v/>
      </c>
      <c r="AW135" s="25" t="str">
        <f ca="1">IF(NOTA[[#This Row],[ID_H]]="","",IF(NOTA[[#This Row],[Column3]]=TRUE,NOTA[[#This Row],[QTY/ CTN]],INDEX([3]!db[QTY/ CTN],NOTA[[#This Row],[//DB]])))</f>
        <v>480 PCS</v>
      </c>
      <c r="AX1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Y135" s="25">
        <f ca="1">IF(NOTA[[#This Row],[ID_H]]="","",MATCH(NOTA[[#This Row],[NB NOTA_C_QTY]],[3]!db[NB NOTA_C_QTY+F],0))</f>
        <v>2056</v>
      </c>
      <c r="AZ135" s="38">
        <f ca="1">IF(NOTA[[#This Row],[NB NOTA_C_QTY]]="","",ROW()-2)</f>
        <v>133</v>
      </c>
    </row>
    <row r="136" spans="1:52" ht="20.100000000000001" customHeight="1">
      <c r="A1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36" s="25">
        <f ca="1">IF(NOTA[[#This Row],[NAMA BARANG]]="","",INDEX(NOTA[ID],MATCH(,INDIRECT(ADDRESS(ROW(NOTA[ID]),COLUMN(NOTA[ID]))&amp;":"&amp;ADDRESS(ROW(),COLUMN(NOTA[ID]))),-1)))</f>
        <v>34</v>
      </c>
      <c r="E136" s="33"/>
      <c r="H136" s="34"/>
      <c r="L136" s="25" t="s">
        <v>357</v>
      </c>
      <c r="N136" s="25">
        <v>60</v>
      </c>
      <c r="O136" s="25" t="s">
        <v>111</v>
      </c>
      <c r="P136" s="28">
        <v>1600</v>
      </c>
      <c r="Q136" s="29"/>
      <c r="R136" s="35"/>
      <c r="S136" s="36"/>
      <c r="V136" s="37"/>
      <c r="W136" s="32"/>
      <c r="X136" s="37">
        <f>IF(NOTA[[#This Row],[HARGA/ CTN]]="",NOTA[[#This Row],[JUMLAH_H]],NOTA[[#This Row],[HARGA/ CTN]]*IF(NOTA[[#This Row],[C]]="",0,NOTA[[#This Row],[C]]))</f>
        <v>96000</v>
      </c>
      <c r="Y136" s="37">
        <f>IF(NOTA[[#This Row],[JUMLAH]]="","",NOTA[[#This Row],[JUMLAH]]*NOTA[[#This Row],[DISC 1]])</f>
        <v>0</v>
      </c>
      <c r="Z136" s="37">
        <f>IF(NOTA[[#This Row],[JUMLAH]]="","",(NOTA[[#This Row],[JUMLAH]]-NOTA[[#This Row],[DISC 1-]])*NOTA[[#This Row],[DISC 2]])</f>
        <v>0</v>
      </c>
      <c r="AA136" s="37">
        <f>IF(NOTA[[#This Row],[JUMLAH]]="","",(NOTA[[#This Row],[JUMLAH]]-NOTA[[#This Row],[DISC 1-]]-NOTA[[#This Row],[DISC 2-]])*NOTA[[#This Row],[DISC 3]])</f>
        <v>0</v>
      </c>
      <c r="AB136" s="37">
        <f>IF(NOTA[[#This Row],[JUMLAH]]="","",NOTA[[#This Row],[DISC 1-]]+NOTA[[#This Row],[DISC 2-]]+NOTA[[#This Row],[DISC 3-]])</f>
        <v>0</v>
      </c>
      <c r="AC136" s="37">
        <f>IF(NOTA[[#This Row],[JUMLAH]]="","",NOTA[[#This Row],[JUMLAH]]-NOTA[[#This Row],[DISC]])</f>
        <v>96000</v>
      </c>
      <c r="AD136" s="37"/>
      <c r="AE1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6" s="28">
        <f>IF(NOTA[[#This Row],[NAMA BARANG]]="","",IF(NOTA[[#This Row],[JUMLAH_H]]="",NOTA[[#This Row],[HARGA/ CTN]],NOTA[[#This Row],[QTY]]*NOTA[[#This Row],[HARGA SATUAN]]/IF(ISNUMBER(NOTA[[#This Row],[C]]),NOTA[[#This Row],[C]],1)))</f>
        <v>96000</v>
      </c>
      <c r="AH136" s="37">
        <f>IF(OR(NOTA[[#This Row],[QTY]]="",NOTA[[#This Row],[HARGA SATUAN]]="",),"",NOTA[[#This Row],[QTY]]*NOTA[[#This Row],[HARGA SATUAN]])</f>
        <v>96000</v>
      </c>
      <c r="AI136" s="26">
        <f ca="1">IF(NOTA[[#This Row],[ID_H]]="","",INDEX(NOTA[TANGGAL],MATCH(,INDIRECT(ADDRESS(ROW(NOTA[TANGGAL]),COLUMN(NOTA[TANGGAL]))&amp;":"&amp;ADDRESS(ROW(),COLUMN(NOTA[TANGGAL]))),-1)))</f>
        <v>45454</v>
      </c>
      <c r="AJ136" s="26">
        <f ca="1">IF(NOTA[[#This Row],[ID_H]]="","",INDEX(NOTA[TGL.NOTA],MATCH(,INDIRECT(ADDRESS(ROW(NOTA[TGL.NOTA]),COLUMN(NOTA[TGL.NOTA]))&amp;":"&amp;ADDRESS(ROW(),COLUMN(NOTA[TGL.NOTA]))),-1)))</f>
        <v>45454</v>
      </c>
      <c r="AK136" s="26" t="str">
        <f ca="1">IF(NOTA[[#This Row],[ID_H]]="","",INDEX(NOTA[NO.NOTA],MATCH(NOTA[[#This Row],[ID_H]],NOTA[ID_H],0)))</f>
        <v>HN062024104</v>
      </c>
      <c r="AL136" s="28" t="str">
        <f ca="1">IF(NOTA[[#This Row],[NAMA BARANG]]="","",INDEX(NOTA[SUPPLIER],MATCH(,INDIRECT(ADDRESS(ROW(NOTA[ID]),COLUMN(NOTA[ID]))&amp;":"&amp;ADDRESS(ROW(),COLUMN(NOTA[ID]))),-1)))</f>
        <v>HANSA</v>
      </c>
      <c r="AM136" s="28" t="str">
        <f ca="1">IF(NOTA[[#This Row],[ID_H]]="","",IF(NOTA[[#This Row],[FAKTUR]]="",INDIRECT(ADDRESS(ROW()-1,COLUMN())),NOTA[[#This Row],[FAKTUR]]))</f>
        <v>UNTANA</v>
      </c>
      <c r="AN136" s="25" t="str">
        <f ca="1">IF(NOTA[[#This Row],[ID]]="","",COUNTIF(NOTA[ID_H],NOTA[[#This Row],[ID_H]]))</f>
        <v/>
      </c>
      <c r="AO136" s="25">
        <f ca="1">IF(NOTA[[#This Row],[TGL.NOTA]]="",IF(NOTA[[#This Row],[SUPPLIER_H]]="","",AO135),MONTH(NOTA[[#This Row],[TGL.NOTA]]))</f>
        <v>6</v>
      </c>
      <c r="AP136" s="25" t="str">
        <f>LOWER(SUBSTITUTE(SUBSTITUTE(SUBSTITUTE(SUBSTITUTE(SUBSTITUTE(SUBSTITUTE(SUBSTITUTE(SUBSTITUTE(SUBSTITUTE(NOTA[[#This Row],[NAMA BARANG]]," ",),".",""),"-",""),"(",""),")",""),",",""),"/",""),"""",""),"+",""))</f>
        <v>malamshintoengk1wpolos</v>
      </c>
      <c r="AQ1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malamshintoengk1wpolos96000</v>
      </c>
      <c r="AR1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S1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6" s="25"/>
      <c r="AU136" s="25">
        <f>IF(NOTA[[#This Row],[CONCAT1]]="","",MATCH(NOTA[[#This Row],[CONCAT1]],[3]!db[NB NOTA_C],0))</f>
        <v>2055</v>
      </c>
      <c r="AV136" s="25" t="str">
        <f>IF(NOTA[[#This Row],[QTY/ CTN]]="","",TRUE)</f>
        <v/>
      </c>
      <c r="AW136" s="25" t="str">
        <f ca="1">IF(NOTA[[#This Row],[ID_H]]="","",IF(NOTA[[#This Row],[Column3]]=TRUE,NOTA[[#This Row],[QTY/ CTN]],INDEX([3]!db[QTY/ CTN],NOTA[[#This Row],[//DB]])))</f>
        <v>480 PCS</v>
      </c>
      <c r="AX1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Y136" s="25">
        <f ca="1">IF(NOTA[[#This Row],[ID_H]]="","",MATCH(NOTA[[#This Row],[NB NOTA_C_QTY]],[3]!db[NB NOTA_C_QTY+F],0))</f>
        <v>2055</v>
      </c>
      <c r="AZ136" s="38">
        <f ca="1">IF(NOTA[[#This Row],[NB NOTA_C_QTY]]="","",ROW()-2)</f>
        <v>134</v>
      </c>
    </row>
    <row r="137" spans="1:52" ht="20.100000000000001" customHeight="1">
      <c r="A1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37" s="25">
        <f ca="1">IF(NOTA[[#This Row],[NAMA BARANG]]="","",INDEX(NOTA[ID],MATCH(,INDIRECT(ADDRESS(ROW(NOTA[ID]),COLUMN(NOTA[ID]))&amp;":"&amp;ADDRESS(ROW(),COLUMN(NOTA[ID]))),-1)))</f>
        <v>34</v>
      </c>
      <c r="E137" s="33"/>
      <c r="H137" s="34"/>
      <c r="L137" s="25" t="s">
        <v>358</v>
      </c>
      <c r="N137" s="25">
        <v>50</v>
      </c>
      <c r="O137" s="25" t="s">
        <v>111</v>
      </c>
      <c r="P137" s="28">
        <v>4550</v>
      </c>
      <c r="Q137" s="29"/>
      <c r="R137" s="35"/>
      <c r="S137" s="36"/>
      <c r="V137" s="37"/>
      <c r="W137" s="32"/>
      <c r="X137" s="37">
        <f>IF(NOTA[[#This Row],[HARGA/ CTN]]="",NOTA[[#This Row],[JUMLAH_H]],NOTA[[#This Row],[HARGA/ CTN]]*IF(NOTA[[#This Row],[C]]="",0,NOTA[[#This Row],[C]]))</f>
        <v>227500</v>
      </c>
      <c r="Y137" s="37">
        <f>IF(NOTA[[#This Row],[JUMLAH]]="","",NOTA[[#This Row],[JUMLAH]]*NOTA[[#This Row],[DISC 1]])</f>
        <v>0</v>
      </c>
      <c r="Z137" s="37">
        <f>IF(NOTA[[#This Row],[JUMLAH]]="","",(NOTA[[#This Row],[JUMLAH]]-NOTA[[#This Row],[DISC 1-]])*NOTA[[#This Row],[DISC 2]])</f>
        <v>0</v>
      </c>
      <c r="AA137" s="37">
        <f>IF(NOTA[[#This Row],[JUMLAH]]="","",(NOTA[[#This Row],[JUMLAH]]-NOTA[[#This Row],[DISC 1-]]-NOTA[[#This Row],[DISC 2-]])*NOTA[[#This Row],[DISC 3]])</f>
        <v>0</v>
      </c>
      <c r="AB137" s="37">
        <f>IF(NOTA[[#This Row],[JUMLAH]]="","",NOTA[[#This Row],[DISC 1-]]+NOTA[[#This Row],[DISC 2-]]+NOTA[[#This Row],[DISC 3-]])</f>
        <v>0</v>
      </c>
      <c r="AC137" s="37">
        <f>IF(NOTA[[#This Row],[JUMLAH]]="","",NOTA[[#This Row],[JUMLAH]]-NOTA[[#This Row],[DISC]])</f>
        <v>227500</v>
      </c>
      <c r="AD137" s="37"/>
      <c r="AE1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7" s="28">
        <f>IF(NOTA[[#This Row],[NAMA BARANG]]="","",IF(NOTA[[#This Row],[JUMLAH_H]]="",NOTA[[#This Row],[HARGA/ CTN]],NOTA[[#This Row],[QTY]]*NOTA[[#This Row],[HARGA SATUAN]]/IF(ISNUMBER(NOTA[[#This Row],[C]]),NOTA[[#This Row],[C]],1)))</f>
        <v>227500</v>
      </c>
      <c r="AH137" s="37">
        <f>IF(OR(NOTA[[#This Row],[QTY]]="",NOTA[[#This Row],[HARGA SATUAN]]="",),"",NOTA[[#This Row],[QTY]]*NOTA[[#This Row],[HARGA SATUAN]])</f>
        <v>227500</v>
      </c>
      <c r="AI137" s="26">
        <f ca="1">IF(NOTA[[#This Row],[ID_H]]="","",INDEX(NOTA[TANGGAL],MATCH(,INDIRECT(ADDRESS(ROW(NOTA[TANGGAL]),COLUMN(NOTA[TANGGAL]))&amp;":"&amp;ADDRESS(ROW(),COLUMN(NOTA[TANGGAL]))),-1)))</f>
        <v>45454</v>
      </c>
      <c r="AJ137" s="26">
        <f ca="1">IF(NOTA[[#This Row],[ID_H]]="","",INDEX(NOTA[TGL.NOTA],MATCH(,INDIRECT(ADDRESS(ROW(NOTA[TGL.NOTA]),COLUMN(NOTA[TGL.NOTA]))&amp;":"&amp;ADDRESS(ROW(),COLUMN(NOTA[TGL.NOTA]))),-1)))</f>
        <v>45454</v>
      </c>
      <c r="AK137" s="26" t="str">
        <f ca="1">IF(NOTA[[#This Row],[ID_H]]="","",INDEX(NOTA[NO.NOTA],MATCH(NOTA[[#This Row],[ID_H]],NOTA[ID_H],0)))</f>
        <v>HN062024104</v>
      </c>
      <c r="AL137" s="28" t="str">
        <f ca="1">IF(NOTA[[#This Row],[NAMA BARANG]]="","",INDEX(NOTA[SUPPLIER],MATCH(,INDIRECT(ADDRESS(ROW(NOTA[ID]),COLUMN(NOTA[ID]))&amp;":"&amp;ADDRESS(ROW(),COLUMN(NOTA[ID]))),-1)))</f>
        <v>HANSA</v>
      </c>
      <c r="AM137" s="28" t="str">
        <f ca="1">IF(NOTA[[#This Row],[ID_H]]="","",IF(NOTA[[#This Row],[FAKTUR]]="",INDIRECT(ADDRESS(ROW()-1,COLUMN())),NOTA[[#This Row],[FAKTUR]]))</f>
        <v>UNTANA</v>
      </c>
      <c r="AN137" s="25" t="str">
        <f ca="1">IF(NOTA[[#This Row],[ID]]="","",COUNTIF(NOTA[ID_H],NOTA[[#This Row],[ID_H]]))</f>
        <v/>
      </c>
      <c r="AO137" s="25">
        <f ca="1">IF(NOTA[[#This Row],[TGL.NOTA]]="",IF(NOTA[[#This Row],[SUPPLIER_H]]="","",AO136),MONTH(NOTA[[#This Row],[TGL.NOTA]]))</f>
        <v>6</v>
      </c>
      <c r="AP137" s="25" t="str">
        <f>LOWER(SUBSTITUTE(SUBSTITUTE(SUBSTITUTE(SUBSTITUTE(SUBSTITUTE(SUBSTITUTE(SUBSTITUTE(SUBSTITUTE(SUBSTITUTE(NOTA[[#This Row],[NAMA BARANG]]," ",),".",""),"-",""),"(",""),")",""),",",""),"/",""),"""",""),"+",""))</f>
        <v>malamshintoengtg612w</v>
      </c>
      <c r="AQ1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malamshintoengtg612w227500</v>
      </c>
      <c r="AR1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S1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7" s="25"/>
      <c r="AU137" s="25">
        <f>IF(NOTA[[#This Row],[CONCAT1]]="","",MATCH(NOTA[[#This Row],[CONCAT1]],[3]!db[NB NOTA_C],0))</f>
        <v>2060</v>
      </c>
      <c r="AV137" s="25" t="str">
        <f>IF(NOTA[[#This Row],[QTY/ CTN]]="","",TRUE)</f>
        <v/>
      </c>
      <c r="AW137" s="25" t="str">
        <f ca="1">IF(NOTA[[#This Row],[ID_H]]="","",IF(NOTA[[#This Row],[Column3]]=TRUE,NOTA[[#This Row],[QTY/ CTN]],INDEX([3]!db[QTY/ CTN],NOTA[[#This Row],[//DB]])))</f>
        <v>210 PCS</v>
      </c>
      <c r="AX1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Y137" s="25">
        <f ca="1">IF(NOTA[[#This Row],[ID_H]]="","",MATCH(NOTA[[#This Row],[NB NOTA_C_QTY]],[3]!db[NB NOTA_C_QTY+F],0))</f>
        <v>2060</v>
      </c>
      <c r="AZ137" s="38">
        <f ca="1">IF(NOTA[[#This Row],[NB NOTA_C_QTY]]="","",ROW()-2)</f>
        <v>135</v>
      </c>
    </row>
    <row r="138" spans="1:52" ht="20.100000000000001" customHeight="1">
      <c r="A1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38" s="25">
        <f ca="1">IF(NOTA[[#This Row],[NAMA BARANG]]="","",INDEX(NOTA[ID],MATCH(,INDIRECT(ADDRESS(ROW(NOTA[ID]),COLUMN(NOTA[ID]))&amp;":"&amp;ADDRESS(ROW(),COLUMN(NOTA[ID]))),-1)))</f>
        <v>34</v>
      </c>
      <c r="E138" s="33"/>
      <c r="H138" s="34"/>
      <c r="L138" s="25" t="s">
        <v>359</v>
      </c>
      <c r="N138" s="25">
        <v>50</v>
      </c>
      <c r="O138" s="25" t="s">
        <v>111</v>
      </c>
      <c r="P138" s="28">
        <v>4330</v>
      </c>
      <c r="Q138" s="29"/>
      <c r="R138" s="35"/>
      <c r="S138" s="36"/>
      <c r="V138" s="37"/>
      <c r="W138" s="32"/>
      <c r="X138" s="37">
        <f>IF(NOTA[[#This Row],[HARGA/ CTN]]="",NOTA[[#This Row],[JUMLAH_H]],NOTA[[#This Row],[HARGA/ CTN]]*IF(NOTA[[#This Row],[C]]="",0,NOTA[[#This Row],[C]]))</f>
        <v>216500</v>
      </c>
      <c r="Y138" s="37">
        <f>IF(NOTA[[#This Row],[JUMLAH]]="","",NOTA[[#This Row],[JUMLAH]]*NOTA[[#This Row],[DISC 1]])</f>
        <v>0</v>
      </c>
      <c r="Z138" s="37">
        <f>IF(NOTA[[#This Row],[JUMLAH]]="","",(NOTA[[#This Row],[JUMLAH]]-NOTA[[#This Row],[DISC 1-]])*NOTA[[#This Row],[DISC 2]])</f>
        <v>0</v>
      </c>
      <c r="AA138" s="37">
        <f>IF(NOTA[[#This Row],[JUMLAH]]="","",(NOTA[[#This Row],[JUMLAH]]-NOTA[[#This Row],[DISC 1-]]-NOTA[[#This Row],[DISC 2-]])*NOTA[[#This Row],[DISC 3]])</f>
        <v>0</v>
      </c>
      <c r="AB138" s="37">
        <f>IF(NOTA[[#This Row],[JUMLAH]]="","",NOTA[[#This Row],[DISC 1-]]+NOTA[[#This Row],[DISC 2-]]+NOTA[[#This Row],[DISC 3-]])</f>
        <v>0</v>
      </c>
      <c r="AC138" s="37">
        <f>IF(NOTA[[#This Row],[JUMLAH]]="","",NOTA[[#This Row],[JUMLAH]]-NOTA[[#This Row],[DISC]])</f>
        <v>216500</v>
      </c>
      <c r="AD138" s="37"/>
      <c r="AE1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8" s="28">
        <f>IF(NOTA[[#This Row],[NAMA BARANG]]="","",IF(NOTA[[#This Row],[JUMLAH_H]]="",NOTA[[#This Row],[HARGA/ CTN]],NOTA[[#This Row],[QTY]]*NOTA[[#This Row],[HARGA SATUAN]]/IF(ISNUMBER(NOTA[[#This Row],[C]]),NOTA[[#This Row],[C]],1)))</f>
        <v>216500</v>
      </c>
      <c r="AH138" s="37">
        <f>IF(OR(NOTA[[#This Row],[QTY]]="",NOTA[[#This Row],[HARGA SATUAN]]="",),"",NOTA[[#This Row],[QTY]]*NOTA[[#This Row],[HARGA SATUAN]])</f>
        <v>216500</v>
      </c>
      <c r="AI138" s="26">
        <f ca="1">IF(NOTA[[#This Row],[ID_H]]="","",INDEX(NOTA[TANGGAL],MATCH(,INDIRECT(ADDRESS(ROW(NOTA[TANGGAL]),COLUMN(NOTA[TANGGAL]))&amp;":"&amp;ADDRESS(ROW(),COLUMN(NOTA[TANGGAL]))),-1)))</f>
        <v>45454</v>
      </c>
      <c r="AJ138" s="26">
        <f ca="1">IF(NOTA[[#This Row],[ID_H]]="","",INDEX(NOTA[TGL.NOTA],MATCH(,INDIRECT(ADDRESS(ROW(NOTA[TGL.NOTA]),COLUMN(NOTA[TGL.NOTA]))&amp;":"&amp;ADDRESS(ROW(),COLUMN(NOTA[TGL.NOTA]))),-1)))</f>
        <v>45454</v>
      </c>
      <c r="AK138" s="26" t="str">
        <f ca="1">IF(NOTA[[#This Row],[ID_H]]="","",INDEX(NOTA[NO.NOTA],MATCH(NOTA[[#This Row],[ID_H]],NOTA[ID_H],0)))</f>
        <v>HN062024104</v>
      </c>
      <c r="AL138" s="28" t="str">
        <f ca="1">IF(NOTA[[#This Row],[NAMA BARANG]]="","",INDEX(NOTA[SUPPLIER],MATCH(,INDIRECT(ADDRESS(ROW(NOTA[ID]),COLUMN(NOTA[ID]))&amp;":"&amp;ADDRESS(ROW(),COLUMN(NOTA[ID]))),-1)))</f>
        <v>HANSA</v>
      </c>
      <c r="AM138" s="28" t="str">
        <f ca="1">IF(NOTA[[#This Row],[ID_H]]="","",IF(NOTA[[#This Row],[FAKTUR]]="",INDIRECT(ADDRESS(ROW()-1,COLUMN())),NOTA[[#This Row],[FAKTUR]]))</f>
        <v>UNTANA</v>
      </c>
      <c r="AN138" s="25" t="str">
        <f ca="1">IF(NOTA[[#This Row],[ID]]="","",COUNTIF(NOTA[ID_H],NOTA[[#This Row],[ID_H]]))</f>
        <v/>
      </c>
      <c r="AO138" s="25">
        <f ca="1">IF(NOTA[[#This Row],[TGL.NOTA]]="",IF(NOTA[[#This Row],[SUPPLIER_H]]="","",AO137),MONTH(NOTA[[#This Row],[TGL.NOTA]]))</f>
        <v>6</v>
      </c>
      <c r="AP138" s="25" t="str">
        <f>LOWER(SUBSTITUTE(SUBSTITUTE(SUBSTITUTE(SUBSTITUTE(SUBSTITUTE(SUBSTITUTE(SUBSTITUTE(SUBSTITUTE(SUBSTITUTE(NOTA[[#This Row],[NAMA BARANG]]," ",),".",""),"-",""),"(",""),")",""),",",""),"/",""),"""",""),"+",""))</f>
        <v>malamshintoengtg1wpolos</v>
      </c>
      <c r="AQ1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malamshintoengtg1wpolos216500</v>
      </c>
      <c r="AR1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S1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8" s="25"/>
      <c r="AU138" s="25">
        <f>IF(NOTA[[#This Row],[CONCAT1]]="","",MATCH(NOTA[[#This Row],[CONCAT1]],[3]!db[NB NOTA_C],0))</f>
        <v>2058</v>
      </c>
      <c r="AV138" s="25" t="str">
        <f>IF(NOTA[[#This Row],[QTY/ CTN]]="","",TRUE)</f>
        <v/>
      </c>
      <c r="AW138" s="25" t="str">
        <f ca="1">IF(NOTA[[#This Row],[ID_H]]="","",IF(NOTA[[#This Row],[Column3]]=TRUE,NOTA[[#This Row],[QTY/ CTN]],INDEX([3]!db[QTY/ CTN],NOTA[[#This Row],[//DB]])))</f>
        <v>210 PCS</v>
      </c>
      <c r="AX1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Y138" s="25">
        <f ca="1">IF(NOTA[[#This Row],[ID_H]]="","",MATCH(NOTA[[#This Row],[NB NOTA_C_QTY]],[3]!db[NB NOTA_C_QTY+F],0))</f>
        <v>2058</v>
      </c>
      <c r="AZ138" s="38">
        <f ca="1">IF(NOTA[[#This Row],[NB NOTA_C_QTY]]="","",ROW()-2)</f>
        <v>136</v>
      </c>
    </row>
    <row r="139" spans="1:52" ht="20.100000000000001" customHeight="1">
      <c r="A1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39" s="25">
        <f ca="1">IF(NOTA[[#This Row],[NAMA BARANG]]="","",INDEX(NOTA[ID],MATCH(,INDIRECT(ADDRESS(ROW(NOTA[ID]),COLUMN(NOTA[ID]))&amp;":"&amp;ADDRESS(ROW(),COLUMN(NOTA[ID]))),-1)))</f>
        <v>34</v>
      </c>
      <c r="E139" s="33"/>
      <c r="H139" s="34"/>
      <c r="L139" s="25" t="s">
        <v>341</v>
      </c>
      <c r="N139" s="25">
        <v>20</v>
      </c>
      <c r="O139" s="25" t="s">
        <v>111</v>
      </c>
      <c r="P139" s="28">
        <v>6100</v>
      </c>
      <c r="Q139" s="29"/>
      <c r="R139" s="35"/>
      <c r="S139" s="36"/>
      <c r="V139" s="37"/>
      <c r="W139" s="32"/>
      <c r="X139" s="37">
        <f>IF(NOTA[[#This Row],[HARGA/ CTN]]="",NOTA[[#This Row],[JUMLAH_H]],NOTA[[#This Row],[HARGA/ CTN]]*IF(NOTA[[#This Row],[C]]="",0,NOTA[[#This Row],[C]]))</f>
        <v>122000</v>
      </c>
      <c r="Y139" s="37">
        <f>IF(NOTA[[#This Row],[JUMLAH]]="","",NOTA[[#This Row],[JUMLAH]]*NOTA[[#This Row],[DISC 1]])</f>
        <v>0</v>
      </c>
      <c r="Z139" s="37">
        <f>IF(NOTA[[#This Row],[JUMLAH]]="","",(NOTA[[#This Row],[JUMLAH]]-NOTA[[#This Row],[DISC 1-]])*NOTA[[#This Row],[DISC 2]])</f>
        <v>0</v>
      </c>
      <c r="AA139" s="37">
        <f>IF(NOTA[[#This Row],[JUMLAH]]="","",(NOTA[[#This Row],[JUMLAH]]-NOTA[[#This Row],[DISC 1-]]-NOTA[[#This Row],[DISC 2-]])*NOTA[[#This Row],[DISC 3]])</f>
        <v>0</v>
      </c>
      <c r="AB139" s="37">
        <f>IF(NOTA[[#This Row],[JUMLAH]]="","",NOTA[[#This Row],[DISC 1-]]+NOTA[[#This Row],[DISC 2-]]+NOTA[[#This Row],[DISC 3-]])</f>
        <v>0</v>
      </c>
      <c r="AC139" s="37">
        <f>IF(NOTA[[#This Row],[JUMLAH]]="","",NOTA[[#This Row],[JUMLAH]]-NOTA[[#This Row],[DISC]])</f>
        <v>122000</v>
      </c>
      <c r="AD139" s="37"/>
      <c r="AE1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9" s="28">
        <f>IF(NOTA[[#This Row],[NAMA BARANG]]="","",IF(NOTA[[#This Row],[JUMLAH_H]]="",NOTA[[#This Row],[HARGA/ CTN]],NOTA[[#This Row],[QTY]]*NOTA[[#This Row],[HARGA SATUAN]]/IF(ISNUMBER(NOTA[[#This Row],[C]]),NOTA[[#This Row],[C]],1)))</f>
        <v>122000</v>
      </c>
      <c r="AH139" s="37">
        <f>IF(OR(NOTA[[#This Row],[QTY]]="",NOTA[[#This Row],[HARGA SATUAN]]="",),"",NOTA[[#This Row],[QTY]]*NOTA[[#This Row],[HARGA SATUAN]])</f>
        <v>122000</v>
      </c>
      <c r="AI139" s="26">
        <f ca="1">IF(NOTA[[#This Row],[ID_H]]="","",INDEX(NOTA[TANGGAL],MATCH(,INDIRECT(ADDRESS(ROW(NOTA[TANGGAL]),COLUMN(NOTA[TANGGAL]))&amp;":"&amp;ADDRESS(ROW(),COLUMN(NOTA[TANGGAL]))),-1)))</f>
        <v>45454</v>
      </c>
      <c r="AJ139" s="26">
        <f ca="1">IF(NOTA[[#This Row],[ID_H]]="","",INDEX(NOTA[TGL.NOTA],MATCH(,INDIRECT(ADDRESS(ROW(NOTA[TGL.NOTA]),COLUMN(NOTA[TGL.NOTA]))&amp;":"&amp;ADDRESS(ROW(),COLUMN(NOTA[TGL.NOTA]))),-1)))</f>
        <v>45454</v>
      </c>
      <c r="AK139" s="26" t="str">
        <f ca="1">IF(NOTA[[#This Row],[ID_H]]="","",INDEX(NOTA[NO.NOTA],MATCH(NOTA[[#This Row],[ID_H]],NOTA[ID_H],0)))</f>
        <v>HN062024104</v>
      </c>
      <c r="AL139" s="28" t="str">
        <f ca="1">IF(NOTA[[#This Row],[NAMA BARANG]]="","",INDEX(NOTA[SUPPLIER],MATCH(,INDIRECT(ADDRESS(ROW(NOTA[ID]),COLUMN(NOTA[ID]))&amp;":"&amp;ADDRESS(ROW(),COLUMN(NOTA[ID]))),-1)))</f>
        <v>HANSA</v>
      </c>
      <c r="AM139" s="28" t="str">
        <f ca="1">IF(NOTA[[#This Row],[ID_H]]="","",IF(NOTA[[#This Row],[FAKTUR]]="",INDIRECT(ADDRESS(ROW()-1,COLUMN())),NOTA[[#This Row],[FAKTUR]]))</f>
        <v>UNTANA</v>
      </c>
      <c r="AN139" s="25" t="str">
        <f ca="1">IF(NOTA[[#This Row],[ID]]="","",COUNTIF(NOTA[ID_H],NOTA[[#This Row],[ID_H]]))</f>
        <v/>
      </c>
      <c r="AO139" s="25">
        <f ca="1">IF(NOTA[[#This Row],[TGL.NOTA]]="",IF(NOTA[[#This Row],[SUPPLIER_H]]="","",AO138),MONTH(NOTA[[#This Row],[TGL.NOTA]]))</f>
        <v>6</v>
      </c>
      <c r="AP139" s="25" t="str">
        <f>LOWER(SUBSTITUTE(SUBSTITUTE(SUBSTITUTE(SUBSTITUTE(SUBSTITUTE(SUBSTITUTE(SUBSTITUTE(SUBSTITUTE(SUBSTITUTE(NOTA[[#This Row],[NAMA BARANG]]," ",),".",""),"-",""),"(",""),")",""),",",""),"/",""),"""",""),"+",""))</f>
        <v>malamshintoengb612w</v>
      </c>
      <c r="AQ1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malamshintoengb612w122000</v>
      </c>
      <c r="AR1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S1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9" s="25"/>
      <c r="AU139" s="25">
        <f>IF(NOTA[[#This Row],[CONCAT1]]="","",MATCH(NOTA[[#This Row],[CONCAT1]],[3]!db[NB NOTA_C],0))</f>
        <v>2053</v>
      </c>
      <c r="AV139" s="25" t="str">
        <f>IF(NOTA[[#This Row],[QTY/ CTN]]="","",TRUE)</f>
        <v/>
      </c>
      <c r="AW139" s="25" t="str">
        <f ca="1">IF(NOTA[[#This Row],[ID_H]]="","",IF(NOTA[[#This Row],[Column3]]=TRUE,NOTA[[#This Row],[QTY/ CTN]],INDEX([3]!db[QTY/ CTN],NOTA[[#This Row],[//DB]])))</f>
        <v>150 PCS</v>
      </c>
      <c r="AX1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Y139" s="25">
        <f ca="1">IF(NOTA[[#This Row],[ID_H]]="","",MATCH(NOTA[[#This Row],[NB NOTA_C_QTY]],[3]!db[NB NOTA_C_QTY+F],0))</f>
        <v>2053</v>
      </c>
      <c r="AZ139" s="38">
        <f ca="1">IF(NOTA[[#This Row],[NB NOTA_C_QTY]]="","",ROW()-2)</f>
        <v>137</v>
      </c>
    </row>
    <row r="140" spans="1:52" ht="20.100000000000001" customHeight="1">
      <c r="A1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40" s="25">
        <f ca="1">IF(NOTA[[#This Row],[NAMA BARANG]]="","",INDEX(NOTA[ID],MATCH(,INDIRECT(ADDRESS(ROW(NOTA[ID]),COLUMN(NOTA[ID]))&amp;":"&amp;ADDRESS(ROW(),COLUMN(NOTA[ID]))),-1)))</f>
        <v>34</v>
      </c>
      <c r="E140" s="33"/>
      <c r="H140" s="34"/>
      <c r="L140" s="25" t="s">
        <v>360</v>
      </c>
      <c r="N140" s="25">
        <v>20</v>
      </c>
      <c r="O140" s="25" t="s">
        <v>111</v>
      </c>
      <c r="P140" s="28">
        <v>5770</v>
      </c>
      <c r="Q140" s="29"/>
      <c r="R140" s="35"/>
      <c r="S140" s="36"/>
      <c r="V140" s="37"/>
      <c r="W140" s="32"/>
      <c r="X140" s="37">
        <f>IF(NOTA[[#This Row],[HARGA/ CTN]]="",NOTA[[#This Row],[JUMLAH_H]],NOTA[[#This Row],[HARGA/ CTN]]*IF(NOTA[[#This Row],[C]]="",0,NOTA[[#This Row],[C]]))</f>
        <v>115400</v>
      </c>
      <c r="Y140" s="37">
        <f>IF(NOTA[[#This Row],[JUMLAH]]="","",NOTA[[#This Row],[JUMLAH]]*NOTA[[#This Row],[DISC 1]])</f>
        <v>0</v>
      </c>
      <c r="Z140" s="37">
        <f>IF(NOTA[[#This Row],[JUMLAH]]="","",(NOTA[[#This Row],[JUMLAH]]-NOTA[[#This Row],[DISC 1-]])*NOTA[[#This Row],[DISC 2]])</f>
        <v>0</v>
      </c>
      <c r="AA140" s="37">
        <f>IF(NOTA[[#This Row],[JUMLAH]]="","",(NOTA[[#This Row],[JUMLAH]]-NOTA[[#This Row],[DISC 1-]]-NOTA[[#This Row],[DISC 2-]])*NOTA[[#This Row],[DISC 3]])</f>
        <v>0</v>
      </c>
      <c r="AB140" s="37">
        <f>IF(NOTA[[#This Row],[JUMLAH]]="","",NOTA[[#This Row],[DISC 1-]]+NOTA[[#This Row],[DISC 2-]]+NOTA[[#This Row],[DISC 3-]])</f>
        <v>0</v>
      </c>
      <c r="AC140" s="37">
        <f>IF(NOTA[[#This Row],[JUMLAH]]="","",NOTA[[#This Row],[JUMLAH]]-NOTA[[#This Row],[DISC]])</f>
        <v>115400</v>
      </c>
      <c r="AD140" s="37"/>
      <c r="AE1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0" s="28">
        <f>IF(NOTA[[#This Row],[NAMA BARANG]]="","",IF(NOTA[[#This Row],[JUMLAH_H]]="",NOTA[[#This Row],[HARGA/ CTN]],NOTA[[#This Row],[QTY]]*NOTA[[#This Row],[HARGA SATUAN]]/IF(ISNUMBER(NOTA[[#This Row],[C]]),NOTA[[#This Row],[C]],1)))</f>
        <v>115400</v>
      </c>
      <c r="AH140" s="37">
        <f>IF(OR(NOTA[[#This Row],[QTY]]="",NOTA[[#This Row],[HARGA SATUAN]]="",),"",NOTA[[#This Row],[QTY]]*NOTA[[#This Row],[HARGA SATUAN]])</f>
        <v>115400</v>
      </c>
      <c r="AI140" s="26">
        <f ca="1">IF(NOTA[[#This Row],[ID_H]]="","",INDEX(NOTA[TANGGAL],MATCH(,INDIRECT(ADDRESS(ROW(NOTA[TANGGAL]),COLUMN(NOTA[TANGGAL]))&amp;":"&amp;ADDRESS(ROW(),COLUMN(NOTA[TANGGAL]))),-1)))</f>
        <v>45454</v>
      </c>
      <c r="AJ140" s="26">
        <f ca="1">IF(NOTA[[#This Row],[ID_H]]="","",INDEX(NOTA[TGL.NOTA],MATCH(,INDIRECT(ADDRESS(ROW(NOTA[TGL.NOTA]),COLUMN(NOTA[TGL.NOTA]))&amp;":"&amp;ADDRESS(ROW(),COLUMN(NOTA[TGL.NOTA]))),-1)))</f>
        <v>45454</v>
      </c>
      <c r="AK140" s="26" t="str">
        <f ca="1">IF(NOTA[[#This Row],[ID_H]]="","",INDEX(NOTA[NO.NOTA],MATCH(NOTA[[#This Row],[ID_H]],NOTA[ID_H],0)))</f>
        <v>HN062024104</v>
      </c>
      <c r="AL140" s="28" t="str">
        <f ca="1">IF(NOTA[[#This Row],[NAMA BARANG]]="","",INDEX(NOTA[SUPPLIER],MATCH(,INDIRECT(ADDRESS(ROW(NOTA[ID]),COLUMN(NOTA[ID]))&amp;":"&amp;ADDRESS(ROW(),COLUMN(NOTA[ID]))),-1)))</f>
        <v>HANSA</v>
      </c>
      <c r="AM140" s="28" t="str">
        <f ca="1">IF(NOTA[[#This Row],[ID_H]]="","",IF(NOTA[[#This Row],[FAKTUR]]="",INDIRECT(ADDRESS(ROW()-1,COLUMN())),NOTA[[#This Row],[FAKTUR]]))</f>
        <v>UNTANA</v>
      </c>
      <c r="AN140" s="25" t="str">
        <f ca="1">IF(NOTA[[#This Row],[ID]]="","",COUNTIF(NOTA[ID_H],NOTA[[#This Row],[ID_H]]))</f>
        <v/>
      </c>
      <c r="AO140" s="25">
        <f ca="1">IF(NOTA[[#This Row],[TGL.NOTA]]="",IF(NOTA[[#This Row],[SUPPLIER_H]]="","",AO139),MONTH(NOTA[[#This Row],[TGL.NOTA]]))</f>
        <v>6</v>
      </c>
      <c r="AP140" s="25" t="str">
        <f>LOWER(SUBSTITUTE(SUBSTITUTE(SUBSTITUTE(SUBSTITUTE(SUBSTITUTE(SUBSTITUTE(SUBSTITUTE(SUBSTITUTE(SUBSTITUTE(NOTA[[#This Row],[NAMA BARANG]]," ",),".",""),"-",""),"(",""),")",""),",",""),"/",""),"""",""),"+",""))</f>
        <v>malamshintoengb1wpolos</v>
      </c>
      <c r="AQ1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malamshintoengb1wpolos115400</v>
      </c>
      <c r="AR1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S1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0" s="25"/>
      <c r="AU140" s="25">
        <f>IF(NOTA[[#This Row],[CONCAT1]]="","",MATCH(NOTA[[#This Row],[CONCAT1]],[3]!db[NB NOTA_C],0))</f>
        <v>2052</v>
      </c>
      <c r="AV140" s="25" t="str">
        <f>IF(NOTA[[#This Row],[QTY/ CTN]]="","",TRUE)</f>
        <v/>
      </c>
      <c r="AW140" s="25" t="str">
        <f ca="1">IF(NOTA[[#This Row],[ID_H]]="","",IF(NOTA[[#This Row],[Column3]]=TRUE,NOTA[[#This Row],[QTY/ CTN]],INDEX([3]!db[QTY/ CTN],NOTA[[#This Row],[//DB]])))</f>
        <v>180 PCS</v>
      </c>
      <c r="AX1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Y140" s="25">
        <f ca="1">IF(NOTA[[#This Row],[ID_H]]="","",MATCH(NOTA[[#This Row],[NB NOTA_C_QTY]],[3]!db[NB NOTA_C_QTY+F],0))</f>
        <v>2052</v>
      </c>
      <c r="AZ140" s="38">
        <f ca="1">IF(NOTA[[#This Row],[NB NOTA_C_QTY]]="","",ROW()-2)</f>
        <v>138</v>
      </c>
    </row>
    <row r="141" spans="1:52" ht="20.100000000000001" customHeight="1">
      <c r="A1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41" s="25">
        <f ca="1">IF(NOTA[[#This Row],[NAMA BARANG]]="","",INDEX(NOTA[ID],MATCH(,INDIRECT(ADDRESS(ROW(NOTA[ID]),COLUMN(NOTA[ID]))&amp;":"&amp;ADDRESS(ROW(),COLUMN(NOTA[ID]))),-1)))</f>
        <v>34</v>
      </c>
      <c r="E141" s="33"/>
      <c r="H141" s="34"/>
      <c r="L141" s="25" t="s">
        <v>361</v>
      </c>
      <c r="N141" s="25">
        <v>20</v>
      </c>
      <c r="O141" s="25" t="s">
        <v>111</v>
      </c>
      <c r="P141" s="28">
        <v>10990</v>
      </c>
      <c r="Q141" s="29"/>
      <c r="R141" s="35"/>
      <c r="S141" s="36"/>
      <c r="V141" s="37"/>
      <c r="W141" s="32"/>
      <c r="X141" s="37">
        <f>IF(NOTA[[#This Row],[HARGA/ CTN]]="",NOTA[[#This Row],[JUMLAH_H]],NOTA[[#This Row],[HARGA/ CTN]]*IF(NOTA[[#This Row],[C]]="",0,NOTA[[#This Row],[C]]))</f>
        <v>219800</v>
      </c>
      <c r="Y141" s="37">
        <f>IF(NOTA[[#This Row],[JUMLAH]]="","",NOTA[[#This Row],[JUMLAH]]*NOTA[[#This Row],[DISC 1]])</f>
        <v>0</v>
      </c>
      <c r="Z141" s="37">
        <f>IF(NOTA[[#This Row],[JUMLAH]]="","",(NOTA[[#This Row],[JUMLAH]]-NOTA[[#This Row],[DISC 1-]])*NOTA[[#This Row],[DISC 2]])</f>
        <v>0</v>
      </c>
      <c r="AA141" s="37">
        <f>IF(NOTA[[#This Row],[JUMLAH]]="","",(NOTA[[#This Row],[JUMLAH]]-NOTA[[#This Row],[DISC 1-]]-NOTA[[#This Row],[DISC 2-]])*NOTA[[#This Row],[DISC 3]])</f>
        <v>0</v>
      </c>
      <c r="AB141" s="37">
        <f>IF(NOTA[[#This Row],[JUMLAH]]="","",NOTA[[#This Row],[DISC 1-]]+NOTA[[#This Row],[DISC 2-]]+NOTA[[#This Row],[DISC 3-]])</f>
        <v>0</v>
      </c>
      <c r="AC141" s="37">
        <f>IF(NOTA[[#This Row],[JUMLAH]]="","",NOTA[[#This Row],[JUMLAH]]-NOTA[[#This Row],[DISC]])</f>
        <v>219800</v>
      </c>
      <c r="AD141" s="37"/>
      <c r="AE14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4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1093200</v>
      </c>
      <c r="AG141" s="28">
        <f>IF(NOTA[[#This Row],[NAMA BARANG]]="","",IF(NOTA[[#This Row],[JUMLAH_H]]="",NOTA[[#This Row],[HARGA/ CTN]],NOTA[[#This Row],[QTY]]*NOTA[[#This Row],[HARGA SATUAN]]/IF(ISNUMBER(NOTA[[#This Row],[C]]),NOTA[[#This Row],[C]],1)))</f>
        <v>219800</v>
      </c>
      <c r="AH141" s="37">
        <f>IF(OR(NOTA[[#This Row],[QTY]]="",NOTA[[#This Row],[HARGA SATUAN]]="",),"",NOTA[[#This Row],[QTY]]*NOTA[[#This Row],[HARGA SATUAN]])</f>
        <v>219800</v>
      </c>
      <c r="AI141" s="26">
        <f ca="1">IF(NOTA[[#This Row],[ID_H]]="","",INDEX(NOTA[TANGGAL],MATCH(,INDIRECT(ADDRESS(ROW(NOTA[TANGGAL]),COLUMN(NOTA[TANGGAL]))&amp;":"&amp;ADDRESS(ROW(),COLUMN(NOTA[TANGGAL]))),-1)))</f>
        <v>45454</v>
      </c>
      <c r="AJ141" s="26">
        <f ca="1">IF(NOTA[[#This Row],[ID_H]]="","",INDEX(NOTA[TGL.NOTA],MATCH(,INDIRECT(ADDRESS(ROW(NOTA[TGL.NOTA]),COLUMN(NOTA[TGL.NOTA]))&amp;":"&amp;ADDRESS(ROW(),COLUMN(NOTA[TGL.NOTA]))),-1)))</f>
        <v>45454</v>
      </c>
      <c r="AK141" s="26" t="str">
        <f ca="1">IF(NOTA[[#This Row],[ID_H]]="","",INDEX(NOTA[NO.NOTA],MATCH(NOTA[[#This Row],[ID_H]],NOTA[ID_H],0)))</f>
        <v>HN062024104</v>
      </c>
      <c r="AL141" s="28" t="str">
        <f ca="1">IF(NOTA[[#This Row],[NAMA BARANG]]="","",INDEX(NOTA[SUPPLIER],MATCH(,INDIRECT(ADDRESS(ROW(NOTA[ID]),COLUMN(NOTA[ID]))&amp;":"&amp;ADDRESS(ROW(),COLUMN(NOTA[ID]))),-1)))</f>
        <v>HANSA</v>
      </c>
      <c r="AM141" s="28" t="str">
        <f ca="1">IF(NOTA[[#This Row],[ID_H]]="","",IF(NOTA[[#This Row],[FAKTUR]]="",INDIRECT(ADDRESS(ROW()-1,COLUMN())),NOTA[[#This Row],[FAKTUR]]))</f>
        <v>UNTANA</v>
      </c>
      <c r="AN141" s="25" t="str">
        <f ca="1">IF(NOTA[[#This Row],[ID]]="","",COUNTIF(NOTA[ID_H],NOTA[[#This Row],[ID_H]]))</f>
        <v/>
      </c>
      <c r="AO141" s="25">
        <f ca="1">IF(NOTA[[#This Row],[TGL.NOTA]]="",IF(NOTA[[#This Row],[SUPPLIER_H]]="","",AO140),MONTH(NOTA[[#This Row],[TGL.NOTA]]))</f>
        <v>6</v>
      </c>
      <c r="AP141" s="25" t="str">
        <f>LOWER(SUBSTITUTE(SUBSTITUTE(SUBSTITUTE(SUBSTITUTE(SUBSTITUTE(SUBSTITUTE(SUBSTITUTE(SUBSTITUTE(SUBSTITUTE(NOTA[[#This Row],[NAMA BARANG]]," ",),".",""),"-",""),"(",""),")",""),",",""),"/",""),"""",""),"+",""))</f>
        <v>malamshintoengjumbopolos</v>
      </c>
      <c r="AQ1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malamshintoengjumbopolos219800</v>
      </c>
      <c r="AR1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malamshintoengjumbopolos10990</v>
      </c>
      <c r="AS1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1" s="25"/>
      <c r="AU141" s="25">
        <f>IF(NOTA[[#This Row],[CONCAT1]]="","",MATCH(NOTA[[#This Row],[CONCAT1]],[3]!db[NB NOTA_C],0))</f>
        <v>2054</v>
      </c>
      <c r="AV141" s="25" t="str">
        <f>IF(NOTA[[#This Row],[QTY/ CTN]]="","",TRUE)</f>
        <v/>
      </c>
      <c r="AW141" s="25" t="str">
        <f ca="1">IF(NOTA[[#This Row],[ID_H]]="","",IF(NOTA[[#This Row],[Column3]]=TRUE,NOTA[[#This Row],[QTY/ CTN]],INDEX([3]!db[QTY/ CTN],NOTA[[#This Row],[//DB]])))</f>
        <v>20 PCS</v>
      </c>
      <c r="AX1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malamshintoengjumbopolos20pcsuntana</v>
      </c>
      <c r="AY141" s="25">
        <f ca="1">IF(NOTA[[#This Row],[ID_H]]="","",MATCH(NOTA[[#This Row],[NB NOTA_C_QTY]],[3]!db[NB NOTA_C_QTY+F],0))</f>
        <v>2054</v>
      </c>
      <c r="AZ141" s="38">
        <f ca="1">IF(NOTA[[#This Row],[NB NOTA_C_QTY]]="","",ROW()-2)</f>
        <v>139</v>
      </c>
    </row>
    <row r="142" spans="1:52" ht="20.100000000000001" customHeight="1">
      <c r="A1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42" s="25" t="str">
        <f ca="1">IF(NOTA[[#This Row],[NAMA BARANG]]="","",INDEX(NOTA[ID],MATCH(,INDIRECT(ADDRESS(ROW(NOTA[ID]),COLUMN(NOTA[ID]))&amp;":"&amp;ADDRESS(ROW(),COLUMN(NOTA[ID]))),-1)))</f>
        <v/>
      </c>
      <c r="E142" s="33"/>
      <c r="H142" s="34"/>
      <c r="Q142" s="29"/>
      <c r="R142" s="35"/>
      <c r="S142" s="36"/>
      <c r="V142" s="37"/>
      <c r="W142" s="32"/>
      <c r="X142" s="37" t="str">
        <f>IF(NOTA[[#This Row],[HARGA/ CTN]]="",NOTA[[#This Row],[JUMLAH_H]],NOTA[[#This Row],[HARGA/ CTN]]*IF(NOTA[[#This Row],[C]]="",0,NOTA[[#This Row],[C]]))</f>
        <v/>
      </c>
      <c r="Y142" s="37" t="str">
        <f>IF(NOTA[[#This Row],[JUMLAH]]="","",NOTA[[#This Row],[JUMLAH]]*NOTA[[#This Row],[DISC 1]])</f>
        <v/>
      </c>
      <c r="Z142" s="37" t="str">
        <f>IF(NOTA[[#This Row],[JUMLAH]]="","",(NOTA[[#This Row],[JUMLAH]]-NOTA[[#This Row],[DISC 1-]])*NOTA[[#This Row],[DISC 2]])</f>
        <v/>
      </c>
      <c r="AA142" s="37" t="str">
        <f>IF(NOTA[[#This Row],[JUMLAH]]="","",(NOTA[[#This Row],[JUMLAH]]-NOTA[[#This Row],[DISC 1-]]-NOTA[[#This Row],[DISC 2-]])*NOTA[[#This Row],[DISC 3]])</f>
        <v/>
      </c>
      <c r="AB142" s="37" t="str">
        <f>IF(NOTA[[#This Row],[JUMLAH]]="","",NOTA[[#This Row],[DISC 1-]]+NOTA[[#This Row],[DISC 2-]]+NOTA[[#This Row],[DISC 3-]])</f>
        <v/>
      </c>
      <c r="AC142" s="37" t="str">
        <f>IF(NOTA[[#This Row],[JUMLAH]]="","",NOTA[[#This Row],[JUMLAH]]-NOTA[[#This Row],[DISC]])</f>
        <v/>
      </c>
      <c r="AD142" s="37"/>
      <c r="AE1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2" s="37" t="str">
        <f>IF(OR(NOTA[[#This Row],[QTY]]="",NOTA[[#This Row],[HARGA SATUAN]]="",),"",NOTA[[#This Row],[QTY]]*NOTA[[#This Row],[HARGA SATUAN]])</f>
        <v/>
      </c>
      <c r="AI142" s="26" t="str">
        <f ca="1">IF(NOTA[[#This Row],[ID_H]]="","",INDEX(NOTA[TANGGAL],MATCH(,INDIRECT(ADDRESS(ROW(NOTA[TANGGAL]),COLUMN(NOTA[TANGGAL]))&amp;":"&amp;ADDRESS(ROW(),COLUMN(NOTA[TANGGAL]))),-1)))</f>
        <v/>
      </c>
      <c r="AJ142" s="26" t="str">
        <f ca="1">IF(NOTA[[#This Row],[ID_H]]="","",INDEX(NOTA[TGL.NOTA],MATCH(,INDIRECT(ADDRESS(ROW(NOTA[TGL.NOTA]),COLUMN(NOTA[TGL.NOTA]))&amp;":"&amp;ADDRESS(ROW(),COLUMN(NOTA[TGL.NOTA]))),-1)))</f>
        <v/>
      </c>
      <c r="AK142" s="26" t="str">
        <f ca="1">IF(NOTA[[#This Row],[ID_H]]="","",INDEX(NOTA[NO.NOTA],MATCH(NOTA[[#This Row],[ID_H]],NOTA[ID_H],0)))</f>
        <v/>
      </c>
      <c r="AL142" s="28" t="str">
        <f ca="1">IF(NOTA[[#This Row],[NAMA BARANG]]="","",INDEX(NOTA[SUPPLIER],MATCH(,INDIRECT(ADDRESS(ROW(NOTA[ID]),COLUMN(NOTA[ID]))&amp;":"&amp;ADDRESS(ROW(),COLUMN(NOTA[ID]))),-1)))</f>
        <v/>
      </c>
      <c r="AM142" s="28" t="str">
        <f ca="1">IF(NOTA[[#This Row],[ID_H]]="","",IF(NOTA[[#This Row],[FAKTUR]]="",INDIRECT(ADDRESS(ROW()-1,COLUMN())),NOTA[[#This Row],[FAKTUR]]))</f>
        <v/>
      </c>
      <c r="AN142" s="25" t="str">
        <f ca="1">IF(NOTA[[#This Row],[ID]]="","",COUNTIF(NOTA[ID_H],NOTA[[#This Row],[ID_H]]))</f>
        <v/>
      </c>
      <c r="AO142" s="25" t="str">
        <f ca="1">IF(NOTA[[#This Row],[TGL.NOTA]]="",IF(NOTA[[#This Row],[SUPPLIER_H]]="","",AO141),MONTH(NOTA[[#This Row],[TGL.NOTA]]))</f>
        <v/>
      </c>
      <c r="AP1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2" s="25"/>
      <c r="AU142" s="25" t="str">
        <f>IF(NOTA[[#This Row],[CONCAT1]]="","",MATCH(NOTA[[#This Row],[CONCAT1]],[3]!db[NB NOTA_C],0))</f>
        <v/>
      </c>
      <c r="AV142" s="25" t="str">
        <f>IF(NOTA[[#This Row],[QTY/ CTN]]="","",TRUE)</f>
        <v/>
      </c>
      <c r="AW142" s="25" t="str">
        <f ca="1">IF(NOTA[[#This Row],[ID_H]]="","",IF(NOTA[[#This Row],[Column3]]=TRUE,NOTA[[#This Row],[QTY/ CTN]],INDEX([3]!db[QTY/ CTN],NOTA[[#This Row],[//DB]])))</f>
        <v/>
      </c>
      <c r="AX1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2" s="25" t="str">
        <f ca="1">IF(NOTA[[#This Row],[ID_H]]="","",MATCH(NOTA[[#This Row],[NB NOTA_C_QTY]],[3]!db[NB NOTA_C_QTY+F],0))</f>
        <v/>
      </c>
      <c r="AZ142" s="38" t="str">
        <f ca="1">IF(NOTA[[#This Row],[NB NOTA_C_QTY]]="","",ROW()-2)</f>
        <v/>
      </c>
    </row>
    <row r="143" spans="1:52" ht="20.100000000000001" customHeight="1">
      <c r="A143" s="28">
        <f ca="1">IF(INDIRECT(ADDRESS(ROW()-1,COLUMN(NOTA[[#Headers],[ID]])))="ID",1,IF(NOTA[[#This Row],[FAKTUR]]="","",COUNT(INDIRECT(ADDRESS(ROW(NOTA[ID]),COLUMN(NOTA[ID]))&amp;":"&amp;ADDRESS(ROW()-1,COLUMN(NOTA[ID]))))+1))</f>
        <v>35</v>
      </c>
      <c r="B14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YUS_1406_027-3</v>
      </c>
      <c r="D143" s="25">
        <f ca="1">IF(NOTA[[#This Row],[NAMA BARANG]]="","",INDEX(NOTA[ID],MATCH(,INDIRECT(ADDRESS(ROW(NOTA[ID]),COLUMN(NOTA[ID]))&amp;":"&amp;ADDRESS(ROW(),COLUMN(NOTA[ID]))),-1)))</f>
        <v>35</v>
      </c>
      <c r="E143" s="33">
        <v>45457</v>
      </c>
      <c r="F143" s="25" t="s">
        <v>290</v>
      </c>
      <c r="G143" s="25" t="s">
        <v>109</v>
      </c>
      <c r="H143" s="34" t="s">
        <v>362</v>
      </c>
      <c r="J143" s="26">
        <v>45454</v>
      </c>
      <c r="L143" s="25" t="s">
        <v>363</v>
      </c>
      <c r="M143" s="27">
        <v>2</v>
      </c>
      <c r="N143" s="25">
        <v>214</v>
      </c>
      <c r="O143" s="25" t="s">
        <v>110</v>
      </c>
      <c r="P143" s="28">
        <v>72000</v>
      </c>
      <c r="Q143" s="29"/>
      <c r="R143" s="35" t="s">
        <v>366</v>
      </c>
      <c r="S143" s="36">
        <v>0.2</v>
      </c>
      <c r="V143" s="37"/>
      <c r="W143" s="32" t="s">
        <v>367</v>
      </c>
      <c r="X143" s="37">
        <f>IF(NOTA[[#This Row],[HARGA/ CTN]]="",NOTA[[#This Row],[JUMLAH_H]],NOTA[[#This Row],[HARGA/ CTN]]*IF(NOTA[[#This Row],[C]]="",0,NOTA[[#This Row],[C]]))</f>
        <v>15408000</v>
      </c>
      <c r="Y143" s="37">
        <f>IF(NOTA[[#This Row],[JUMLAH]]="","",NOTA[[#This Row],[JUMLAH]]*NOTA[[#This Row],[DISC 1]])</f>
        <v>3081600</v>
      </c>
      <c r="Z143" s="37">
        <f>IF(NOTA[[#This Row],[JUMLAH]]="","",(NOTA[[#This Row],[JUMLAH]]-NOTA[[#This Row],[DISC 1-]])*NOTA[[#This Row],[DISC 2]])</f>
        <v>0</v>
      </c>
      <c r="AA143" s="37">
        <f>IF(NOTA[[#This Row],[JUMLAH]]="","",(NOTA[[#This Row],[JUMLAH]]-NOTA[[#This Row],[DISC 1-]]-NOTA[[#This Row],[DISC 2-]])*NOTA[[#This Row],[DISC 3]])</f>
        <v>0</v>
      </c>
      <c r="AB143" s="37">
        <f>IF(NOTA[[#This Row],[JUMLAH]]="","",NOTA[[#This Row],[DISC 1-]]+NOTA[[#This Row],[DISC 2-]]+NOTA[[#This Row],[DISC 3-]])</f>
        <v>3081600</v>
      </c>
      <c r="AC143" s="37">
        <f>IF(NOTA[[#This Row],[JUMLAH]]="","",NOTA[[#This Row],[JUMLAH]]-NOTA[[#This Row],[DISC]])</f>
        <v>12326400</v>
      </c>
      <c r="AD143" s="37"/>
      <c r="AE1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3" s="28">
        <f>IF(NOTA[[#This Row],[NAMA BARANG]]="","",IF(NOTA[[#This Row],[JUMLAH_H]]="",NOTA[[#This Row],[HARGA/ CTN]],NOTA[[#This Row],[QTY]]*NOTA[[#This Row],[HARGA SATUAN]]/IF(ISNUMBER(NOTA[[#This Row],[C]]),NOTA[[#This Row],[C]],1)))</f>
        <v>7704000</v>
      </c>
      <c r="AH143" s="37">
        <f>IF(OR(NOTA[[#This Row],[QTY]]="",NOTA[[#This Row],[HARGA SATUAN]]="",),"",NOTA[[#This Row],[QTY]]*NOTA[[#This Row],[HARGA SATUAN]])</f>
        <v>15408000</v>
      </c>
      <c r="AI143" s="26">
        <f ca="1">IF(NOTA[[#This Row],[ID_H]]="","",INDEX(NOTA[TANGGAL],MATCH(,INDIRECT(ADDRESS(ROW(NOTA[TANGGAL]),COLUMN(NOTA[TANGGAL]))&amp;":"&amp;ADDRESS(ROW(),COLUMN(NOTA[TANGGAL]))),-1)))</f>
        <v>45457</v>
      </c>
      <c r="AJ143" s="26">
        <f ca="1">IF(NOTA[[#This Row],[ID_H]]="","",INDEX(NOTA[TGL.NOTA],MATCH(,INDIRECT(ADDRESS(ROW(NOTA[TGL.NOTA]),COLUMN(NOTA[TGL.NOTA]))&amp;":"&amp;ADDRESS(ROW(),COLUMN(NOTA[TGL.NOTA]))),-1)))</f>
        <v>45454</v>
      </c>
      <c r="AK143" s="26" t="str">
        <f ca="1">IF(NOTA[[#This Row],[ID_H]]="","",INDEX(NOTA[NO.NOTA],MATCH(NOTA[[#This Row],[ID_H]],NOTA[ID_H],0)))</f>
        <v>24/YS/VI/027</v>
      </c>
      <c r="AL143" s="28" t="str">
        <f ca="1">IF(NOTA[[#This Row],[NAMA BARANG]]="","",INDEX(NOTA[SUPPLIER],MATCH(,INDIRECT(ADDRESS(ROW(NOTA[ID]),COLUMN(NOTA[ID]))&amp;":"&amp;ADDRESS(ROW(),COLUMN(NOTA[ID]))),-1)))</f>
        <v>YUSHINCA</v>
      </c>
      <c r="AM143" s="28" t="str">
        <f ca="1">IF(NOTA[[#This Row],[ID_H]]="","",IF(NOTA[[#This Row],[FAKTUR]]="",INDIRECT(ADDRESS(ROW()-1,COLUMN())),NOTA[[#This Row],[FAKTUR]]))</f>
        <v>UNTANA</v>
      </c>
      <c r="AN143" s="25">
        <f ca="1">IF(NOTA[[#This Row],[ID]]="","",COUNTIF(NOTA[ID_H],NOTA[[#This Row],[ID_H]]))</f>
        <v>3</v>
      </c>
      <c r="AO143" s="25">
        <f>IF(NOTA[[#This Row],[TGL.NOTA]]="",IF(NOTA[[#This Row],[SUPPLIER_H]]="","",AO142),MONTH(NOTA[[#This Row],[TGL.NOTA]]))</f>
        <v>6</v>
      </c>
      <c r="AP143" s="25" t="str">
        <f>LOWER(SUBSTITUTE(SUBSTITUTE(SUBSTITUTE(SUBSTITUTE(SUBSTITUTE(SUBSTITUTE(SUBSTITUTE(SUBSTITUTE(SUBSTITUTE(NOTA[[#This Row],[NAMA BARANG]]," ",),".",""),"-",""),"(",""),")",""),",",""),"/",""),"""",""),"+",""))</f>
        <v>zipperbagfancyrb127dlresletingkain</v>
      </c>
      <c r="AQ1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zipperbagfancyrb127dlresletingkain77040000,2</v>
      </c>
      <c r="AR1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zipperbagfancyrb127dlresletingkain77040000,2</v>
      </c>
      <c r="AS143" s="25" t="str">
        <f>IF(NOTA[[#This Row],[SUPPLIER]]="","",NOTA[[#This Row],[SUPPLIER]]&amp;NOTA[[#This Row],[FAKTUR]]&amp;NOTA[[#This Row],[NO.NOTA]]&amp;NOTA[[#This Row],[NO.SJ]]&amp;NOTA[[#This Row],[TGL.NOTA]]&amp;NOTA[[#This Row],[CONCAT1]])</f>
        <v>YUSHINCAUNTANA24/YS/VI/02745454zipperbagfancyrb127dlresletingkain</v>
      </c>
      <c r="AT143" s="25"/>
      <c r="AU143" s="25">
        <f>IF(NOTA[[#This Row],[CONCAT1]]="","",MATCH(NOTA[[#This Row],[CONCAT1]],[3]!db[NB NOTA_C],0))</f>
        <v>3447</v>
      </c>
      <c r="AV143" s="25" t="b">
        <f>IF(NOTA[[#This Row],[QTY/ CTN]]="","",TRUE)</f>
        <v>1</v>
      </c>
      <c r="AW143" s="25" t="str">
        <f ca="1">IF(NOTA[[#This Row],[ID_H]]="","",IF(NOTA[[#This Row],[Column3]]=TRUE,NOTA[[#This Row],[QTY/ CTN]],INDEX([3]!db[QTY/ CTN],NOTA[[#This Row],[//DB]])))</f>
        <v>30 LSN</v>
      </c>
      <c r="AX1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zipperbagfancyrb127dlresletingkain30lsnuntana</v>
      </c>
      <c r="AY143" s="25" t="e">
        <f ca="1">IF(NOTA[[#This Row],[ID_H]]="","",MATCH(NOTA[[#This Row],[NB NOTA_C_QTY]],[3]!db[NB NOTA_C_QTY+F],0))</f>
        <v>#N/A</v>
      </c>
      <c r="AZ143" s="38">
        <f ca="1">IF(NOTA[[#This Row],[NB NOTA_C_QTY]]="","",ROW()-2)</f>
        <v>141</v>
      </c>
    </row>
    <row r="144" spans="1:52" ht="20.100000000000001" customHeight="1">
      <c r="A1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44" s="25">
        <f ca="1">IF(NOTA[[#This Row],[NAMA BARANG]]="","",INDEX(NOTA[ID],MATCH(,INDIRECT(ADDRESS(ROW(NOTA[ID]),COLUMN(NOTA[ID]))&amp;":"&amp;ADDRESS(ROW(),COLUMN(NOTA[ID]))),-1)))</f>
        <v>35</v>
      </c>
      <c r="E144" s="33"/>
      <c r="H144" s="34"/>
      <c r="L144" s="25" t="s">
        <v>364</v>
      </c>
      <c r="N144" s="25">
        <v>97</v>
      </c>
      <c r="O144" s="25" t="s">
        <v>110</v>
      </c>
      <c r="P144" s="28">
        <v>117000</v>
      </c>
      <c r="Q144" s="29"/>
      <c r="R144" s="35" t="s">
        <v>366</v>
      </c>
      <c r="S144" s="36">
        <v>0.2</v>
      </c>
      <c r="V144" s="37"/>
      <c r="W144" s="32" t="s">
        <v>368</v>
      </c>
      <c r="X144" s="37">
        <f>IF(NOTA[[#This Row],[HARGA/ CTN]]="",NOTA[[#This Row],[JUMLAH_H]],NOTA[[#This Row],[HARGA/ CTN]]*IF(NOTA[[#This Row],[C]]="",0,NOTA[[#This Row],[C]]))</f>
        <v>11349000</v>
      </c>
      <c r="Y144" s="37">
        <f>IF(NOTA[[#This Row],[JUMLAH]]="","",NOTA[[#This Row],[JUMLAH]]*NOTA[[#This Row],[DISC 1]])</f>
        <v>2269800</v>
      </c>
      <c r="Z144" s="37">
        <f>IF(NOTA[[#This Row],[JUMLAH]]="","",(NOTA[[#This Row],[JUMLAH]]-NOTA[[#This Row],[DISC 1-]])*NOTA[[#This Row],[DISC 2]])</f>
        <v>0</v>
      </c>
      <c r="AA144" s="37">
        <f>IF(NOTA[[#This Row],[JUMLAH]]="","",(NOTA[[#This Row],[JUMLAH]]-NOTA[[#This Row],[DISC 1-]]-NOTA[[#This Row],[DISC 2-]])*NOTA[[#This Row],[DISC 3]])</f>
        <v>0</v>
      </c>
      <c r="AB144" s="37">
        <f>IF(NOTA[[#This Row],[JUMLAH]]="","",NOTA[[#This Row],[DISC 1-]]+NOTA[[#This Row],[DISC 2-]]+NOTA[[#This Row],[DISC 3-]])</f>
        <v>2269800</v>
      </c>
      <c r="AC144" s="37">
        <f>IF(NOTA[[#This Row],[JUMLAH]]="","",NOTA[[#This Row],[JUMLAH]]-NOTA[[#This Row],[DISC]])</f>
        <v>9079200</v>
      </c>
      <c r="AD144" s="37"/>
      <c r="AE1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4" s="28">
        <f>IF(NOTA[[#This Row],[NAMA BARANG]]="","",IF(NOTA[[#This Row],[JUMLAH_H]]="",NOTA[[#This Row],[HARGA/ CTN]],NOTA[[#This Row],[QTY]]*NOTA[[#This Row],[HARGA SATUAN]]/IF(ISNUMBER(NOTA[[#This Row],[C]]),NOTA[[#This Row],[C]],1)))</f>
        <v>11349000</v>
      </c>
      <c r="AH144" s="37">
        <f>IF(OR(NOTA[[#This Row],[QTY]]="",NOTA[[#This Row],[HARGA SATUAN]]="",),"",NOTA[[#This Row],[QTY]]*NOTA[[#This Row],[HARGA SATUAN]])</f>
        <v>11349000</v>
      </c>
      <c r="AI144" s="26">
        <f ca="1">IF(NOTA[[#This Row],[ID_H]]="","",INDEX(NOTA[TANGGAL],MATCH(,INDIRECT(ADDRESS(ROW(NOTA[TANGGAL]),COLUMN(NOTA[TANGGAL]))&amp;":"&amp;ADDRESS(ROW(),COLUMN(NOTA[TANGGAL]))),-1)))</f>
        <v>45457</v>
      </c>
      <c r="AJ144" s="26">
        <f ca="1">IF(NOTA[[#This Row],[ID_H]]="","",INDEX(NOTA[TGL.NOTA],MATCH(,INDIRECT(ADDRESS(ROW(NOTA[TGL.NOTA]),COLUMN(NOTA[TGL.NOTA]))&amp;":"&amp;ADDRESS(ROW(),COLUMN(NOTA[TGL.NOTA]))),-1)))</f>
        <v>45454</v>
      </c>
      <c r="AK144" s="26" t="str">
        <f ca="1">IF(NOTA[[#This Row],[ID_H]]="","",INDEX(NOTA[NO.NOTA],MATCH(NOTA[[#This Row],[ID_H]],NOTA[ID_H],0)))</f>
        <v>24/YS/VI/027</v>
      </c>
      <c r="AL144" s="28" t="str">
        <f ca="1">IF(NOTA[[#This Row],[NAMA BARANG]]="","",INDEX(NOTA[SUPPLIER],MATCH(,INDIRECT(ADDRESS(ROW(NOTA[ID]),COLUMN(NOTA[ID]))&amp;":"&amp;ADDRESS(ROW(),COLUMN(NOTA[ID]))),-1)))</f>
        <v>YUSHINCA</v>
      </c>
      <c r="AM144" s="28" t="str">
        <f ca="1">IF(NOTA[[#This Row],[ID_H]]="","",IF(NOTA[[#This Row],[FAKTUR]]="",INDIRECT(ADDRESS(ROW()-1,COLUMN())),NOTA[[#This Row],[FAKTUR]]))</f>
        <v>UNTANA</v>
      </c>
      <c r="AN144" s="25" t="str">
        <f ca="1">IF(NOTA[[#This Row],[ID]]="","",COUNTIF(NOTA[ID_H],NOTA[[#This Row],[ID_H]]))</f>
        <v/>
      </c>
      <c r="AO144" s="25">
        <f ca="1">IF(NOTA[[#This Row],[TGL.NOTA]]="",IF(NOTA[[#This Row],[SUPPLIER_H]]="","",AO143),MONTH(NOTA[[#This Row],[TGL.NOTA]]))</f>
        <v>6</v>
      </c>
      <c r="AP144" s="25" t="str">
        <f>LOWER(SUBSTITUTE(SUBSTITUTE(SUBSTITUTE(SUBSTITUTE(SUBSTITUTE(SUBSTITUTE(SUBSTITUTE(SUBSTITUTE(SUBSTITUTE(NOTA[[#This Row],[NAMA BARANG]]," ",),".",""),"-",""),"(",""),")",""),",",""),"/",""),"""",""),"+",""))</f>
        <v>zipperbagfancyrb129a4resletingkain</v>
      </c>
      <c r="AQ1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zipperbagfancyrb129a4resletingkain113490000,2</v>
      </c>
      <c r="AR1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zipperbagfancyrb129a4resletingkain1170000,2</v>
      </c>
      <c r="AS1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4" s="25"/>
      <c r="AU144" s="25">
        <f>IF(NOTA[[#This Row],[CONCAT1]]="","",MATCH(NOTA[[#This Row],[CONCAT1]],[3]!db[NB NOTA_C],0))</f>
        <v>3448</v>
      </c>
      <c r="AV144" s="25" t="b">
        <f>IF(NOTA[[#This Row],[QTY/ CTN]]="","",TRUE)</f>
        <v>1</v>
      </c>
      <c r="AW144" s="25" t="str">
        <f ca="1">IF(NOTA[[#This Row],[ID_H]]="","",IF(NOTA[[#This Row],[Column3]]=TRUE,NOTA[[#This Row],[QTY/ CTN]],INDEX([3]!db[QTY/ CTN],NOTA[[#This Row],[//DB]])))</f>
        <v>30 LSN</v>
      </c>
      <c r="AX1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zipperbagfancyrb129a4resletingkain30lsnuntana</v>
      </c>
      <c r="AY144" s="25" t="e">
        <f ca="1">IF(NOTA[[#This Row],[ID_H]]="","",MATCH(NOTA[[#This Row],[NB NOTA_C_QTY]],[3]!db[NB NOTA_C_QTY+F],0))</f>
        <v>#N/A</v>
      </c>
      <c r="AZ144" s="38">
        <f ca="1">IF(NOTA[[#This Row],[NB NOTA_C_QTY]]="","",ROW()-2)</f>
        <v>142</v>
      </c>
    </row>
    <row r="145" spans="1:52" ht="20.100000000000001" customHeight="1">
      <c r="A1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45" s="25">
        <f ca="1">IF(NOTA[[#This Row],[NAMA BARANG]]="","",INDEX(NOTA[ID],MATCH(,INDIRECT(ADDRESS(ROW(NOTA[ID]),COLUMN(NOTA[ID]))&amp;":"&amp;ADDRESS(ROW(),COLUMN(NOTA[ID]))),-1)))</f>
        <v>35</v>
      </c>
      <c r="E145" s="33"/>
      <c r="H145" s="34"/>
      <c r="L145" s="25" t="s">
        <v>365</v>
      </c>
      <c r="M145" s="27">
        <v>1</v>
      </c>
      <c r="N145" s="25">
        <v>52</v>
      </c>
      <c r="O145" s="25" t="s">
        <v>110</v>
      </c>
      <c r="P145" s="28">
        <v>132000</v>
      </c>
      <c r="Q145" s="29"/>
      <c r="R145" s="35" t="s">
        <v>366</v>
      </c>
      <c r="S145" s="36">
        <v>0.2</v>
      </c>
      <c r="V145" s="37"/>
      <c r="W145" s="32"/>
      <c r="X145" s="37">
        <f>IF(NOTA[[#This Row],[HARGA/ CTN]]="",NOTA[[#This Row],[JUMLAH_H]],NOTA[[#This Row],[HARGA/ CTN]]*IF(NOTA[[#This Row],[C]]="",0,NOTA[[#This Row],[C]]))</f>
        <v>6864000</v>
      </c>
      <c r="Y145" s="37">
        <f>IF(NOTA[[#This Row],[JUMLAH]]="","",NOTA[[#This Row],[JUMLAH]]*NOTA[[#This Row],[DISC 1]])</f>
        <v>1372800</v>
      </c>
      <c r="Z145" s="37">
        <f>IF(NOTA[[#This Row],[JUMLAH]]="","",(NOTA[[#This Row],[JUMLAH]]-NOTA[[#This Row],[DISC 1-]])*NOTA[[#This Row],[DISC 2]])</f>
        <v>0</v>
      </c>
      <c r="AA145" s="37">
        <f>IF(NOTA[[#This Row],[JUMLAH]]="","",(NOTA[[#This Row],[JUMLAH]]-NOTA[[#This Row],[DISC 1-]]-NOTA[[#This Row],[DISC 2-]])*NOTA[[#This Row],[DISC 3]])</f>
        <v>0</v>
      </c>
      <c r="AB145" s="37">
        <f>IF(NOTA[[#This Row],[JUMLAH]]="","",NOTA[[#This Row],[DISC 1-]]+NOTA[[#This Row],[DISC 2-]]+NOTA[[#This Row],[DISC 3-]])</f>
        <v>1372800</v>
      </c>
      <c r="AC145" s="37">
        <f>IF(NOTA[[#This Row],[JUMLAH]]="","",NOTA[[#This Row],[JUMLAH]]-NOTA[[#This Row],[DISC]])</f>
        <v>5491200</v>
      </c>
      <c r="AD145" s="37"/>
      <c r="AE14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6724200</v>
      </c>
      <c r="AF14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26896800</v>
      </c>
      <c r="AG145" s="28">
        <f>IF(NOTA[[#This Row],[NAMA BARANG]]="","",IF(NOTA[[#This Row],[JUMLAH_H]]="",NOTA[[#This Row],[HARGA/ CTN]],NOTA[[#This Row],[QTY]]*NOTA[[#This Row],[HARGA SATUAN]]/IF(ISNUMBER(NOTA[[#This Row],[C]]),NOTA[[#This Row],[C]],1)))</f>
        <v>6864000</v>
      </c>
      <c r="AH145" s="37">
        <f>IF(OR(NOTA[[#This Row],[QTY]]="",NOTA[[#This Row],[HARGA SATUAN]]="",),"",NOTA[[#This Row],[QTY]]*NOTA[[#This Row],[HARGA SATUAN]])</f>
        <v>6864000</v>
      </c>
      <c r="AI145" s="26">
        <f ca="1">IF(NOTA[[#This Row],[ID_H]]="","",INDEX(NOTA[TANGGAL],MATCH(,INDIRECT(ADDRESS(ROW(NOTA[TANGGAL]),COLUMN(NOTA[TANGGAL]))&amp;":"&amp;ADDRESS(ROW(),COLUMN(NOTA[TANGGAL]))),-1)))</f>
        <v>45457</v>
      </c>
      <c r="AJ145" s="26">
        <f ca="1">IF(NOTA[[#This Row],[ID_H]]="","",INDEX(NOTA[TGL.NOTA],MATCH(,INDIRECT(ADDRESS(ROW(NOTA[TGL.NOTA]),COLUMN(NOTA[TGL.NOTA]))&amp;":"&amp;ADDRESS(ROW(),COLUMN(NOTA[TGL.NOTA]))),-1)))</f>
        <v>45454</v>
      </c>
      <c r="AK145" s="26" t="str">
        <f ca="1">IF(NOTA[[#This Row],[ID_H]]="","",INDEX(NOTA[NO.NOTA],MATCH(NOTA[[#This Row],[ID_H]],NOTA[ID_H],0)))</f>
        <v>24/YS/VI/027</v>
      </c>
      <c r="AL145" s="28" t="str">
        <f ca="1">IF(NOTA[[#This Row],[NAMA BARANG]]="","",INDEX(NOTA[SUPPLIER],MATCH(,INDIRECT(ADDRESS(ROW(NOTA[ID]),COLUMN(NOTA[ID]))&amp;":"&amp;ADDRESS(ROW(),COLUMN(NOTA[ID]))),-1)))</f>
        <v>YUSHINCA</v>
      </c>
      <c r="AM145" s="28" t="str">
        <f ca="1">IF(NOTA[[#This Row],[ID_H]]="","",IF(NOTA[[#This Row],[FAKTUR]]="",INDIRECT(ADDRESS(ROW()-1,COLUMN())),NOTA[[#This Row],[FAKTUR]]))</f>
        <v>UNTANA</v>
      </c>
      <c r="AN145" s="25" t="str">
        <f ca="1">IF(NOTA[[#This Row],[ID]]="","",COUNTIF(NOTA[ID_H],NOTA[[#This Row],[ID_H]]))</f>
        <v/>
      </c>
      <c r="AO145" s="25">
        <f ca="1">IF(NOTA[[#This Row],[TGL.NOTA]]="",IF(NOTA[[#This Row],[SUPPLIER_H]]="","",AO144),MONTH(NOTA[[#This Row],[TGL.NOTA]]))</f>
        <v>6</v>
      </c>
      <c r="AP145" s="25" t="str">
        <f>LOWER(SUBSTITUTE(SUBSTITUTE(SUBSTITUTE(SUBSTITUTE(SUBSTITUTE(SUBSTITUTE(SUBSTITUTE(SUBSTITUTE(SUBSTITUTE(NOTA[[#This Row],[NAMA BARANG]]," ",),".",""),"-",""),"(",""),")",""),",",""),"/",""),"""",""),"+",""))</f>
        <v>zipperbagfancyrb130b4resletingkain</v>
      </c>
      <c r="AQ1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zipperbagfancyrb130b4resletingkain68640000,2</v>
      </c>
      <c r="AR1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zipperbagfancyrb130b4resletingkain68640000,2</v>
      </c>
      <c r="AS1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5" s="25"/>
      <c r="AU145" s="25">
        <f>IF(NOTA[[#This Row],[CONCAT1]]="","",MATCH(NOTA[[#This Row],[CONCAT1]],[3]!db[NB NOTA_C],0))</f>
        <v>3449</v>
      </c>
      <c r="AV145" s="25" t="b">
        <f>IF(NOTA[[#This Row],[QTY/ CTN]]="","",TRUE)</f>
        <v>1</v>
      </c>
      <c r="AW145" s="25" t="str">
        <f ca="1">IF(NOTA[[#This Row],[ID_H]]="","",IF(NOTA[[#This Row],[Column3]]=TRUE,NOTA[[#This Row],[QTY/ CTN]],INDEX([3]!db[QTY/ CTN],NOTA[[#This Row],[//DB]])))</f>
        <v>30 LSN</v>
      </c>
      <c r="AX1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zipperbagfancyrb130b4resletingkain30lsnuntana</v>
      </c>
      <c r="AY145" s="25" t="e">
        <f ca="1">IF(NOTA[[#This Row],[ID_H]]="","",MATCH(NOTA[[#This Row],[NB NOTA_C_QTY]],[3]!db[NB NOTA_C_QTY+F],0))</f>
        <v>#N/A</v>
      </c>
      <c r="AZ145" s="38">
        <f ca="1">IF(NOTA[[#This Row],[NB NOTA_C_QTY]]="","",ROW()-2)</f>
        <v>143</v>
      </c>
    </row>
    <row r="146" spans="1:52" ht="20.100000000000001" customHeight="1">
      <c r="A1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46" s="25" t="str">
        <f ca="1">IF(NOTA[[#This Row],[NAMA BARANG]]="","",INDEX(NOTA[ID],MATCH(,INDIRECT(ADDRESS(ROW(NOTA[ID]),COLUMN(NOTA[ID]))&amp;":"&amp;ADDRESS(ROW(),COLUMN(NOTA[ID]))),-1)))</f>
        <v/>
      </c>
      <c r="E146" s="33"/>
      <c r="H146" s="34"/>
      <c r="Q146" s="29"/>
      <c r="R146" s="35"/>
      <c r="S146" s="36"/>
      <c r="V146" s="37"/>
      <c r="W146" s="32"/>
      <c r="X146" s="37" t="str">
        <f>IF(NOTA[[#This Row],[HARGA/ CTN]]="",NOTA[[#This Row],[JUMLAH_H]],NOTA[[#This Row],[HARGA/ CTN]]*IF(NOTA[[#This Row],[C]]="",0,NOTA[[#This Row],[C]]))</f>
        <v/>
      </c>
      <c r="Y146" s="37" t="str">
        <f>IF(NOTA[[#This Row],[JUMLAH]]="","",NOTA[[#This Row],[JUMLAH]]*NOTA[[#This Row],[DISC 1]])</f>
        <v/>
      </c>
      <c r="Z146" s="37" t="str">
        <f>IF(NOTA[[#This Row],[JUMLAH]]="","",(NOTA[[#This Row],[JUMLAH]]-NOTA[[#This Row],[DISC 1-]])*NOTA[[#This Row],[DISC 2]])</f>
        <v/>
      </c>
      <c r="AA146" s="37" t="str">
        <f>IF(NOTA[[#This Row],[JUMLAH]]="","",(NOTA[[#This Row],[JUMLAH]]-NOTA[[#This Row],[DISC 1-]]-NOTA[[#This Row],[DISC 2-]])*NOTA[[#This Row],[DISC 3]])</f>
        <v/>
      </c>
      <c r="AB146" s="37" t="str">
        <f>IF(NOTA[[#This Row],[JUMLAH]]="","",NOTA[[#This Row],[DISC 1-]]+NOTA[[#This Row],[DISC 2-]]+NOTA[[#This Row],[DISC 3-]])</f>
        <v/>
      </c>
      <c r="AC146" s="37" t="str">
        <f>IF(NOTA[[#This Row],[JUMLAH]]="","",NOTA[[#This Row],[JUMLAH]]-NOTA[[#This Row],[DISC]])</f>
        <v/>
      </c>
      <c r="AD146" s="37"/>
      <c r="AE1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6" s="37" t="str">
        <f>IF(OR(NOTA[[#This Row],[QTY]]="",NOTA[[#This Row],[HARGA SATUAN]]="",),"",NOTA[[#This Row],[QTY]]*NOTA[[#This Row],[HARGA SATUAN]])</f>
        <v/>
      </c>
      <c r="AI146" s="26" t="str">
        <f ca="1">IF(NOTA[[#This Row],[ID_H]]="","",INDEX(NOTA[TANGGAL],MATCH(,INDIRECT(ADDRESS(ROW(NOTA[TANGGAL]),COLUMN(NOTA[TANGGAL]))&amp;":"&amp;ADDRESS(ROW(),COLUMN(NOTA[TANGGAL]))),-1)))</f>
        <v/>
      </c>
      <c r="AJ146" s="26" t="str">
        <f ca="1">IF(NOTA[[#This Row],[ID_H]]="","",INDEX(NOTA[TGL.NOTA],MATCH(,INDIRECT(ADDRESS(ROW(NOTA[TGL.NOTA]),COLUMN(NOTA[TGL.NOTA]))&amp;":"&amp;ADDRESS(ROW(),COLUMN(NOTA[TGL.NOTA]))),-1)))</f>
        <v/>
      </c>
      <c r="AK146" s="26" t="str">
        <f ca="1">IF(NOTA[[#This Row],[ID_H]]="","",INDEX(NOTA[NO.NOTA],MATCH(NOTA[[#This Row],[ID_H]],NOTA[ID_H],0)))</f>
        <v/>
      </c>
      <c r="AL146" s="28" t="str">
        <f ca="1">IF(NOTA[[#This Row],[NAMA BARANG]]="","",INDEX(NOTA[SUPPLIER],MATCH(,INDIRECT(ADDRESS(ROW(NOTA[ID]),COLUMN(NOTA[ID]))&amp;":"&amp;ADDRESS(ROW(),COLUMN(NOTA[ID]))),-1)))</f>
        <v/>
      </c>
      <c r="AM146" s="28" t="str">
        <f ca="1">IF(NOTA[[#This Row],[ID_H]]="","",IF(NOTA[[#This Row],[FAKTUR]]="",INDIRECT(ADDRESS(ROW()-1,COLUMN())),NOTA[[#This Row],[FAKTUR]]))</f>
        <v/>
      </c>
      <c r="AN146" s="25" t="str">
        <f ca="1">IF(NOTA[[#This Row],[ID]]="","",COUNTIF(NOTA[ID_H],NOTA[[#This Row],[ID_H]]))</f>
        <v/>
      </c>
      <c r="AO146" s="25" t="str">
        <f ca="1">IF(NOTA[[#This Row],[TGL.NOTA]]="",IF(NOTA[[#This Row],[SUPPLIER_H]]="","",AO145),MONTH(NOTA[[#This Row],[TGL.NOTA]]))</f>
        <v/>
      </c>
      <c r="AP1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6" s="25"/>
      <c r="AU146" s="25" t="str">
        <f>IF(NOTA[[#This Row],[CONCAT1]]="","",MATCH(NOTA[[#This Row],[CONCAT1]],[3]!db[NB NOTA_C],0))</f>
        <v/>
      </c>
      <c r="AV146" s="25" t="str">
        <f>IF(NOTA[[#This Row],[QTY/ CTN]]="","",TRUE)</f>
        <v/>
      </c>
      <c r="AW146" s="25" t="str">
        <f ca="1">IF(NOTA[[#This Row],[ID_H]]="","",IF(NOTA[[#This Row],[Column3]]=TRUE,NOTA[[#This Row],[QTY/ CTN]],INDEX([3]!db[QTY/ CTN],NOTA[[#This Row],[//DB]])))</f>
        <v/>
      </c>
      <c r="AX1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6" s="25" t="str">
        <f ca="1">IF(NOTA[[#This Row],[ID_H]]="","",MATCH(NOTA[[#This Row],[NB NOTA_C_QTY]],[3]!db[NB NOTA_C_QTY+F],0))</f>
        <v/>
      </c>
      <c r="AZ146" s="38" t="str">
        <f ca="1">IF(NOTA[[#This Row],[NB NOTA_C_QTY]]="","",ROW()-2)</f>
        <v/>
      </c>
    </row>
    <row r="147" spans="1:52" ht="20.100000000000001" customHeight="1">
      <c r="A147" s="28">
        <f ca="1">IF(INDIRECT(ADDRESS(ROW()-1,COLUMN(NOTA[[#Headers],[ID]])))="ID",1,IF(NOTA[[#This Row],[FAKTUR]]="","",COUNT(INDIRECT(ADDRESS(ROW(NOTA[ID]),COLUMN(NOTA[ID]))&amp;":"&amp;ADDRESS(ROW()-1,COLUMN(NOTA[ID]))))+1))</f>
        <v>36</v>
      </c>
      <c r="B14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ETJ_1406_324-12</v>
      </c>
      <c r="D147" s="25">
        <f ca="1">IF(NOTA[[#This Row],[NAMA BARANG]]="","",INDEX(NOTA[ID],MATCH(,INDIRECT(ADDRESS(ROW(NOTA[ID]),COLUMN(NOTA[ID]))&amp;":"&amp;ADDRESS(ROW(),COLUMN(NOTA[ID]))),-1)))</f>
        <v>36</v>
      </c>
      <c r="E147" s="33">
        <v>45457</v>
      </c>
      <c r="F147" s="25" t="s">
        <v>154</v>
      </c>
      <c r="G147" s="25" t="s">
        <v>109</v>
      </c>
      <c r="H147" s="34" t="s">
        <v>369</v>
      </c>
      <c r="J147" s="26">
        <v>45457</v>
      </c>
      <c r="L147" s="25" t="s">
        <v>203</v>
      </c>
      <c r="M147" s="27">
        <v>10</v>
      </c>
      <c r="N147" s="25">
        <v>2000</v>
      </c>
      <c r="O147" s="25" t="s">
        <v>110</v>
      </c>
      <c r="P147" s="28">
        <v>8750</v>
      </c>
      <c r="Q147" s="29"/>
      <c r="R147" s="35"/>
      <c r="S147" s="36"/>
      <c r="V147" s="37"/>
      <c r="W147" s="32"/>
      <c r="X147" s="37">
        <f>IF(NOTA[[#This Row],[HARGA/ CTN]]="",NOTA[[#This Row],[JUMLAH_H]],NOTA[[#This Row],[HARGA/ CTN]]*IF(NOTA[[#This Row],[C]]="",0,NOTA[[#This Row],[C]]))</f>
        <v>17500000</v>
      </c>
      <c r="Y147" s="37">
        <f>IF(NOTA[[#This Row],[JUMLAH]]="","",NOTA[[#This Row],[JUMLAH]]*NOTA[[#This Row],[DISC 1]])</f>
        <v>0</v>
      </c>
      <c r="Z147" s="37">
        <f>IF(NOTA[[#This Row],[JUMLAH]]="","",(NOTA[[#This Row],[JUMLAH]]-NOTA[[#This Row],[DISC 1-]])*NOTA[[#This Row],[DISC 2]])</f>
        <v>0</v>
      </c>
      <c r="AA147" s="37">
        <f>IF(NOTA[[#This Row],[JUMLAH]]="","",(NOTA[[#This Row],[JUMLAH]]-NOTA[[#This Row],[DISC 1-]]-NOTA[[#This Row],[DISC 2-]])*NOTA[[#This Row],[DISC 3]])</f>
        <v>0</v>
      </c>
      <c r="AB147" s="37">
        <f>IF(NOTA[[#This Row],[JUMLAH]]="","",NOTA[[#This Row],[DISC 1-]]+NOTA[[#This Row],[DISC 2-]]+NOTA[[#This Row],[DISC 3-]])</f>
        <v>0</v>
      </c>
      <c r="AC147" s="37">
        <f>IF(NOTA[[#This Row],[JUMLAH]]="","",NOTA[[#This Row],[JUMLAH]]-NOTA[[#This Row],[DISC]])</f>
        <v>17500000</v>
      </c>
      <c r="AD147" s="37"/>
      <c r="AE1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7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147" s="37">
        <f>IF(OR(NOTA[[#This Row],[QTY]]="",NOTA[[#This Row],[HARGA SATUAN]]="",),"",NOTA[[#This Row],[QTY]]*NOTA[[#This Row],[HARGA SATUAN]])</f>
        <v>17500000</v>
      </c>
      <c r="AI147" s="26">
        <f ca="1">IF(NOTA[[#This Row],[ID_H]]="","",INDEX(NOTA[TANGGAL],MATCH(,INDIRECT(ADDRESS(ROW(NOTA[TANGGAL]),COLUMN(NOTA[TANGGAL]))&amp;":"&amp;ADDRESS(ROW(),COLUMN(NOTA[TANGGAL]))),-1)))</f>
        <v>45457</v>
      </c>
      <c r="AJ147" s="26">
        <f ca="1">IF(NOTA[[#This Row],[ID_H]]="","",INDEX(NOTA[TGL.NOTA],MATCH(,INDIRECT(ADDRESS(ROW(NOTA[TGL.NOTA]),COLUMN(NOTA[TGL.NOTA]))&amp;":"&amp;ADDRESS(ROW(),COLUMN(NOTA[TGL.NOTA]))),-1)))</f>
        <v>45457</v>
      </c>
      <c r="AK147" s="26" t="str">
        <f ca="1">IF(NOTA[[#This Row],[ID_H]]="","",INDEX(NOTA[NO.NOTA],MATCH(NOTA[[#This Row],[ID_H]],NOTA[ID_H],0)))</f>
        <v>I13.24</v>
      </c>
      <c r="AL147" s="28" t="str">
        <f ca="1">IF(NOTA[[#This Row],[NAMA BARANG]]="","",INDEX(NOTA[SUPPLIER],MATCH(,INDIRECT(ADDRESS(ROW(NOTA[ID]),COLUMN(NOTA[ID]))&amp;":"&amp;ADDRESS(ROW(),COLUMN(NOTA[ID]))),-1)))</f>
        <v>ETJ</v>
      </c>
      <c r="AM147" s="28" t="str">
        <f ca="1">IF(NOTA[[#This Row],[ID_H]]="","",IF(NOTA[[#This Row],[FAKTUR]]="",INDIRECT(ADDRESS(ROW()-1,COLUMN())),NOTA[[#This Row],[FAKTUR]]))</f>
        <v>UNTANA</v>
      </c>
      <c r="AN147" s="25">
        <f ca="1">IF(NOTA[[#This Row],[ID]]="","",COUNTIF(NOTA[ID_H],NOTA[[#This Row],[ID_H]]))</f>
        <v>12</v>
      </c>
      <c r="AO147" s="25">
        <f>IF(NOTA[[#This Row],[TGL.NOTA]]="",IF(NOTA[[#This Row],[SUPPLIER_H]]="","",AO146),MONTH(NOTA[[#This Row],[TGL.NOTA]]))</f>
        <v>6</v>
      </c>
      <c r="AP147" s="25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Q1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R1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S147" s="25" t="str">
        <f>IF(NOTA[[#This Row],[SUPPLIER]]="","",NOTA[[#This Row],[SUPPLIER]]&amp;NOTA[[#This Row],[FAKTUR]]&amp;NOTA[[#This Row],[NO.NOTA]]&amp;NOTA[[#This Row],[NO.SJ]]&amp;NOTA[[#This Row],[TGL.NOTA]]&amp;NOTA[[#This Row],[CONCAT1]])</f>
        <v>ETJUNTANAI13.2445457enter30cm675</v>
      </c>
      <c r="AT147" s="25"/>
      <c r="AU147" s="25">
        <f>IF(NOTA[[#This Row],[CONCAT1]]="","",MATCH(NOTA[[#This Row],[CONCAT1]],[3]!db[NB NOTA_C],0))</f>
        <v>933</v>
      </c>
      <c r="AV147" s="25" t="str">
        <f>IF(NOTA[[#This Row],[QTY/ CTN]]="","",TRUE)</f>
        <v/>
      </c>
      <c r="AW147" s="25" t="str">
        <f ca="1">IF(NOTA[[#This Row],[ID_H]]="","",IF(NOTA[[#This Row],[Column3]]=TRUE,NOTA[[#This Row],[QTY/ CTN]],INDEX([3]!db[QTY/ CTN],NOTA[[#This Row],[//DB]])))</f>
        <v>200 LSN</v>
      </c>
      <c r="AX1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enter30cm675200lsnuntana</v>
      </c>
      <c r="AY147" s="25">
        <f ca="1">IF(NOTA[[#This Row],[ID_H]]="","",MATCH(NOTA[[#This Row],[NB NOTA_C_QTY]],[3]!db[NB NOTA_C_QTY+F],0))</f>
        <v>933</v>
      </c>
      <c r="AZ147" s="38">
        <f ca="1">IF(NOTA[[#This Row],[NB NOTA_C_QTY]]="","",ROW()-2)</f>
        <v>145</v>
      </c>
    </row>
    <row r="148" spans="1:52" ht="20.100000000000001" customHeight="1">
      <c r="A1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48" s="25">
        <f ca="1">IF(NOTA[[#This Row],[NAMA BARANG]]="","",INDEX(NOTA[ID],MATCH(,INDIRECT(ADDRESS(ROW(NOTA[ID]),COLUMN(NOTA[ID]))&amp;":"&amp;ADDRESS(ROW(),COLUMN(NOTA[ID]))),-1)))</f>
        <v>36</v>
      </c>
      <c r="E148" s="33"/>
      <c r="H148" s="34"/>
      <c r="L148" s="25" t="s">
        <v>370</v>
      </c>
      <c r="M148" s="27">
        <v>2</v>
      </c>
      <c r="N148" s="25">
        <v>960</v>
      </c>
      <c r="O148" s="25" t="s">
        <v>110</v>
      </c>
      <c r="P148" s="28">
        <v>8000</v>
      </c>
      <c r="Q148" s="29"/>
      <c r="R148" s="35"/>
      <c r="S148" s="36"/>
      <c r="V148" s="37"/>
      <c r="W148" s="32"/>
      <c r="X148" s="37">
        <f>IF(NOTA[[#This Row],[HARGA/ CTN]]="",NOTA[[#This Row],[JUMLAH_H]],NOTA[[#This Row],[HARGA/ CTN]]*IF(NOTA[[#This Row],[C]]="",0,NOTA[[#This Row],[C]]))</f>
        <v>7680000</v>
      </c>
      <c r="Y148" s="37">
        <f>IF(NOTA[[#This Row],[JUMLAH]]="","",NOTA[[#This Row],[JUMLAH]]*NOTA[[#This Row],[DISC 1]])</f>
        <v>0</v>
      </c>
      <c r="Z148" s="37">
        <f>IF(NOTA[[#This Row],[JUMLAH]]="","",(NOTA[[#This Row],[JUMLAH]]-NOTA[[#This Row],[DISC 1-]])*NOTA[[#This Row],[DISC 2]])</f>
        <v>0</v>
      </c>
      <c r="AA148" s="37">
        <f>IF(NOTA[[#This Row],[JUMLAH]]="","",(NOTA[[#This Row],[JUMLAH]]-NOTA[[#This Row],[DISC 1-]]-NOTA[[#This Row],[DISC 2-]])*NOTA[[#This Row],[DISC 3]])</f>
        <v>0</v>
      </c>
      <c r="AB148" s="37">
        <f>IF(NOTA[[#This Row],[JUMLAH]]="","",NOTA[[#This Row],[DISC 1-]]+NOTA[[#This Row],[DISC 2-]]+NOTA[[#This Row],[DISC 3-]])</f>
        <v>0</v>
      </c>
      <c r="AC148" s="37">
        <f>IF(NOTA[[#This Row],[JUMLAH]]="","",NOTA[[#This Row],[JUMLAH]]-NOTA[[#This Row],[DISC]])</f>
        <v>7680000</v>
      </c>
      <c r="AD148" s="37"/>
      <c r="AE1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8" s="28">
        <f>IF(NOTA[[#This Row],[NAMA BARANG]]="","",IF(NOTA[[#This Row],[JUMLAH_H]]="",NOTA[[#This Row],[HARGA/ CTN]],NOTA[[#This Row],[QTY]]*NOTA[[#This Row],[HARGA SATUAN]]/IF(ISNUMBER(NOTA[[#This Row],[C]]),NOTA[[#This Row],[C]],1)))</f>
        <v>3840000</v>
      </c>
      <c r="AH148" s="37">
        <f>IF(OR(NOTA[[#This Row],[QTY]]="",NOTA[[#This Row],[HARGA SATUAN]]="",),"",NOTA[[#This Row],[QTY]]*NOTA[[#This Row],[HARGA SATUAN]])</f>
        <v>7680000</v>
      </c>
      <c r="AI148" s="26">
        <f ca="1">IF(NOTA[[#This Row],[ID_H]]="","",INDEX(NOTA[TANGGAL],MATCH(,INDIRECT(ADDRESS(ROW(NOTA[TANGGAL]),COLUMN(NOTA[TANGGAL]))&amp;":"&amp;ADDRESS(ROW(),COLUMN(NOTA[TANGGAL]))),-1)))</f>
        <v>45457</v>
      </c>
      <c r="AJ148" s="26">
        <f ca="1">IF(NOTA[[#This Row],[ID_H]]="","",INDEX(NOTA[TGL.NOTA],MATCH(,INDIRECT(ADDRESS(ROW(NOTA[TGL.NOTA]),COLUMN(NOTA[TGL.NOTA]))&amp;":"&amp;ADDRESS(ROW(),COLUMN(NOTA[TGL.NOTA]))),-1)))</f>
        <v>45457</v>
      </c>
      <c r="AK148" s="26" t="str">
        <f ca="1">IF(NOTA[[#This Row],[ID_H]]="","",INDEX(NOTA[NO.NOTA],MATCH(NOTA[[#This Row],[ID_H]],NOTA[ID_H],0)))</f>
        <v>I13.24</v>
      </c>
      <c r="AL148" s="28" t="str">
        <f ca="1">IF(NOTA[[#This Row],[NAMA BARANG]]="","",INDEX(NOTA[SUPPLIER],MATCH(,INDIRECT(ADDRESS(ROW(NOTA[ID]),COLUMN(NOTA[ID]))&amp;":"&amp;ADDRESS(ROW(),COLUMN(NOTA[ID]))),-1)))</f>
        <v>ETJ</v>
      </c>
      <c r="AM148" s="28" t="str">
        <f ca="1">IF(NOTA[[#This Row],[ID_H]]="","",IF(NOTA[[#This Row],[FAKTUR]]="",INDIRECT(ADDRESS(ROW()-1,COLUMN())),NOTA[[#This Row],[FAKTUR]]))</f>
        <v>UNTANA</v>
      </c>
      <c r="AN148" s="25" t="str">
        <f ca="1">IF(NOTA[[#This Row],[ID]]="","",COUNTIF(NOTA[ID_H],NOTA[[#This Row],[ID_H]]))</f>
        <v/>
      </c>
      <c r="AO148" s="25">
        <f ca="1">IF(NOTA[[#This Row],[TGL.NOTA]]="",IF(NOTA[[#This Row],[SUPPLIER_H]]="","",AO147),MONTH(NOTA[[#This Row],[TGL.NOTA]]))</f>
        <v>6</v>
      </c>
      <c r="AP148" s="25" t="str">
        <f>LOWER(SUBSTITUTE(SUBSTITUTE(SUBSTITUTE(SUBSTITUTE(SUBSTITUTE(SUBSTITUTE(SUBSTITUTE(SUBSTITUTE(SUBSTITUTE(NOTA[[#This Row],[NAMA BARANG]]," ",),".",""),"-",""),"(",""),")",""),",",""),"/",""),"""",""),"+",""))</f>
        <v>enterbusurno4tbl</v>
      </c>
      <c r="AQ1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enterbusurno4tbl3840000</v>
      </c>
      <c r="AR1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enterbusurno4tbl3840000</v>
      </c>
      <c r="AS1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8" s="25"/>
      <c r="AU148" s="25">
        <f>IF(NOTA[[#This Row],[CONCAT1]]="","",MATCH(NOTA[[#This Row],[CONCAT1]],[3]!db[NB NOTA_C],0))</f>
        <v>946</v>
      </c>
      <c r="AV148" s="25" t="str">
        <f>IF(NOTA[[#This Row],[QTY/ CTN]]="","",TRUE)</f>
        <v/>
      </c>
      <c r="AW148" s="25" t="str">
        <f ca="1">IF(NOTA[[#This Row],[ID_H]]="","",IF(NOTA[[#This Row],[Column3]]=TRUE,NOTA[[#This Row],[QTY/ CTN]],INDEX([3]!db[QTY/ CTN],NOTA[[#This Row],[//DB]])))</f>
        <v>480 LSN</v>
      </c>
      <c r="AX1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enterbusurno4tbl480lsnuntana</v>
      </c>
      <c r="AY148" s="25">
        <f ca="1">IF(NOTA[[#This Row],[ID_H]]="","",MATCH(NOTA[[#This Row],[NB NOTA_C_QTY]],[3]!db[NB NOTA_C_QTY+F],0))</f>
        <v>946</v>
      </c>
      <c r="AZ148" s="38">
        <f ca="1">IF(NOTA[[#This Row],[NB NOTA_C_QTY]]="","",ROW()-2)</f>
        <v>146</v>
      </c>
    </row>
    <row r="149" spans="1:52" ht="20.100000000000001" customHeight="1">
      <c r="A1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49" s="25">
        <f ca="1">IF(NOTA[[#This Row],[NAMA BARANG]]="","",INDEX(NOTA[ID],MATCH(,INDIRECT(ADDRESS(ROW(NOTA[ID]),COLUMN(NOTA[ID]))&amp;":"&amp;ADDRESS(ROW(),COLUMN(NOTA[ID]))),-1)))</f>
        <v>36</v>
      </c>
      <c r="E149" s="33"/>
      <c r="H149" s="34"/>
      <c r="L149" s="25" t="s">
        <v>371</v>
      </c>
      <c r="M149" s="27">
        <v>1</v>
      </c>
      <c r="N149" s="25">
        <v>160</v>
      </c>
      <c r="O149" s="25" t="s">
        <v>110</v>
      </c>
      <c r="P149" s="28">
        <v>14500</v>
      </c>
      <c r="Q149" s="29"/>
      <c r="R149" s="35"/>
      <c r="S149" s="36"/>
      <c r="V149" s="37"/>
      <c r="W149" s="32"/>
      <c r="X149" s="37">
        <f>IF(NOTA[[#This Row],[HARGA/ CTN]]="",NOTA[[#This Row],[JUMLAH_H]],NOTA[[#This Row],[HARGA/ CTN]]*IF(NOTA[[#This Row],[C]]="",0,NOTA[[#This Row],[C]]))</f>
        <v>2320000</v>
      </c>
      <c r="Y149" s="37">
        <f>IF(NOTA[[#This Row],[JUMLAH]]="","",NOTA[[#This Row],[JUMLAH]]*NOTA[[#This Row],[DISC 1]])</f>
        <v>0</v>
      </c>
      <c r="Z149" s="37">
        <f>IF(NOTA[[#This Row],[JUMLAH]]="","",(NOTA[[#This Row],[JUMLAH]]-NOTA[[#This Row],[DISC 1-]])*NOTA[[#This Row],[DISC 2]])</f>
        <v>0</v>
      </c>
      <c r="AA149" s="37">
        <f>IF(NOTA[[#This Row],[JUMLAH]]="","",(NOTA[[#This Row],[JUMLAH]]-NOTA[[#This Row],[DISC 1-]]-NOTA[[#This Row],[DISC 2-]])*NOTA[[#This Row],[DISC 3]])</f>
        <v>0</v>
      </c>
      <c r="AB149" s="37">
        <f>IF(NOTA[[#This Row],[JUMLAH]]="","",NOTA[[#This Row],[DISC 1-]]+NOTA[[#This Row],[DISC 2-]]+NOTA[[#This Row],[DISC 3-]])</f>
        <v>0</v>
      </c>
      <c r="AC149" s="37">
        <f>IF(NOTA[[#This Row],[JUMLAH]]="","",NOTA[[#This Row],[JUMLAH]]-NOTA[[#This Row],[DISC]])</f>
        <v>2320000</v>
      </c>
      <c r="AD149" s="37"/>
      <c r="AE1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9" s="28">
        <f>IF(NOTA[[#This Row],[NAMA BARANG]]="","",IF(NOTA[[#This Row],[JUMLAH_H]]="",NOTA[[#This Row],[HARGA/ CTN]],NOTA[[#This Row],[QTY]]*NOTA[[#This Row],[HARGA SATUAN]]/IF(ISNUMBER(NOTA[[#This Row],[C]]),NOTA[[#This Row],[C]],1)))</f>
        <v>2320000</v>
      </c>
      <c r="AH149" s="37">
        <f>IF(OR(NOTA[[#This Row],[QTY]]="",NOTA[[#This Row],[HARGA SATUAN]]="",),"",NOTA[[#This Row],[QTY]]*NOTA[[#This Row],[HARGA SATUAN]])</f>
        <v>2320000</v>
      </c>
      <c r="AI149" s="26">
        <f ca="1">IF(NOTA[[#This Row],[ID_H]]="","",INDEX(NOTA[TANGGAL],MATCH(,INDIRECT(ADDRESS(ROW(NOTA[TANGGAL]),COLUMN(NOTA[TANGGAL]))&amp;":"&amp;ADDRESS(ROW(),COLUMN(NOTA[TANGGAL]))),-1)))</f>
        <v>45457</v>
      </c>
      <c r="AJ149" s="26">
        <f ca="1">IF(NOTA[[#This Row],[ID_H]]="","",INDEX(NOTA[TGL.NOTA],MATCH(,INDIRECT(ADDRESS(ROW(NOTA[TGL.NOTA]),COLUMN(NOTA[TGL.NOTA]))&amp;":"&amp;ADDRESS(ROW(),COLUMN(NOTA[TGL.NOTA]))),-1)))</f>
        <v>45457</v>
      </c>
      <c r="AK149" s="26" t="str">
        <f ca="1">IF(NOTA[[#This Row],[ID_H]]="","",INDEX(NOTA[NO.NOTA],MATCH(NOTA[[#This Row],[ID_H]],NOTA[ID_H],0)))</f>
        <v>I13.24</v>
      </c>
      <c r="AL149" s="28" t="str">
        <f ca="1">IF(NOTA[[#This Row],[NAMA BARANG]]="","",INDEX(NOTA[SUPPLIER],MATCH(,INDIRECT(ADDRESS(ROW(NOTA[ID]),COLUMN(NOTA[ID]))&amp;":"&amp;ADDRESS(ROW(),COLUMN(NOTA[ID]))),-1)))</f>
        <v>ETJ</v>
      </c>
      <c r="AM149" s="28" t="str">
        <f ca="1">IF(NOTA[[#This Row],[ID_H]]="","",IF(NOTA[[#This Row],[FAKTUR]]="",INDIRECT(ADDRESS(ROW()-1,COLUMN())),NOTA[[#This Row],[FAKTUR]]))</f>
        <v>UNTANA</v>
      </c>
      <c r="AN149" s="25" t="str">
        <f ca="1">IF(NOTA[[#This Row],[ID]]="","",COUNTIF(NOTA[ID_H],NOTA[[#This Row],[ID_H]]))</f>
        <v/>
      </c>
      <c r="AO149" s="25">
        <f ca="1">IF(NOTA[[#This Row],[TGL.NOTA]]="",IF(NOTA[[#This Row],[SUPPLIER_H]]="","",AO148),MONTH(NOTA[[#This Row],[TGL.NOTA]]))</f>
        <v>6</v>
      </c>
      <c r="AP149" s="25" t="str">
        <f>LOWER(SUBSTITUTE(SUBSTITUTE(SUBSTITUTE(SUBSTITUTE(SUBSTITUTE(SUBSTITUTE(SUBSTITUTE(SUBSTITUTE(SUBSTITUTE(NOTA[[#This Row],[NAMA BARANG]]," ",),".",""),"-",""),"(",""),")",""),",",""),"/",""),"""",""),"+",""))</f>
        <v>enterbusurno120</v>
      </c>
      <c r="AQ1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enterbusurno1202320000</v>
      </c>
      <c r="AR1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enterbusurno1202320000</v>
      </c>
      <c r="AS1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9" s="25"/>
      <c r="AU149" s="25">
        <f>IF(NOTA[[#This Row],[CONCAT1]]="","",MATCH(NOTA[[#This Row],[CONCAT1]],[3]!db[NB NOTA_C],0))</f>
        <v>3450</v>
      </c>
      <c r="AV149" s="25" t="str">
        <f>IF(NOTA[[#This Row],[QTY/ CTN]]="","",TRUE)</f>
        <v/>
      </c>
      <c r="AW149" s="25" t="str">
        <f ca="1">IF(NOTA[[#This Row],[ID_H]]="","",IF(NOTA[[#This Row],[Column3]]=TRUE,NOTA[[#This Row],[QTY/ CTN]],INDEX([3]!db[QTY/ CTN],NOTA[[#This Row],[//DB]])))</f>
        <v>200 LSN</v>
      </c>
      <c r="AX1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enterbusurno120200lsnuntana</v>
      </c>
      <c r="AY149" s="25">
        <f ca="1">IF(NOTA[[#This Row],[ID_H]]="","",MATCH(NOTA[[#This Row],[NB NOTA_C_QTY]],[3]!db[NB NOTA_C_QTY+F],0))</f>
        <v>3450</v>
      </c>
      <c r="AZ149" s="38">
        <f ca="1">IF(NOTA[[#This Row],[NB NOTA_C_QTY]]="","",ROW()-2)</f>
        <v>147</v>
      </c>
    </row>
    <row r="150" spans="1:52" ht="20.100000000000001" customHeight="1">
      <c r="A1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0" s="25">
        <f ca="1">IF(NOTA[[#This Row],[NAMA BARANG]]="","",INDEX(NOTA[ID],MATCH(,INDIRECT(ADDRESS(ROW(NOTA[ID]),COLUMN(NOTA[ID]))&amp;":"&amp;ADDRESS(ROW(),COLUMN(NOTA[ID]))),-1)))</f>
        <v>36</v>
      </c>
      <c r="E150" s="33"/>
      <c r="H150" s="34"/>
      <c r="L150" s="25" t="s">
        <v>372</v>
      </c>
      <c r="M150" s="27">
        <v>5</v>
      </c>
      <c r="N150" s="25">
        <v>4000</v>
      </c>
      <c r="O150" s="25" t="s">
        <v>222</v>
      </c>
      <c r="P150" s="28">
        <v>2100</v>
      </c>
      <c r="Q150" s="29"/>
      <c r="R150" s="35"/>
      <c r="S150" s="36"/>
      <c r="V150" s="37"/>
      <c r="W150" s="32"/>
      <c r="X150" s="37">
        <f>IF(NOTA[[#This Row],[HARGA/ CTN]]="",NOTA[[#This Row],[JUMLAH_H]],NOTA[[#This Row],[HARGA/ CTN]]*IF(NOTA[[#This Row],[C]]="",0,NOTA[[#This Row],[C]]))</f>
        <v>8400000</v>
      </c>
      <c r="Y150" s="37">
        <f>IF(NOTA[[#This Row],[JUMLAH]]="","",NOTA[[#This Row],[JUMLAH]]*NOTA[[#This Row],[DISC 1]])</f>
        <v>0</v>
      </c>
      <c r="Z150" s="37">
        <f>IF(NOTA[[#This Row],[JUMLAH]]="","",(NOTA[[#This Row],[JUMLAH]]-NOTA[[#This Row],[DISC 1-]])*NOTA[[#This Row],[DISC 2]])</f>
        <v>0</v>
      </c>
      <c r="AA150" s="37">
        <f>IF(NOTA[[#This Row],[JUMLAH]]="","",(NOTA[[#This Row],[JUMLAH]]-NOTA[[#This Row],[DISC 1-]]-NOTA[[#This Row],[DISC 2-]])*NOTA[[#This Row],[DISC 3]])</f>
        <v>0</v>
      </c>
      <c r="AB150" s="37">
        <f>IF(NOTA[[#This Row],[JUMLAH]]="","",NOTA[[#This Row],[DISC 1-]]+NOTA[[#This Row],[DISC 2-]]+NOTA[[#This Row],[DISC 3-]])</f>
        <v>0</v>
      </c>
      <c r="AC150" s="37">
        <f>IF(NOTA[[#This Row],[JUMLAH]]="","",NOTA[[#This Row],[JUMLAH]]-NOTA[[#This Row],[DISC]])</f>
        <v>8400000</v>
      </c>
      <c r="AD150" s="37"/>
      <c r="AE1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0" s="28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150" s="37">
        <f>IF(OR(NOTA[[#This Row],[QTY]]="",NOTA[[#This Row],[HARGA SATUAN]]="",),"",NOTA[[#This Row],[QTY]]*NOTA[[#This Row],[HARGA SATUAN]])</f>
        <v>8400000</v>
      </c>
      <c r="AI150" s="26">
        <f ca="1">IF(NOTA[[#This Row],[ID_H]]="","",INDEX(NOTA[TANGGAL],MATCH(,INDIRECT(ADDRESS(ROW(NOTA[TANGGAL]),COLUMN(NOTA[TANGGAL]))&amp;":"&amp;ADDRESS(ROW(),COLUMN(NOTA[TANGGAL]))),-1)))</f>
        <v>45457</v>
      </c>
      <c r="AJ150" s="26">
        <f ca="1">IF(NOTA[[#This Row],[ID_H]]="","",INDEX(NOTA[TGL.NOTA],MATCH(,INDIRECT(ADDRESS(ROW(NOTA[TGL.NOTA]),COLUMN(NOTA[TGL.NOTA]))&amp;":"&amp;ADDRESS(ROW(),COLUMN(NOTA[TGL.NOTA]))),-1)))</f>
        <v>45457</v>
      </c>
      <c r="AK150" s="26" t="str">
        <f ca="1">IF(NOTA[[#This Row],[ID_H]]="","",INDEX(NOTA[NO.NOTA],MATCH(NOTA[[#This Row],[ID_H]],NOTA[ID_H],0)))</f>
        <v>I13.24</v>
      </c>
      <c r="AL150" s="28" t="str">
        <f ca="1">IF(NOTA[[#This Row],[NAMA BARANG]]="","",INDEX(NOTA[SUPPLIER],MATCH(,INDIRECT(ADDRESS(ROW(NOTA[ID]),COLUMN(NOTA[ID]))&amp;":"&amp;ADDRESS(ROW(),COLUMN(NOTA[ID]))),-1)))</f>
        <v>ETJ</v>
      </c>
      <c r="AM150" s="28" t="str">
        <f ca="1">IF(NOTA[[#This Row],[ID_H]]="","",IF(NOTA[[#This Row],[FAKTUR]]="",INDIRECT(ADDRESS(ROW()-1,COLUMN())),NOTA[[#This Row],[FAKTUR]]))</f>
        <v>UNTANA</v>
      </c>
      <c r="AN150" s="25" t="str">
        <f ca="1">IF(NOTA[[#This Row],[ID]]="","",COUNTIF(NOTA[ID_H],NOTA[[#This Row],[ID_H]]))</f>
        <v/>
      </c>
      <c r="AO150" s="25">
        <f ca="1">IF(NOTA[[#This Row],[TGL.NOTA]]="",IF(NOTA[[#This Row],[SUPPLIER_H]]="","",AO149),MONTH(NOTA[[#This Row],[TGL.NOTA]]))</f>
        <v>6</v>
      </c>
      <c r="AP150" s="25" t="str">
        <f>LOWER(SUBSTITUTE(SUBSTITUTE(SUBSTITUTE(SUBSTITUTE(SUBSTITUTE(SUBSTITUTE(SUBSTITUTE(SUBSTITUTE(SUBSTITUTE(NOTA[[#This Row],[NAMA BARANG]]," ",),".",""),"-",""),"(",""),")",""),",",""),"/",""),"""",""),"+",""))</f>
        <v>kojikolabel99</v>
      </c>
      <c r="AQ1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kojikolabel991680000</v>
      </c>
      <c r="AR1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kojikolabel991680000</v>
      </c>
      <c r="AS1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0" s="25"/>
      <c r="AU150" s="25">
        <f>IF(NOTA[[#This Row],[CONCAT1]]="","",MATCH(NOTA[[#This Row],[CONCAT1]],[3]!db[NB NOTA_C],0))</f>
        <v>1901</v>
      </c>
      <c r="AV150" s="25" t="str">
        <f>IF(NOTA[[#This Row],[QTY/ CTN]]="","",TRUE)</f>
        <v/>
      </c>
      <c r="AW150" s="25" t="str">
        <f ca="1">IF(NOTA[[#This Row],[ID_H]]="","",IF(NOTA[[#This Row],[Column3]]=TRUE,NOTA[[#This Row],[QTY/ CTN]],INDEX([3]!db[QTY/ CTN],NOTA[[#This Row],[//DB]])))</f>
        <v>800 PAK</v>
      </c>
      <c r="AX1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kojikolabel99800pakuntana</v>
      </c>
      <c r="AY150" s="25">
        <f ca="1">IF(NOTA[[#This Row],[ID_H]]="","",MATCH(NOTA[[#This Row],[NB NOTA_C_QTY]],[3]!db[NB NOTA_C_QTY+F],0))</f>
        <v>1901</v>
      </c>
      <c r="AZ150" s="38">
        <f ca="1">IF(NOTA[[#This Row],[NB NOTA_C_QTY]]="","",ROW()-2)</f>
        <v>148</v>
      </c>
    </row>
    <row r="151" spans="1:52" ht="20.100000000000001" customHeight="1">
      <c r="A1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1" s="25">
        <f ca="1">IF(NOTA[[#This Row],[NAMA BARANG]]="","",INDEX(NOTA[ID],MATCH(,INDIRECT(ADDRESS(ROW(NOTA[ID]),COLUMN(NOTA[ID]))&amp;":"&amp;ADDRESS(ROW(),COLUMN(NOTA[ID]))),-1)))</f>
        <v>36</v>
      </c>
      <c r="E151" s="33"/>
      <c r="H151" s="34"/>
      <c r="L151" s="39" t="s">
        <v>475</v>
      </c>
      <c r="M151" s="27">
        <v>2</v>
      </c>
      <c r="N151" s="25">
        <v>1600</v>
      </c>
      <c r="O151" s="25" t="s">
        <v>222</v>
      </c>
      <c r="P151" s="28">
        <v>2100</v>
      </c>
      <c r="Q151" s="29"/>
      <c r="R151" s="35"/>
      <c r="S151" s="36"/>
      <c r="V151" s="37"/>
      <c r="W151" s="32"/>
      <c r="X151" s="37">
        <f>IF(NOTA[[#This Row],[HARGA/ CTN]]="",NOTA[[#This Row],[JUMLAH_H]],NOTA[[#This Row],[HARGA/ CTN]]*IF(NOTA[[#This Row],[C]]="",0,NOTA[[#This Row],[C]]))</f>
        <v>3360000</v>
      </c>
      <c r="Y151" s="37">
        <f>IF(NOTA[[#This Row],[JUMLAH]]="","",NOTA[[#This Row],[JUMLAH]]*NOTA[[#This Row],[DISC 1]])</f>
        <v>0</v>
      </c>
      <c r="Z151" s="37">
        <f>IF(NOTA[[#This Row],[JUMLAH]]="","",(NOTA[[#This Row],[JUMLAH]]-NOTA[[#This Row],[DISC 1-]])*NOTA[[#This Row],[DISC 2]])</f>
        <v>0</v>
      </c>
      <c r="AA151" s="37">
        <f>IF(NOTA[[#This Row],[JUMLAH]]="","",(NOTA[[#This Row],[JUMLAH]]-NOTA[[#This Row],[DISC 1-]]-NOTA[[#This Row],[DISC 2-]])*NOTA[[#This Row],[DISC 3]])</f>
        <v>0</v>
      </c>
      <c r="AB151" s="37">
        <f>IF(NOTA[[#This Row],[JUMLAH]]="","",NOTA[[#This Row],[DISC 1-]]+NOTA[[#This Row],[DISC 2-]]+NOTA[[#This Row],[DISC 3-]])</f>
        <v>0</v>
      </c>
      <c r="AC151" s="37">
        <f>IF(NOTA[[#This Row],[JUMLAH]]="","",NOTA[[#This Row],[JUMLAH]]-NOTA[[#This Row],[DISC]])</f>
        <v>3360000</v>
      </c>
      <c r="AD151" s="37"/>
      <c r="AE1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1" s="28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151" s="37">
        <f>IF(OR(NOTA[[#This Row],[QTY]]="",NOTA[[#This Row],[HARGA SATUAN]]="",),"",NOTA[[#This Row],[QTY]]*NOTA[[#This Row],[HARGA SATUAN]])</f>
        <v>3360000</v>
      </c>
      <c r="AI151" s="26">
        <f ca="1">IF(NOTA[[#This Row],[ID_H]]="","",INDEX(NOTA[TANGGAL],MATCH(,INDIRECT(ADDRESS(ROW(NOTA[TANGGAL]),COLUMN(NOTA[TANGGAL]))&amp;":"&amp;ADDRESS(ROW(),COLUMN(NOTA[TANGGAL]))),-1)))</f>
        <v>45457</v>
      </c>
      <c r="AJ151" s="26">
        <f ca="1">IF(NOTA[[#This Row],[ID_H]]="","",INDEX(NOTA[TGL.NOTA],MATCH(,INDIRECT(ADDRESS(ROW(NOTA[TGL.NOTA]),COLUMN(NOTA[TGL.NOTA]))&amp;":"&amp;ADDRESS(ROW(),COLUMN(NOTA[TGL.NOTA]))),-1)))</f>
        <v>45457</v>
      </c>
      <c r="AK151" s="26" t="str">
        <f ca="1">IF(NOTA[[#This Row],[ID_H]]="","",INDEX(NOTA[NO.NOTA],MATCH(NOTA[[#This Row],[ID_H]],NOTA[ID_H],0)))</f>
        <v>I13.24</v>
      </c>
      <c r="AL151" s="28" t="str">
        <f ca="1">IF(NOTA[[#This Row],[NAMA BARANG]]="","",INDEX(NOTA[SUPPLIER],MATCH(,INDIRECT(ADDRESS(ROW(NOTA[ID]),COLUMN(NOTA[ID]))&amp;":"&amp;ADDRESS(ROW(),COLUMN(NOTA[ID]))),-1)))</f>
        <v>ETJ</v>
      </c>
      <c r="AM151" s="28" t="str">
        <f ca="1">IF(NOTA[[#This Row],[ID_H]]="","",IF(NOTA[[#This Row],[FAKTUR]]="",INDIRECT(ADDRESS(ROW()-1,COLUMN())),NOTA[[#This Row],[FAKTUR]]))</f>
        <v>UNTANA</v>
      </c>
      <c r="AN151" s="25" t="str">
        <f ca="1">IF(NOTA[[#This Row],[ID]]="","",COUNTIF(NOTA[ID_H],NOTA[[#This Row],[ID_H]]))</f>
        <v/>
      </c>
      <c r="AO151" s="25">
        <f ca="1">IF(NOTA[[#This Row],[TGL.NOTA]]="",IF(NOTA[[#This Row],[SUPPLIER_H]]="","",AO150),MONTH(NOTA[[#This Row],[TGL.NOTA]]))</f>
        <v>6</v>
      </c>
      <c r="AP151" s="25" t="str">
        <f>LOWER(SUBSTITUTE(SUBSTITUTE(SUBSTITUTE(SUBSTITUTE(SUBSTITUTE(SUBSTITUTE(SUBSTITUTE(SUBSTITUTE(SUBSTITUTE(NOTA[[#This Row],[NAMA BARANG]]," ",),".",""),"-",""),"(",""),")",""),",",""),"/",""),"""",""),"+",""))</f>
        <v>kojiko112label</v>
      </c>
      <c r="AQ1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kojiko112label1680000</v>
      </c>
      <c r="AR1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kojiko112label1680000</v>
      </c>
      <c r="AS1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1" s="25"/>
      <c r="AU151" s="25">
        <f>IF(NOTA[[#This Row],[CONCAT1]]="","",MATCH(NOTA[[#This Row],[CONCAT1]],[3]!db[NB NOTA_C],0))</f>
        <v>1897</v>
      </c>
      <c r="AV151" s="25" t="str">
        <f>IF(NOTA[[#This Row],[QTY/ CTN]]="","",TRUE)</f>
        <v/>
      </c>
      <c r="AW151" s="25" t="str">
        <f ca="1">IF(NOTA[[#This Row],[ID_H]]="","",IF(NOTA[[#This Row],[Column3]]=TRUE,NOTA[[#This Row],[QTY/ CTN]],INDEX([3]!db[QTY/ CTN],NOTA[[#This Row],[//DB]])))</f>
        <v>800 PAK</v>
      </c>
      <c r="AX1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kojiko112label800pakuntana</v>
      </c>
      <c r="AY151" s="25">
        <f ca="1">IF(NOTA[[#This Row],[ID_H]]="","",MATCH(NOTA[[#This Row],[NB NOTA_C_QTY]],[3]!db[NB NOTA_C_QTY+F],0))</f>
        <v>1897</v>
      </c>
      <c r="AZ151" s="38">
        <f ca="1">IF(NOTA[[#This Row],[NB NOTA_C_QTY]]="","",ROW()-2)</f>
        <v>149</v>
      </c>
    </row>
    <row r="152" spans="1:52" ht="20.100000000000001" customHeight="1">
      <c r="A1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2" s="25">
        <f ca="1">IF(NOTA[[#This Row],[NAMA BARANG]]="","",INDEX(NOTA[ID],MATCH(,INDIRECT(ADDRESS(ROW(NOTA[ID]),COLUMN(NOTA[ID]))&amp;":"&amp;ADDRESS(ROW(),COLUMN(NOTA[ID]))),-1)))</f>
        <v>36</v>
      </c>
      <c r="E152" s="33"/>
      <c r="H152" s="34"/>
      <c r="L152" s="39" t="s">
        <v>473</v>
      </c>
      <c r="M152" s="27">
        <v>2</v>
      </c>
      <c r="N152" s="25">
        <v>1600</v>
      </c>
      <c r="O152" s="25" t="s">
        <v>222</v>
      </c>
      <c r="P152" s="28">
        <v>2100</v>
      </c>
      <c r="Q152" s="29"/>
      <c r="R152" s="35"/>
      <c r="S152" s="36"/>
      <c r="V152" s="37"/>
      <c r="W152" s="32"/>
      <c r="X152" s="37">
        <f>IF(NOTA[[#This Row],[HARGA/ CTN]]="",NOTA[[#This Row],[JUMLAH_H]],NOTA[[#This Row],[HARGA/ CTN]]*IF(NOTA[[#This Row],[C]]="",0,NOTA[[#This Row],[C]]))</f>
        <v>3360000</v>
      </c>
      <c r="Y152" s="37">
        <f>IF(NOTA[[#This Row],[JUMLAH]]="","",NOTA[[#This Row],[JUMLAH]]*NOTA[[#This Row],[DISC 1]])</f>
        <v>0</v>
      </c>
      <c r="Z152" s="37">
        <f>IF(NOTA[[#This Row],[JUMLAH]]="","",(NOTA[[#This Row],[JUMLAH]]-NOTA[[#This Row],[DISC 1-]])*NOTA[[#This Row],[DISC 2]])</f>
        <v>0</v>
      </c>
      <c r="AA152" s="37">
        <f>IF(NOTA[[#This Row],[JUMLAH]]="","",(NOTA[[#This Row],[JUMLAH]]-NOTA[[#This Row],[DISC 1-]]-NOTA[[#This Row],[DISC 2-]])*NOTA[[#This Row],[DISC 3]])</f>
        <v>0</v>
      </c>
      <c r="AB152" s="37">
        <f>IF(NOTA[[#This Row],[JUMLAH]]="","",NOTA[[#This Row],[DISC 1-]]+NOTA[[#This Row],[DISC 2-]]+NOTA[[#This Row],[DISC 3-]])</f>
        <v>0</v>
      </c>
      <c r="AC152" s="37">
        <f>IF(NOTA[[#This Row],[JUMLAH]]="","",NOTA[[#This Row],[JUMLAH]]-NOTA[[#This Row],[DISC]])</f>
        <v>3360000</v>
      </c>
      <c r="AD152" s="37"/>
      <c r="AE1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2" s="28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152" s="37">
        <f>IF(OR(NOTA[[#This Row],[QTY]]="",NOTA[[#This Row],[HARGA SATUAN]]="",),"",NOTA[[#This Row],[QTY]]*NOTA[[#This Row],[HARGA SATUAN]])</f>
        <v>3360000</v>
      </c>
      <c r="AI152" s="26">
        <f ca="1">IF(NOTA[[#This Row],[ID_H]]="","",INDEX(NOTA[TANGGAL],MATCH(,INDIRECT(ADDRESS(ROW(NOTA[TANGGAL]),COLUMN(NOTA[TANGGAL]))&amp;":"&amp;ADDRESS(ROW(),COLUMN(NOTA[TANGGAL]))),-1)))</f>
        <v>45457</v>
      </c>
      <c r="AJ152" s="26">
        <f ca="1">IF(NOTA[[#This Row],[ID_H]]="","",INDEX(NOTA[TGL.NOTA],MATCH(,INDIRECT(ADDRESS(ROW(NOTA[TGL.NOTA]),COLUMN(NOTA[TGL.NOTA]))&amp;":"&amp;ADDRESS(ROW(),COLUMN(NOTA[TGL.NOTA]))),-1)))</f>
        <v>45457</v>
      </c>
      <c r="AK152" s="26" t="str">
        <f ca="1">IF(NOTA[[#This Row],[ID_H]]="","",INDEX(NOTA[NO.NOTA],MATCH(NOTA[[#This Row],[ID_H]],NOTA[ID_H],0)))</f>
        <v>I13.24</v>
      </c>
      <c r="AL152" s="28" t="str">
        <f ca="1">IF(NOTA[[#This Row],[NAMA BARANG]]="","",INDEX(NOTA[SUPPLIER],MATCH(,INDIRECT(ADDRESS(ROW(NOTA[ID]),COLUMN(NOTA[ID]))&amp;":"&amp;ADDRESS(ROW(),COLUMN(NOTA[ID]))),-1)))</f>
        <v>ETJ</v>
      </c>
      <c r="AM152" s="28" t="str">
        <f ca="1">IF(NOTA[[#This Row],[ID_H]]="","",IF(NOTA[[#This Row],[FAKTUR]]="",INDIRECT(ADDRESS(ROW()-1,COLUMN())),NOTA[[#This Row],[FAKTUR]]))</f>
        <v>UNTANA</v>
      </c>
      <c r="AN152" s="25" t="str">
        <f ca="1">IF(NOTA[[#This Row],[ID]]="","",COUNTIF(NOTA[ID_H],NOTA[[#This Row],[ID_H]]))</f>
        <v/>
      </c>
      <c r="AO152" s="25">
        <f ca="1">IF(NOTA[[#This Row],[TGL.NOTA]]="",IF(NOTA[[#This Row],[SUPPLIER_H]]="","",AO151),MONTH(NOTA[[#This Row],[TGL.NOTA]]))</f>
        <v>6</v>
      </c>
      <c r="AP152" s="25" t="str">
        <f>LOWER(SUBSTITUTE(SUBSTITUTE(SUBSTITUTE(SUBSTITUTE(SUBSTITUTE(SUBSTITUTE(SUBSTITUTE(SUBSTITUTE(SUBSTITUTE(NOTA[[#This Row],[NAMA BARANG]]," ",),".",""),"-",""),"(",""),")",""),",",""),"/",""),"""",""),"+",""))</f>
        <v>kojiko103plabel</v>
      </c>
      <c r="AQ1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kojiko103plabel1680000</v>
      </c>
      <c r="AR1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kojiko103plabel1680000</v>
      </c>
      <c r="AS1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2" s="25"/>
      <c r="AU152" s="25">
        <f>IF(NOTA[[#This Row],[CONCAT1]]="","",MATCH(NOTA[[#This Row],[CONCAT1]],[3]!db[NB NOTA_C],0))</f>
        <v>1896</v>
      </c>
      <c r="AV152" s="25" t="str">
        <f>IF(NOTA[[#This Row],[QTY/ CTN]]="","",TRUE)</f>
        <v/>
      </c>
      <c r="AW152" s="25" t="str">
        <f ca="1">IF(NOTA[[#This Row],[ID_H]]="","",IF(NOTA[[#This Row],[Column3]]=TRUE,NOTA[[#This Row],[QTY/ CTN]],INDEX([3]!db[QTY/ CTN],NOTA[[#This Row],[//DB]])))</f>
        <v>800 PAK</v>
      </c>
      <c r="AX1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kojiko103plabel800pakuntana</v>
      </c>
      <c r="AY152" s="25">
        <f ca="1">IF(NOTA[[#This Row],[ID_H]]="","",MATCH(NOTA[[#This Row],[NB NOTA_C_QTY]],[3]!db[NB NOTA_C_QTY+F],0))</f>
        <v>1896</v>
      </c>
      <c r="AZ152" s="38">
        <f ca="1">IF(NOTA[[#This Row],[NB NOTA_C_QTY]]="","",ROW()-2)</f>
        <v>150</v>
      </c>
    </row>
    <row r="153" spans="1:52" ht="20.100000000000001" customHeight="1">
      <c r="A1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3" s="25">
        <f ca="1">IF(NOTA[[#This Row],[NAMA BARANG]]="","",INDEX(NOTA[ID],MATCH(,INDIRECT(ADDRESS(ROW(NOTA[ID]),COLUMN(NOTA[ID]))&amp;":"&amp;ADDRESS(ROW(),COLUMN(NOTA[ID]))),-1)))</f>
        <v>36</v>
      </c>
      <c r="E153" s="33"/>
      <c r="H153" s="34"/>
      <c r="L153" s="25" t="s">
        <v>476</v>
      </c>
      <c r="M153" s="27">
        <v>5</v>
      </c>
      <c r="N153" s="25">
        <v>250</v>
      </c>
      <c r="O153" s="25" t="s">
        <v>110</v>
      </c>
      <c r="P153" s="28">
        <v>35000</v>
      </c>
      <c r="Q153" s="29"/>
      <c r="R153" s="35"/>
      <c r="S153" s="36"/>
      <c r="V153" s="37"/>
      <c r="W153" s="32"/>
      <c r="X153" s="37">
        <f>IF(NOTA[[#This Row],[HARGA/ CTN]]="",NOTA[[#This Row],[JUMLAH_H]],NOTA[[#This Row],[HARGA/ CTN]]*IF(NOTA[[#This Row],[C]]="",0,NOTA[[#This Row],[C]]))</f>
        <v>8750000</v>
      </c>
      <c r="Y153" s="37">
        <f>IF(NOTA[[#This Row],[JUMLAH]]="","",NOTA[[#This Row],[JUMLAH]]*NOTA[[#This Row],[DISC 1]])</f>
        <v>0</v>
      </c>
      <c r="Z153" s="37">
        <f>IF(NOTA[[#This Row],[JUMLAH]]="","",(NOTA[[#This Row],[JUMLAH]]-NOTA[[#This Row],[DISC 1-]])*NOTA[[#This Row],[DISC 2]])</f>
        <v>0</v>
      </c>
      <c r="AA153" s="37">
        <f>IF(NOTA[[#This Row],[JUMLAH]]="","",(NOTA[[#This Row],[JUMLAH]]-NOTA[[#This Row],[DISC 1-]]-NOTA[[#This Row],[DISC 2-]])*NOTA[[#This Row],[DISC 3]])</f>
        <v>0</v>
      </c>
      <c r="AB153" s="37">
        <f>IF(NOTA[[#This Row],[JUMLAH]]="","",NOTA[[#This Row],[DISC 1-]]+NOTA[[#This Row],[DISC 2-]]+NOTA[[#This Row],[DISC 3-]])</f>
        <v>0</v>
      </c>
      <c r="AC153" s="37">
        <f>IF(NOTA[[#This Row],[JUMLAH]]="","",NOTA[[#This Row],[JUMLAH]]-NOTA[[#This Row],[DISC]])</f>
        <v>8750000</v>
      </c>
      <c r="AD153" s="37"/>
      <c r="AE1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3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153" s="37">
        <f>IF(OR(NOTA[[#This Row],[QTY]]="",NOTA[[#This Row],[HARGA SATUAN]]="",),"",NOTA[[#This Row],[QTY]]*NOTA[[#This Row],[HARGA SATUAN]])</f>
        <v>8750000</v>
      </c>
      <c r="AI153" s="26">
        <f ca="1">IF(NOTA[[#This Row],[ID_H]]="","",INDEX(NOTA[TANGGAL],MATCH(,INDIRECT(ADDRESS(ROW(NOTA[TANGGAL]),COLUMN(NOTA[TANGGAL]))&amp;":"&amp;ADDRESS(ROW(),COLUMN(NOTA[TANGGAL]))),-1)))</f>
        <v>45457</v>
      </c>
      <c r="AJ153" s="26">
        <f ca="1">IF(NOTA[[#This Row],[ID_H]]="","",INDEX(NOTA[TGL.NOTA],MATCH(,INDIRECT(ADDRESS(ROW(NOTA[TGL.NOTA]),COLUMN(NOTA[TGL.NOTA]))&amp;":"&amp;ADDRESS(ROW(),COLUMN(NOTA[TGL.NOTA]))),-1)))</f>
        <v>45457</v>
      </c>
      <c r="AK153" s="26" t="str">
        <f ca="1">IF(NOTA[[#This Row],[ID_H]]="","",INDEX(NOTA[NO.NOTA],MATCH(NOTA[[#This Row],[ID_H]],NOTA[ID_H],0)))</f>
        <v>I13.24</v>
      </c>
      <c r="AL153" s="28" t="str">
        <f ca="1">IF(NOTA[[#This Row],[NAMA BARANG]]="","",INDEX(NOTA[SUPPLIER],MATCH(,INDIRECT(ADDRESS(ROW(NOTA[ID]),COLUMN(NOTA[ID]))&amp;":"&amp;ADDRESS(ROW(),COLUMN(NOTA[ID]))),-1)))</f>
        <v>ETJ</v>
      </c>
      <c r="AM153" s="28" t="str">
        <f ca="1">IF(NOTA[[#This Row],[ID_H]]="","",IF(NOTA[[#This Row],[FAKTUR]]="",INDIRECT(ADDRESS(ROW()-1,COLUMN())),NOTA[[#This Row],[FAKTUR]]))</f>
        <v>UNTANA</v>
      </c>
      <c r="AN153" s="25" t="str">
        <f ca="1">IF(NOTA[[#This Row],[ID]]="","",COUNTIF(NOTA[ID_H],NOTA[[#This Row],[ID_H]]))</f>
        <v/>
      </c>
      <c r="AO153" s="25">
        <f ca="1">IF(NOTA[[#This Row],[TGL.NOTA]]="",IF(NOTA[[#This Row],[SUPPLIER_H]]="","",AO152),MONTH(NOTA[[#This Row],[TGL.NOTA]]))</f>
        <v>6</v>
      </c>
      <c r="AP153" s="25" t="str">
        <f>LOWER(SUBSTITUTE(SUBSTITUTE(SUBSTITUTE(SUBSTITUTE(SUBSTITUTE(SUBSTITUTE(SUBSTITUTE(SUBSTITUTE(SUBSTITUTE(NOTA[[#This Row],[NAMA BARANG]]," ",),".",""),"-",""),"(",""),")",""),",",""),"/",""),"""",""),"+",""))</f>
        <v>entergb30cmtbl</v>
      </c>
      <c r="AQ1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entergb30cmtbl1750000</v>
      </c>
      <c r="AR1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entergb30cmtbl1750000</v>
      </c>
      <c r="AS1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3" s="25"/>
      <c r="AU153" s="25">
        <f>IF(NOTA[[#This Row],[CONCAT1]]="","",MATCH(NOTA[[#This Row],[CONCAT1]],[3]!db[NB NOTA_C],0))</f>
        <v>3451</v>
      </c>
      <c r="AV153" s="25" t="str">
        <f>IF(NOTA[[#This Row],[QTY/ CTN]]="","",TRUE)</f>
        <v/>
      </c>
      <c r="AW153" s="25" t="str">
        <f ca="1">IF(NOTA[[#This Row],[ID_H]]="","",IF(NOTA[[#This Row],[Column3]]=TRUE,NOTA[[#This Row],[QTY/ CTN]],INDEX([3]!db[QTY/ CTN],NOTA[[#This Row],[//DB]])))</f>
        <v>50 LSN</v>
      </c>
      <c r="AX1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entergb30cmtbl50lsnuntana</v>
      </c>
      <c r="AY153" s="25">
        <f ca="1">IF(NOTA[[#This Row],[ID_H]]="","",MATCH(NOTA[[#This Row],[NB NOTA_C_QTY]],[3]!db[NB NOTA_C_QTY+F],0))</f>
        <v>3451</v>
      </c>
      <c r="AZ153" s="38">
        <f ca="1">IF(NOTA[[#This Row],[NB NOTA_C_QTY]]="","",ROW()-2)</f>
        <v>151</v>
      </c>
    </row>
    <row r="154" spans="1:52" ht="20.100000000000001" customHeight="1">
      <c r="A1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4" s="25">
        <f ca="1">IF(NOTA[[#This Row],[NAMA BARANG]]="","",INDEX(NOTA[ID],MATCH(,INDIRECT(ADDRESS(ROW(NOTA[ID]),COLUMN(NOTA[ID]))&amp;":"&amp;ADDRESS(ROW(),COLUMN(NOTA[ID]))),-1)))</f>
        <v>36</v>
      </c>
      <c r="E154" s="33"/>
      <c r="H154" s="34"/>
      <c r="L154" s="25" t="s">
        <v>373</v>
      </c>
      <c r="M154" s="27">
        <v>2</v>
      </c>
      <c r="N154" s="25">
        <v>50</v>
      </c>
      <c r="O154" s="25" t="s">
        <v>110</v>
      </c>
      <c r="P154" s="28">
        <v>55000</v>
      </c>
      <c r="Q154" s="29"/>
      <c r="R154" s="35"/>
      <c r="S154" s="36"/>
      <c r="V154" s="37"/>
      <c r="W154" s="32"/>
      <c r="X154" s="37">
        <f>IF(NOTA[[#This Row],[HARGA/ CTN]]="",NOTA[[#This Row],[JUMLAH_H]],NOTA[[#This Row],[HARGA/ CTN]]*IF(NOTA[[#This Row],[C]]="",0,NOTA[[#This Row],[C]]))</f>
        <v>2750000</v>
      </c>
      <c r="Y154" s="37">
        <f>IF(NOTA[[#This Row],[JUMLAH]]="","",NOTA[[#This Row],[JUMLAH]]*NOTA[[#This Row],[DISC 1]])</f>
        <v>0</v>
      </c>
      <c r="Z154" s="37">
        <f>IF(NOTA[[#This Row],[JUMLAH]]="","",(NOTA[[#This Row],[JUMLAH]]-NOTA[[#This Row],[DISC 1-]])*NOTA[[#This Row],[DISC 2]])</f>
        <v>0</v>
      </c>
      <c r="AA154" s="37">
        <f>IF(NOTA[[#This Row],[JUMLAH]]="","",(NOTA[[#This Row],[JUMLAH]]-NOTA[[#This Row],[DISC 1-]]-NOTA[[#This Row],[DISC 2-]])*NOTA[[#This Row],[DISC 3]])</f>
        <v>0</v>
      </c>
      <c r="AB154" s="37">
        <f>IF(NOTA[[#This Row],[JUMLAH]]="","",NOTA[[#This Row],[DISC 1-]]+NOTA[[#This Row],[DISC 2-]]+NOTA[[#This Row],[DISC 3-]])</f>
        <v>0</v>
      </c>
      <c r="AC154" s="37">
        <f>IF(NOTA[[#This Row],[JUMLAH]]="","",NOTA[[#This Row],[JUMLAH]]-NOTA[[#This Row],[DISC]])</f>
        <v>2750000</v>
      </c>
      <c r="AD154" s="37"/>
      <c r="AE1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4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154" s="37">
        <f>IF(OR(NOTA[[#This Row],[QTY]]="",NOTA[[#This Row],[HARGA SATUAN]]="",),"",NOTA[[#This Row],[QTY]]*NOTA[[#This Row],[HARGA SATUAN]])</f>
        <v>2750000</v>
      </c>
      <c r="AI154" s="26">
        <f ca="1">IF(NOTA[[#This Row],[ID_H]]="","",INDEX(NOTA[TANGGAL],MATCH(,INDIRECT(ADDRESS(ROW(NOTA[TANGGAL]),COLUMN(NOTA[TANGGAL]))&amp;":"&amp;ADDRESS(ROW(),COLUMN(NOTA[TANGGAL]))),-1)))</f>
        <v>45457</v>
      </c>
      <c r="AJ154" s="26">
        <f ca="1">IF(NOTA[[#This Row],[ID_H]]="","",INDEX(NOTA[TGL.NOTA],MATCH(,INDIRECT(ADDRESS(ROW(NOTA[TGL.NOTA]),COLUMN(NOTA[TGL.NOTA]))&amp;":"&amp;ADDRESS(ROW(),COLUMN(NOTA[TGL.NOTA]))),-1)))</f>
        <v>45457</v>
      </c>
      <c r="AK154" s="26" t="str">
        <f ca="1">IF(NOTA[[#This Row],[ID_H]]="","",INDEX(NOTA[NO.NOTA],MATCH(NOTA[[#This Row],[ID_H]],NOTA[ID_H],0)))</f>
        <v>I13.24</v>
      </c>
      <c r="AL154" s="28" t="str">
        <f ca="1">IF(NOTA[[#This Row],[NAMA BARANG]]="","",INDEX(NOTA[SUPPLIER],MATCH(,INDIRECT(ADDRESS(ROW(NOTA[ID]),COLUMN(NOTA[ID]))&amp;":"&amp;ADDRESS(ROW(),COLUMN(NOTA[ID]))),-1)))</f>
        <v>ETJ</v>
      </c>
      <c r="AM154" s="28" t="str">
        <f ca="1">IF(NOTA[[#This Row],[ID_H]]="","",IF(NOTA[[#This Row],[FAKTUR]]="",INDIRECT(ADDRESS(ROW()-1,COLUMN())),NOTA[[#This Row],[FAKTUR]]))</f>
        <v>UNTANA</v>
      </c>
      <c r="AN154" s="25" t="str">
        <f ca="1">IF(NOTA[[#This Row],[ID]]="","",COUNTIF(NOTA[ID_H],NOTA[[#This Row],[ID_H]]))</f>
        <v/>
      </c>
      <c r="AO154" s="25">
        <f ca="1">IF(NOTA[[#This Row],[TGL.NOTA]]="",IF(NOTA[[#This Row],[SUPPLIER_H]]="","",AO153),MONTH(NOTA[[#This Row],[TGL.NOTA]]))</f>
        <v>6</v>
      </c>
      <c r="AP154" s="25" t="str">
        <f>LOWER(SUBSTITUTE(SUBSTITUTE(SUBSTITUTE(SUBSTITUTE(SUBSTITUTE(SUBSTITUTE(SUBSTITUTE(SUBSTITUTE(SUBSTITUTE(NOTA[[#This Row],[NAMA BARANG]]," ",),".",""),"-",""),"(",""),")",""),",",""),"/",""),"""",""),"+",""))</f>
        <v>entergb40cmtbl</v>
      </c>
      <c r="AQ1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entergb40cmtbl1375000</v>
      </c>
      <c r="AR1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entergb40cmtbl1375000</v>
      </c>
      <c r="AS1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4" s="25"/>
      <c r="AU154" s="25">
        <f>IF(NOTA[[#This Row],[CONCAT1]]="","",MATCH(NOTA[[#This Row],[CONCAT1]],[3]!db[NB NOTA_C],0))</f>
        <v>3452</v>
      </c>
      <c r="AV154" s="25" t="str">
        <f>IF(NOTA[[#This Row],[QTY/ CTN]]="","",TRUE)</f>
        <v/>
      </c>
      <c r="AW154" s="25" t="str">
        <f ca="1">IF(NOTA[[#This Row],[ID_H]]="","",IF(NOTA[[#This Row],[Column3]]=TRUE,NOTA[[#This Row],[QTY/ CTN]],INDEX([3]!db[QTY/ CTN],NOTA[[#This Row],[//DB]])))</f>
        <v>25 LSN</v>
      </c>
      <c r="AX1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entergb40cmtbl25lsnuntana</v>
      </c>
      <c r="AY154" s="25">
        <f ca="1">IF(NOTA[[#This Row],[ID_H]]="","",MATCH(NOTA[[#This Row],[NB NOTA_C_QTY]],[3]!db[NB NOTA_C_QTY+F],0))</f>
        <v>3452</v>
      </c>
      <c r="AZ154" s="38">
        <f ca="1">IF(NOTA[[#This Row],[NB NOTA_C_QTY]]="","",ROW()-2)</f>
        <v>152</v>
      </c>
    </row>
    <row r="155" spans="1:52" ht="20.100000000000001" customHeight="1">
      <c r="A1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5" s="25">
        <f ca="1">IF(NOTA[[#This Row],[NAMA BARANG]]="","",INDEX(NOTA[ID],MATCH(,INDIRECT(ADDRESS(ROW(NOTA[ID]),COLUMN(NOTA[ID]))&amp;":"&amp;ADDRESS(ROW(),COLUMN(NOTA[ID]))),-1)))</f>
        <v>36</v>
      </c>
      <c r="E155" s="33"/>
      <c r="H155" s="34"/>
      <c r="L155" s="25" t="s">
        <v>477</v>
      </c>
      <c r="M155" s="27">
        <v>2</v>
      </c>
      <c r="N155" s="25">
        <v>50</v>
      </c>
      <c r="O155" s="25" t="s">
        <v>110</v>
      </c>
      <c r="P155" s="28">
        <v>65000</v>
      </c>
      <c r="Q155" s="29"/>
      <c r="R155" s="35"/>
      <c r="S155" s="36"/>
      <c r="V155" s="37"/>
      <c r="W155" s="32"/>
      <c r="X155" s="37">
        <f>IF(NOTA[[#This Row],[HARGA/ CTN]]="",NOTA[[#This Row],[JUMLAH_H]],NOTA[[#This Row],[HARGA/ CTN]]*IF(NOTA[[#This Row],[C]]="",0,NOTA[[#This Row],[C]]))</f>
        <v>3250000</v>
      </c>
      <c r="Y155" s="37">
        <f>IF(NOTA[[#This Row],[JUMLAH]]="","",NOTA[[#This Row],[JUMLAH]]*NOTA[[#This Row],[DISC 1]])</f>
        <v>0</v>
      </c>
      <c r="Z155" s="37">
        <f>IF(NOTA[[#This Row],[JUMLAH]]="","",(NOTA[[#This Row],[JUMLAH]]-NOTA[[#This Row],[DISC 1-]])*NOTA[[#This Row],[DISC 2]])</f>
        <v>0</v>
      </c>
      <c r="AA155" s="37">
        <f>IF(NOTA[[#This Row],[JUMLAH]]="","",(NOTA[[#This Row],[JUMLAH]]-NOTA[[#This Row],[DISC 1-]]-NOTA[[#This Row],[DISC 2-]])*NOTA[[#This Row],[DISC 3]])</f>
        <v>0</v>
      </c>
      <c r="AB155" s="37">
        <f>IF(NOTA[[#This Row],[JUMLAH]]="","",NOTA[[#This Row],[DISC 1-]]+NOTA[[#This Row],[DISC 2-]]+NOTA[[#This Row],[DISC 3-]])</f>
        <v>0</v>
      </c>
      <c r="AC155" s="37">
        <f>IF(NOTA[[#This Row],[JUMLAH]]="","",NOTA[[#This Row],[JUMLAH]]-NOTA[[#This Row],[DISC]])</f>
        <v>3250000</v>
      </c>
      <c r="AD155" s="37"/>
      <c r="AE1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5" s="28">
        <f>IF(NOTA[[#This Row],[NAMA BARANG]]="","",IF(NOTA[[#This Row],[JUMLAH_H]]="",NOTA[[#This Row],[HARGA/ CTN]],NOTA[[#This Row],[QTY]]*NOTA[[#This Row],[HARGA SATUAN]]/IF(ISNUMBER(NOTA[[#This Row],[C]]),NOTA[[#This Row],[C]],1)))</f>
        <v>1625000</v>
      </c>
      <c r="AH155" s="37">
        <f>IF(OR(NOTA[[#This Row],[QTY]]="",NOTA[[#This Row],[HARGA SATUAN]]="",),"",NOTA[[#This Row],[QTY]]*NOTA[[#This Row],[HARGA SATUAN]])</f>
        <v>3250000</v>
      </c>
      <c r="AI155" s="26">
        <f ca="1">IF(NOTA[[#This Row],[ID_H]]="","",INDEX(NOTA[TANGGAL],MATCH(,INDIRECT(ADDRESS(ROW(NOTA[TANGGAL]),COLUMN(NOTA[TANGGAL]))&amp;":"&amp;ADDRESS(ROW(),COLUMN(NOTA[TANGGAL]))),-1)))</f>
        <v>45457</v>
      </c>
      <c r="AJ155" s="26">
        <f ca="1">IF(NOTA[[#This Row],[ID_H]]="","",INDEX(NOTA[TGL.NOTA],MATCH(,INDIRECT(ADDRESS(ROW(NOTA[TGL.NOTA]),COLUMN(NOTA[TGL.NOTA]))&amp;":"&amp;ADDRESS(ROW(),COLUMN(NOTA[TGL.NOTA]))),-1)))</f>
        <v>45457</v>
      </c>
      <c r="AK155" s="26" t="str">
        <f ca="1">IF(NOTA[[#This Row],[ID_H]]="","",INDEX(NOTA[NO.NOTA],MATCH(NOTA[[#This Row],[ID_H]],NOTA[ID_H],0)))</f>
        <v>I13.24</v>
      </c>
      <c r="AL155" s="28" t="str">
        <f ca="1">IF(NOTA[[#This Row],[NAMA BARANG]]="","",INDEX(NOTA[SUPPLIER],MATCH(,INDIRECT(ADDRESS(ROW(NOTA[ID]),COLUMN(NOTA[ID]))&amp;":"&amp;ADDRESS(ROW(),COLUMN(NOTA[ID]))),-1)))</f>
        <v>ETJ</v>
      </c>
      <c r="AM155" s="28" t="str">
        <f ca="1">IF(NOTA[[#This Row],[ID_H]]="","",IF(NOTA[[#This Row],[FAKTUR]]="",INDIRECT(ADDRESS(ROW()-1,COLUMN())),NOTA[[#This Row],[FAKTUR]]))</f>
        <v>UNTANA</v>
      </c>
      <c r="AN155" s="25" t="str">
        <f ca="1">IF(NOTA[[#This Row],[ID]]="","",COUNTIF(NOTA[ID_H],NOTA[[#This Row],[ID_H]]))</f>
        <v/>
      </c>
      <c r="AO155" s="25">
        <f ca="1">IF(NOTA[[#This Row],[TGL.NOTA]]="",IF(NOTA[[#This Row],[SUPPLIER_H]]="","",AO154),MONTH(NOTA[[#This Row],[TGL.NOTA]]))</f>
        <v>6</v>
      </c>
      <c r="AP155" s="25" t="str">
        <f>LOWER(SUBSTITUTE(SUBSTITUTE(SUBSTITUTE(SUBSTITUTE(SUBSTITUTE(SUBSTITUTE(SUBSTITUTE(SUBSTITUTE(SUBSTITUTE(NOTA[[#This Row],[NAMA BARANG]]," ",),".",""),"-",""),"(",""),")",""),",",""),"/",""),"""",""),"+",""))</f>
        <v>entergb50cmtbl</v>
      </c>
      <c r="AQ1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entergb50cmtbl1625000</v>
      </c>
      <c r="AR1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entergb50cmtbl1625000</v>
      </c>
      <c r="AS1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5" s="25"/>
      <c r="AU155" s="25">
        <f>IF(NOTA[[#This Row],[CONCAT1]]="","",MATCH(NOTA[[#This Row],[CONCAT1]],[3]!db[NB NOTA_C],0))</f>
        <v>3453</v>
      </c>
      <c r="AV155" s="25" t="str">
        <f>IF(NOTA[[#This Row],[QTY/ CTN]]="","",TRUE)</f>
        <v/>
      </c>
      <c r="AW155" s="25" t="str">
        <f ca="1">IF(NOTA[[#This Row],[ID_H]]="","",IF(NOTA[[#This Row],[Column3]]=TRUE,NOTA[[#This Row],[QTY/ CTN]],INDEX([3]!db[QTY/ CTN],NOTA[[#This Row],[//DB]])))</f>
        <v>25 LSN</v>
      </c>
      <c r="AX1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entergb50cmtbl25lsnuntana</v>
      </c>
      <c r="AY155" s="25">
        <f ca="1">IF(NOTA[[#This Row],[ID_H]]="","",MATCH(NOTA[[#This Row],[NB NOTA_C_QTY]],[3]!db[NB NOTA_C_QTY+F],0))</f>
        <v>3453</v>
      </c>
      <c r="AZ155" s="38">
        <f ca="1">IF(NOTA[[#This Row],[NB NOTA_C_QTY]]="","",ROW()-2)</f>
        <v>153</v>
      </c>
    </row>
    <row r="156" spans="1:52" ht="20.100000000000001" customHeight="1">
      <c r="A1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6" s="25">
        <f ca="1">IF(NOTA[[#This Row],[NAMA BARANG]]="","",INDEX(NOTA[ID],MATCH(,INDIRECT(ADDRESS(ROW(NOTA[ID]),COLUMN(NOTA[ID]))&amp;":"&amp;ADDRESS(ROW(),COLUMN(NOTA[ID]))),-1)))</f>
        <v>36</v>
      </c>
      <c r="E156" s="33"/>
      <c r="H156" s="34"/>
      <c r="L156" s="25" t="s">
        <v>374</v>
      </c>
      <c r="M156" s="27">
        <v>1</v>
      </c>
      <c r="N156" s="25">
        <v>25</v>
      </c>
      <c r="O156" s="25" t="s">
        <v>110</v>
      </c>
      <c r="P156" s="28">
        <v>75000</v>
      </c>
      <c r="Q156" s="29"/>
      <c r="R156" s="35"/>
      <c r="S156" s="36"/>
      <c r="V156" s="37"/>
      <c r="W156" s="32"/>
      <c r="X156" s="37">
        <f>IF(NOTA[[#This Row],[HARGA/ CTN]]="",NOTA[[#This Row],[JUMLAH_H]],NOTA[[#This Row],[HARGA/ CTN]]*IF(NOTA[[#This Row],[C]]="",0,NOTA[[#This Row],[C]]))</f>
        <v>1875000</v>
      </c>
      <c r="Y156" s="37">
        <f>IF(NOTA[[#This Row],[JUMLAH]]="","",NOTA[[#This Row],[JUMLAH]]*NOTA[[#This Row],[DISC 1]])</f>
        <v>0</v>
      </c>
      <c r="Z156" s="37">
        <f>IF(NOTA[[#This Row],[JUMLAH]]="","",(NOTA[[#This Row],[JUMLAH]]-NOTA[[#This Row],[DISC 1-]])*NOTA[[#This Row],[DISC 2]])</f>
        <v>0</v>
      </c>
      <c r="AA156" s="37">
        <f>IF(NOTA[[#This Row],[JUMLAH]]="","",(NOTA[[#This Row],[JUMLAH]]-NOTA[[#This Row],[DISC 1-]]-NOTA[[#This Row],[DISC 2-]])*NOTA[[#This Row],[DISC 3]])</f>
        <v>0</v>
      </c>
      <c r="AB156" s="37">
        <f>IF(NOTA[[#This Row],[JUMLAH]]="","",NOTA[[#This Row],[DISC 1-]]+NOTA[[#This Row],[DISC 2-]]+NOTA[[#This Row],[DISC 3-]])</f>
        <v>0</v>
      </c>
      <c r="AC156" s="37">
        <f>IF(NOTA[[#This Row],[JUMLAH]]="","",NOTA[[#This Row],[JUMLAH]]-NOTA[[#This Row],[DISC]])</f>
        <v>1875000</v>
      </c>
      <c r="AD156" s="37"/>
      <c r="AE1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6" s="28">
        <f>IF(NOTA[[#This Row],[NAMA BARANG]]="","",IF(NOTA[[#This Row],[JUMLAH_H]]="",NOTA[[#This Row],[HARGA/ CTN]],NOTA[[#This Row],[QTY]]*NOTA[[#This Row],[HARGA SATUAN]]/IF(ISNUMBER(NOTA[[#This Row],[C]]),NOTA[[#This Row],[C]],1)))</f>
        <v>1875000</v>
      </c>
      <c r="AH156" s="37">
        <f>IF(OR(NOTA[[#This Row],[QTY]]="",NOTA[[#This Row],[HARGA SATUAN]]="",),"",NOTA[[#This Row],[QTY]]*NOTA[[#This Row],[HARGA SATUAN]])</f>
        <v>1875000</v>
      </c>
      <c r="AI156" s="26">
        <f ca="1">IF(NOTA[[#This Row],[ID_H]]="","",INDEX(NOTA[TANGGAL],MATCH(,INDIRECT(ADDRESS(ROW(NOTA[TANGGAL]),COLUMN(NOTA[TANGGAL]))&amp;":"&amp;ADDRESS(ROW(),COLUMN(NOTA[TANGGAL]))),-1)))</f>
        <v>45457</v>
      </c>
      <c r="AJ156" s="26">
        <f ca="1">IF(NOTA[[#This Row],[ID_H]]="","",INDEX(NOTA[TGL.NOTA],MATCH(,INDIRECT(ADDRESS(ROW(NOTA[TGL.NOTA]),COLUMN(NOTA[TGL.NOTA]))&amp;":"&amp;ADDRESS(ROW(),COLUMN(NOTA[TGL.NOTA]))),-1)))</f>
        <v>45457</v>
      </c>
      <c r="AK156" s="26" t="str">
        <f ca="1">IF(NOTA[[#This Row],[ID_H]]="","",INDEX(NOTA[NO.NOTA],MATCH(NOTA[[#This Row],[ID_H]],NOTA[ID_H],0)))</f>
        <v>I13.24</v>
      </c>
      <c r="AL156" s="28" t="str">
        <f ca="1">IF(NOTA[[#This Row],[NAMA BARANG]]="","",INDEX(NOTA[SUPPLIER],MATCH(,INDIRECT(ADDRESS(ROW(NOTA[ID]),COLUMN(NOTA[ID]))&amp;":"&amp;ADDRESS(ROW(),COLUMN(NOTA[ID]))),-1)))</f>
        <v>ETJ</v>
      </c>
      <c r="AM156" s="28" t="str">
        <f ca="1">IF(NOTA[[#This Row],[ID_H]]="","",IF(NOTA[[#This Row],[FAKTUR]]="",INDIRECT(ADDRESS(ROW()-1,COLUMN())),NOTA[[#This Row],[FAKTUR]]))</f>
        <v>UNTANA</v>
      </c>
      <c r="AN156" s="25" t="str">
        <f ca="1">IF(NOTA[[#This Row],[ID]]="","",COUNTIF(NOTA[ID_H],NOTA[[#This Row],[ID_H]]))</f>
        <v/>
      </c>
      <c r="AO156" s="25">
        <f ca="1">IF(NOTA[[#This Row],[TGL.NOTA]]="",IF(NOTA[[#This Row],[SUPPLIER_H]]="","",AO155),MONTH(NOTA[[#This Row],[TGL.NOTA]]))</f>
        <v>6</v>
      </c>
      <c r="AP156" s="25" t="str">
        <f>LOWER(SUBSTITUTE(SUBSTITUTE(SUBSTITUTE(SUBSTITUTE(SUBSTITUTE(SUBSTITUTE(SUBSTITUTE(SUBSTITUTE(SUBSTITUTE(NOTA[[#This Row],[NAMA BARANG]]," ",),".",""),"-",""),"(",""),")",""),",",""),"/",""),"""",""),"+",""))</f>
        <v>entergb60cmtbl</v>
      </c>
      <c r="AQ1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entergb60cmtbl1875000</v>
      </c>
      <c r="AR1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entergb60cmtbl1875000</v>
      </c>
      <c r="AS1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6" s="25"/>
      <c r="AU156" s="25">
        <f>IF(NOTA[[#This Row],[CONCAT1]]="","",MATCH(NOTA[[#This Row],[CONCAT1]],[3]!db[NB NOTA_C],0))</f>
        <v>3454</v>
      </c>
      <c r="AV156" s="25" t="str">
        <f>IF(NOTA[[#This Row],[QTY/ CTN]]="","",TRUE)</f>
        <v/>
      </c>
      <c r="AW156" s="25" t="str">
        <f ca="1">IF(NOTA[[#This Row],[ID_H]]="","",IF(NOTA[[#This Row],[Column3]]=TRUE,NOTA[[#This Row],[QTY/ CTN]],INDEX([3]!db[QTY/ CTN],NOTA[[#This Row],[//DB]])))</f>
        <v>25 LSN</v>
      </c>
      <c r="AX1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entergb60cmtbl25lsnuntana</v>
      </c>
      <c r="AY156" s="25">
        <f ca="1">IF(NOTA[[#This Row],[ID_H]]="","",MATCH(NOTA[[#This Row],[NB NOTA_C_QTY]],[3]!db[NB NOTA_C_QTY+F],0))</f>
        <v>3454</v>
      </c>
      <c r="AZ156" s="38">
        <f ca="1">IF(NOTA[[#This Row],[NB NOTA_C_QTY]]="","",ROW()-2)</f>
        <v>154</v>
      </c>
    </row>
    <row r="157" spans="1:52" ht="20.100000000000001" customHeight="1">
      <c r="A1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7" s="25">
        <f ca="1">IF(NOTA[[#This Row],[NAMA BARANG]]="","",INDEX(NOTA[ID],MATCH(,INDIRECT(ADDRESS(ROW(NOTA[ID]),COLUMN(NOTA[ID]))&amp;":"&amp;ADDRESS(ROW(),COLUMN(NOTA[ID]))),-1)))</f>
        <v>36</v>
      </c>
      <c r="E157" s="33"/>
      <c r="H157" s="34"/>
      <c r="L157" s="25" t="s">
        <v>375</v>
      </c>
      <c r="M157" s="27">
        <v>1</v>
      </c>
      <c r="N157" s="25">
        <v>100</v>
      </c>
      <c r="O157" s="25" t="s">
        <v>111</v>
      </c>
      <c r="P157" s="28">
        <v>11500</v>
      </c>
      <c r="Q157" s="29"/>
      <c r="R157" s="35"/>
      <c r="S157" s="36"/>
      <c r="V157" s="37"/>
      <c r="W157" s="32"/>
      <c r="X157" s="37">
        <f>IF(NOTA[[#This Row],[HARGA/ CTN]]="",NOTA[[#This Row],[JUMLAH_H]],NOTA[[#This Row],[HARGA/ CTN]]*IF(NOTA[[#This Row],[C]]="",0,NOTA[[#This Row],[C]]))</f>
        <v>1150000</v>
      </c>
      <c r="Y157" s="37">
        <f>IF(NOTA[[#This Row],[JUMLAH]]="","",NOTA[[#This Row],[JUMLAH]]*NOTA[[#This Row],[DISC 1]])</f>
        <v>0</v>
      </c>
      <c r="Z157" s="37">
        <f>IF(NOTA[[#This Row],[JUMLAH]]="","",(NOTA[[#This Row],[JUMLAH]]-NOTA[[#This Row],[DISC 1-]])*NOTA[[#This Row],[DISC 2]])</f>
        <v>0</v>
      </c>
      <c r="AA157" s="37">
        <f>IF(NOTA[[#This Row],[JUMLAH]]="","",(NOTA[[#This Row],[JUMLAH]]-NOTA[[#This Row],[DISC 1-]]-NOTA[[#This Row],[DISC 2-]])*NOTA[[#This Row],[DISC 3]])</f>
        <v>0</v>
      </c>
      <c r="AB157" s="37">
        <f>IF(NOTA[[#This Row],[JUMLAH]]="","",NOTA[[#This Row],[DISC 1-]]+NOTA[[#This Row],[DISC 2-]]+NOTA[[#This Row],[DISC 3-]])</f>
        <v>0</v>
      </c>
      <c r="AC157" s="37">
        <f>IF(NOTA[[#This Row],[JUMLAH]]="","",NOTA[[#This Row],[JUMLAH]]-NOTA[[#This Row],[DISC]])</f>
        <v>1150000</v>
      </c>
      <c r="AD157" s="37"/>
      <c r="AE1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7" s="28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H157" s="37">
        <f>IF(OR(NOTA[[#This Row],[QTY]]="",NOTA[[#This Row],[HARGA SATUAN]]="",),"",NOTA[[#This Row],[QTY]]*NOTA[[#This Row],[HARGA SATUAN]])</f>
        <v>1150000</v>
      </c>
      <c r="AI157" s="26">
        <f ca="1">IF(NOTA[[#This Row],[ID_H]]="","",INDEX(NOTA[TANGGAL],MATCH(,INDIRECT(ADDRESS(ROW(NOTA[TANGGAL]),COLUMN(NOTA[TANGGAL]))&amp;":"&amp;ADDRESS(ROW(),COLUMN(NOTA[TANGGAL]))),-1)))</f>
        <v>45457</v>
      </c>
      <c r="AJ157" s="26">
        <f ca="1">IF(NOTA[[#This Row],[ID_H]]="","",INDEX(NOTA[TGL.NOTA],MATCH(,INDIRECT(ADDRESS(ROW(NOTA[TGL.NOTA]),COLUMN(NOTA[TGL.NOTA]))&amp;":"&amp;ADDRESS(ROW(),COLUMN(NOTA[TGL.NOTA]))),-1)))</f>
        <v>45457</v>
      </c>
      <c r="AK157" s="26" t="str">
        <f ca="1">IF(NOTA[[#This Row],[ID_H]]="","",INDEX(NOTA[NO.NOTA],MATCH(NOTA[[#This Row],[ID_H]],NOTA[ID_H],0)))</f>
        <v>I13.24</v>
      </c>
      <c r="AL157" s="28" t="str">
        <f ca="1">IF(NOTA[[#This Row],[NAMA BARANG]]="","",INDEX(NOTA[SUPPLIER],MATCH(,INDIRECT(ADDRESS(ROW(NOTA[ID]),COLUMN(NOTA[ID]))&amp;":"&amp;ADDRESS(ROW(),COLUMN(NOTA[ID]))),-1)))</f>
        <v>ETJ</v>
      </c>
      <c r="AM157" s="28" t="str">
        <f ca="1">IF(NOTA[[#This Row],[ID_H]]="","",IF(NOTA[[#This Row],[FAKTUR]]="",INDIRECT(ADDRESS(ROW()-1,COLUMN())),NOTA[[#This Row],[FAKTUR]]))</f>
        <v>UNTANA</v>
      </c>
      <c r="AN157" s="25" t="str">
        <f ca="1">IF(NOTA[[#This Row],[ID]]="","",COUNTIF(NOTA[ID_H],NOTA[[#This Row],[ID_H]]))</f>
        <v/>
      </c>
      <c r="AO157" s="25">
        <f ca="1">IF(NOTA[[#This Row],[TGL.NOTA]]="",IF(NOTA[[#This Row],[SUPPLIER_H]]="","",AO156),MONTH(NOTA[[#This Row],[TGL.NOTA]]))</f>
        <v>6</v>
      </c>
      <c r="AP157" s="25" t="str">
        <f>LOWER(SUBSTITUTE(SUBSTITUTE(SUBSTITUTE(SUBSTITUTE(SUBSTITUTE(SUBSTITUTE(SUBSTITUTE(SUBSTITUTE(SUBSTITUTE(NOTA[[#This Row],[NAMA BARANG]]," ",),".",""),"-",""),"(",""),")",""),",",""),"/",""),"""",""),"+",""))</f>
        <v>enterdispbesi505</v>
      </c>
      <c r="AQ1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enterdispbesi5051150000</v>
      </c>
      <c r="AR1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enterdispbesi5051150000</v>
      </c>
      <c r="AS1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7" s="25"/>
      <c r="AU157" s="25">
        <f>IF(NOTA[[#This Row],[CONCAT1]]="","",MATCH(NOTA[[#This Row],[CONCAT1]],[3]!db[NB NOTA_C],0))</f>
        <v>3455</v>
      </c>
      <c r="AV157" s="25" t="str">
        <f>IF(NOTA[[#This Row],[QTY/ CTN]]="","",TRUE)</f>
        <v/>
      </c>
      <c r="AW157" s="25" t="str">
        <f ca="1">IF(NOTA[[#This Row],[ID_H]]="","",IF(NOTA[[#This Row],[Column3]]=TRUE,NOTA[[#This Row],[QTY/ CTN]],INDEX([3]!db[QTY/ CTN],NOTA[[#This Row],[//DB]])))</f>
        <v>100 PCS</v>
      </c>
      <c r="AX1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enterdispbesi505100pcsuntana</v>
      </c>
      <c r="AY157" s="25">
        <f ca="1">IF(NOTA[[#This Row],[ID_H]]="","",MATCH(NOTA[[#This Row],[NB NOTA_C_QTY]],[3]!db[NB NOTA_C_QTY+F],0))</f>
        <v>3455</v>
      </c>
      <c r="AZ157" s="38">
        <f ca="1">IF(NOTA[[#This Row],[NB NOTA_C_QTY]]="","",ROW()-2)</f>
        <v>155</v>
      </c>
    </row>
    <row r="158" spans="1:52" ht="20.100000000000001" customHeight="1">
      <c r="A1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8" s="25">
        <f ca="1">IF(NOTA[[#This Row],[NAMA BARANG]]="","",INDEX(NOTA[ID],MATCH(,INDIRECT(ADDRESS(ROW(NOTA[ID]),COLUMN(NOTA[ID]))&amp;":"&amp;ADDRESS(ROW(),COLUMN(NOTA[ID]))),-1)))</f>
        <v>36</v>
      </c>
      <c r="E158" s="33"/>
      <c r="H158" s="34"/>
      <c r="L158" s="39" t="s">
        <v>474</v>
      </c>
      <c r="M158" s="27">
        <v>2</v>
      </c>
      <c r="N158" s="25">
        <v>12000</v>
      </c>
      <c r="O158" s="25" t="s">
        <v>111</v>
      </c>
      <c r="P158" s="28">
        <v>325</v>
      </c>
      <c r="Q158" s="29"/>
      <c r="R158" s="35"/>
      <c r="S158" s="36"/>
      <c r="V158" s="37"/>
      <c r="W158" s="32"/>
      <c r="X158" s="37">
        <f>IF(NOTA[[#This Row],[HARGA/ CTN]]="",NOTA[[#This Row],[JUMLAH_H]],NOTA[[#This Row],[HARGA/ CTN]]*IF(NOTA[[#This Row],[C]]="",0,NOTA[[#This Row],[C]]))</f>
        <v>3900000</v>
      </c>
      <c r="Y158" s="37">
        <f>IF(NOTA[[#This Row],[JUMLAH]]="","",NOTA[[#This Row],[JUMLAH]]*NOTA[[#This Row],[DISC 1]])</f>
        <v>0</v>
      </c>
      <c r="Z158" s="37">
        <f>IF(NOTA[[#This Row],[JUMLAH]]="","",(NOTA[[#This Row],[JUMLAH]]-NOTA[[#This Row],[DISC 1-]])*NOTA[[#This Row],[DISC 2]])</f>
        <v>0</v>
      </c>
      <c r="AA158" s="37">
        <f>IF(NOTA[[#This Row],[JUMLAH]]="","",(NOTA[[#This Row],[JUMLAH]]-NOTA[[#This Row],[DISC 1-]]-NOTA[[#This Row],[DISC 2-]])*NOTA[[#This Row],[DISC 3]])</f>
        <v>0</v>
      </c>
      <c r="AB158" s="37">
        <f>IF(NOTA[[#This Row],[JUMLAH]]="","",NOTA[[#This Row],[DISC 1-]]+NOTA[[#This Row],[DISC 2-]]+NOTA[[#This Row],[DISC 3-]])</f>
        <v>0</v>
      </c>
      <c r="AC158" s="37">
        <f>IF(NOTA[[#This Row],[JUMLAH]]="","",NOTA[[#This Row],[JUMLAH]]-NOTA[[#This Row],[DISC]])</f>
        <v>3900000</v>
      </c>
      <c r="AD158" s="37"/>
      <c r="AE15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5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64295000</v>
      </c>
      <c r="AG158" s="28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H158" s="37">
        <f>IF(OR(NOTA[[#This Row],[QTY]]="",NOTA[[#This Row],[HARGA SATUAN]]="",),"",NOTA[[#This Row],[QTY]]*NOTA[[#This Row],[HARGA SATUAN]])</f>
        <v>3900000</v>
      </c>
      <c r="AI158" s="26">
        <f ca="1">IF(NOTA[[#This Row],[ID_H]]="","",INDEX(NOTA[TANGGAL],MATCH(,INDIRECT(ADDRESS(ROW(NOTA[TANGGAL]),COLUMN(NOTA[TANGGAL]))&amp;":"&amp;ADDRESS(ROW(),COLUMN(NOTA[TANGGAL]))),-1)))</f>
        <v>45457</v>
      </c>
      <c r="AJ158" s="26">
        <f ca="1">IF(NOTA[[#This Row],[ID_H]]="","",INDEX(NOTA[TGL.NOTA],MATCH(,INDIRECT(ADDRESS(ROW(NOTA[TGL.NOTA]),COLUMN(NOTA[TGL.NOTA]))&amp;":"&amp;ADDRESS(ROW(),COLUMN(NOTA[TGL.NOTA]))),-1)))</f>
        <v>45457</v>
      </c>
      <c r="AK158" s="26" t="str">
        <f ca="1">IF(NOTA[[#This Row],[ID_H]]="","",INDEX(NOTA[NO.NOTA],MATCH(NOTA[[#This Row],[ID_H]],NOTA[ID_H],0)))</f>
        <v>I13.24</v>
      </c>
      <c r="AL158" s="28" t="str">
        <f ca="1">IF(NOTA[[#This Row],[NAMA BARANG]]="","",INDEX(NOTA[SUPPLIER],MATCH(,INDIRECT(ADDRESS(ROW(NOTA[ID]),COLUMN(NOTA[ID]))&amp;":"&amp;ADDRESS(ROW(),COLUMN(NOTA[ID]))),-1)))</f>
        <v>ETJ</v>
      </c>
      <c r="AM158" s="28" t="str">
        <f ca="1">IF(NOTA[[#This Row],[ID_H]]="","",IF(NOTA[[#This Row],[FAKTUR]]="",INDIRECT(ADDRESS(ROW()-1,COLUMN())),NOTA[[#This Row],[FAKTUR]]))</f>
        <v>UNTANA</v>
      </c>
      <c r="AN158" s="25" t="str">
        <f ca="1">IF(NOTA[[#This Row],[ID]]="","",COUNTIF(NOTA[ID_H],NOTA[[#This Row],[ID_H]]))</f>
        <v/>
      </c>
      <c r="AO158" s="25">
        <f ca="1">IF(NOTA[[#This Row],[TGL.NOTA]]="",IF(NOTA[[#This Row],[SUPPLIER_H]]="","",AO157),MONTH(NOTA[[#This Row],[TGL.NOTA]]))</f>
        <v>6</v>
      </c>
      <c r="AP158" s="25" t="str">
        <f>LOWER(SUBSTITUTE(SUBSTITUTE(SUBSTITUTE(SUBSTITUTE(SUBSTITUTE(SUBSTITUTE(SUBSTITUTE(SUBSTITUTE(SUBSTITUTE(NOTA[[#This Row],[NAMA BARANG]]," ",),".",""),"-",""),"(",""),")",""),",",""),"/",""),"""",""),"+",""))</f>
        <v>enterbktabungan</v>
      </c>
      <c r="AQ1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enterbktabungan1950000</v>
      </c>
      <c r="AR1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enterbktabungan1950000</v>
      </c>
      <c r="AS1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8" s="25"/>
      <c r="AU158" s="25">
        <f>IF(NOTA[[#This Row],[CONCAT1]]="","",MATCH(NOTA[[#This Row],[CONCAT1]],[3]!db[NB NOTA_C],0))</f>
        <v>939</v>
      </c>
      <c r="AV158" s="25" t="str">
        <f>IF(NOTA[[#This Row],[QTY/ CTN]]="","",TRUE)</f>
        <v/>
      </c>
      <c r="AW158" s="25" t="str">
        <f ca="1">IF(NOTA[[#This Row],[ID_H]]="","",IF(NOTA[[#This Row],[Column3]]=TRUE,NOTA[[#This Row],[QTY/ CTN]],INDEX([3]!db[QTY/ CTN],NOTA[[#This Row],[//DB]])))</f>
        <v>3600 PCS</v>
      </c>
      <c r="AX1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enterbktabungan3600pcsuntana</v>
      </c>
      <c r="AY158" s="25">
        <f ca="1">IF(NOTA[[#This Row],[ID_H]]="","",MATCH(NOTA[[#This Row],[NB NOTA_C_QTY]],[3]!db[NB NOTA_C_QTY+F],0))</f>
        <v>939</v>
      </c>
      <c r="AZ158" s="38">
        <f ca="1">IF(NOTA[[#This Row],[NB NOTA_C_QTY]]="","",ROW()-2)</f>
        <v>156</v>
      </c>
    </row>
    <row r="159" spans="1:52" ht="20.100000000000001" customHeight="1">
      <c r="A1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9" s="25" t="str">
        <f ca="1">IF(NOTA[[#This Row],[NAMA BARANG]]="","",INDEX(NOTA[ID],MATCH(,INDIRECT(ADDRESS(ROW(NOTA[ID]),COLUMN(NOTA[ID]))&amp;":"&amp;ADDRESS(ROW(),COLUMN(NOTA[ID]))),-1)))</f>
        <v/>
      </c>
      <c r="E159" s="33"/>
      <c r="H159" s="34"/>
      <c r="Q159" s="29"/>
      <c r="R159" s="35"/>
      <c r="S159" s="36"/>
      <c r="V159" s="37"/>
      <c r="W159" s="32"/>
      <c r="X159" s="37" t="str">
        <f>IF(NOTA[[#This Row],[HARGA/ CTN]]="",NOTA[[#This Row],[JUMLAH_H]],NOTA[[#This Row],[HARGA/ CTN]]*IF(NOTA[[#This Row],[C]]="",0,NOTA[[#This Row],[C]]))</f>
        <v/>
      </c>
      <c r="Y159" s="37" t="str">
        <f>IF(NOTA[[#This Row],[JUMLAH]]="","",NOTA[[#This Row],[JUMLAH]]*NOTA[[#This Row],[DISC 1]])</f>
        <v/>
      </c>
      <c r="Z159" s="37" t="str">
        <f>IF(NOTA[[#This Row],[JUMLAH]]="","",(NOTA[[#This Row],[JUMLAH]]-NOTA[[#This Row],[DISC 1-]])*NOTA[[#This Row],[DISC 2]])</f>
        <v/>
      </c>
      <c r="AA159" s="37" t="str">
        <f>IF(NOTA[[#This Row],[JUMLAH]]="","",(NOTA[[#This Row],[JUMLAH]]-NOTA[[#This Row],[DISC 1-]]-NOTA[[#This Row],[DISC 2-]])*NOTA[[#This Row],[DISC 3]])</f>
        <v/>
      </c>
      <c r="AB159" s="37" t="str">
        <f>IF(NOTA[[#This Row],[JUMLAH]]="","",NOTA[[#This Row],[DISC 1-]]+NOTA[[#This Row],[DISC 2-]]+NOTA[[#This Row],[DISC 3-]])</f>
        <v/>
      </c>
      <c r="AC159" s="37" t="str">
        <f>IF(NOTA[[#This Row],[JUMLAH]]="","",NOTA[[#This Row],[JUMLAH]]-NOTA[[#This Row],[DISC]])</f>
        <v/>
      </c>
      <c r="AD159" s="37"/>
      <c r="AE1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9" s="37" t="str">
        <f>IF(OR(NOTA[[#This Row],[QTY]]="",NOTA[[#This Row],[HARGA SATUAN]]="",),"",NOTA[[#This Row],[QTY]]*NOTA[[#This Row],[HARGA SATUAN]])</f>
        <v/>
      </c>
      <c r="AI159" s="26" t="str">
        <f ca="1">IF(NOTA[[#This Row],[ID_H]]="","",INDEX(NOTA[TANGGAL],MATCH(,INDIRECT(ADDRESS(ROW(NOTA[TANGGAL]),COLUMN(NOTA[TANGGAL]))&amp;":"&amp;ADDRESS(ROW(),COLUMN(NOTA[TANGGAL]))),-1)))</f>
        <v/>
      </c>
      <c r="AJ159" s="26" t="str">
        <f ca="1">IF(NOTA[[#This Row],[ID_H]]="","",INDEX(NOTA[TGL.NOTA],MATCH(,INDIRECT(ADDRESS(ROW(NOTA[TGL.NOTA]),COLUMN(NOTA[TGL.NOTA]))&amp;":"&amp;ADDRESS(ROW(),COLUMN(NOTA[TGL.NOTA]))),-1)))</f>
        <v/>
      </c>
      <c r="AK159" s="26" t="str">
        <f ca="1">IF(NOTA[[#This Row],[ID_H]]="","",INDEX(NOTA[NO.NOTA],MATCH(NOTA[[#This Row],[ID_H]],NOTA[ID_H],0)))</f>
        <v/>
      </c>
      <c r="AL159" s="28" t="str">
        <f ca="1">IF(NOTA[[#This Row],[NAMA BARANG]]="","",INDEX(NOTA[SUPPLIER],MATCH(,INDIRECT(ADDRESS(ROW(NOTA[ID]),COLUMN(NOTA[ID]))&amp;":"&amp;ADDRESS(ROW(),COLUMN(NOTA[ID]))),-1)))</f>
        <v/>
      </c>
      <c r="AM159" s="28" t="str">
        <f ca="1">IF(NOTA[[#This Row],[ID_H]]="","",IF(NOTA[[#This Row],[FAKTUR]]="",INDIRECT(ADDRESS(ROW()-1,COLUMN())),NOTA[[#This Row],[FAKTUR]]))</f>
        <v/>
      </c>
      <c r="AN159" s="25" t="str">
        <f ca="1">IF(NOTA[[#This Row],[ID]]="","",COUNTIF(NOTA[ID_H],NOTA[[#This Row],[ID_H]]))</f>
        <v/>
      </c>
      <c r="AO159" s="25" t="str">
        <f ca="1">IF(NOTA[[#This Row],[TGL.NOTA]]="",IF(NOTA[[#This Row],[SUPPLIER_H]]="","",AO158),MONTH(NOTA[[#This Row],[TGL.NOTA]]))</f>
        <v/>
      </c>
      <c r="AP1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9" s="25"/>
      <c r="AU159" s="25" t="str">
        <f>IF(NOTA[[#This Row],[CONCAT1]]="","",MATCH(NOTA[[#This Row],[CONCAT1]],[3]!db[NB NOTA_C],0))</f>
        <v/>
      </c>
      <c r="AV159" s="25" t="str">
        <f>IF(NOTA[[#This Row],[QTY/ CTN]]="","",TRUE)</f>
        <v/>
      </c>
      <c r="AW159" s="25" t="str">
        <f ca="1">IF(NOTA[[#This Row],[ID_H]]="","",IF(NOTA[[#This Row],[Column3]]=TRUE,NOTA[[#This Row],[QTY/ CTN]],INDEX([3]!db[QTY/ CTN],NOTA[[#This Row],[//DB]])))</f>
        <v/>
      </c>
      <c r="AX1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9" s="25" t="str">
        <f ca="1">IF(NOTA[[#This Row],[ID_H]]="","",MATCH(NOTA[[#This Row],[NB NOTA_C_QTY]],[3]!db[NB NOTA_C_QTY+F],0))</f>
        <v/>
      </c>
      <c r="AZ159" s="38" t="str">
        <f ca="1">IF(NOTA[[#This Row],[NB NOTA_C_QTY]]="","",ROW()-2)</f>
        <v/>
      </c>
    </row>
    <row r="160" spans="1:52" ht="20.100000000000001" customHeight="1">
      <c r="A160" s="28">
        <f ca="1">IF(INDIRECT(ADDRESS(ROW()-1,COLUMN(NOTA[[#Headers],[ID]])))="ID",1,IF(NOTA[[#This Row],[FAKTUR]]="","",COUNT(INDIRECT(ADDRESS(ROW(NOTA[ID]),COLUMN(NOTA[ID]))&amp;":"&amp;ADDRESS(ROW()-1,COLUMN(NOTA[ID]))))+1))</f>
        <v>37</v>
      </c>
      <c r="B16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DBS_1806_024-15</v>
      </c>
      <c r="D160" s="25">
        <f ca="1">IF(NOTA[[#This Row],[NAMA BARANG]]="","",INDEX(NOTA[ID],MATCH(,INDIRECT(ADDRESS(ROW(NOTA[ID]),COLUMN(NOTA[ID]))&amp;":"&amp;ADDRESS(ROW(),COLUMN(NOTA[ID]))),-1)))</f>
        <v>37</v>
      </c>
      <c r="E160" s="33">
        <v>45461</v>
      </c>
      <c r="F160" s="25" t="s">
        <v>165</v>
      </c>
      <c r="G160" s="25" t="s">
        <v>109</v>
      </c>
      <c r="H160" s="34" t="s">
        <v>376</v>
      </c>
      <c r="J160" s="26">
        <v>45456</v>
      </c>
      <c r="L160" s="25" t="s">
        <v>377</v>
      </c>
      <c r="M160" s="27">
        <v>1</v>
      </c>
      <c r="N160" s="25">
        <v>144</v>
      </c>
      <c r="O160" s="25" t="s">
        <v>322</v>
      </c>
      <c r="P160" s="28">
        <v>18500</v>
      </c>
      <c r="Q160" s="29"/>
      <c r="R160" s="35"/>
      <c r="S160" s="36"/>
      <c r="V160" s="37"/>
      <c r="W160" s="32"/>
      <c r="X160" s="37">
        <f>IF(NOTA[[#This Row],[HARGA/ CTN]]="",NOTA[[#This Row],[JUMLAH_H]],NOTA[[#This Row],[HARGA/ CTN]]*IF(NOTA[[#This Row],[C]]="",0,NOTA[[#This Row],[C]]))</f>
        <v>2664000</v>
      </c>
      <c r="Y160" s="37">
        <f>IF(NOTA[[#This Row],[JUMLAH]]="","",NOTA[[#This Row],[JUMLAH]]*NOTA[[#This Row],[DISC 1]])</f>
        <v>0</v>
      </c>
      <c r="Z160" s="37">
        <f>IF(NOTA[[#This Row],[JUMLAH]]="","",(NOTA[[#This Row],[JUMLAH]]-NOTA[[#This Row],[DISC 1-]])*NOTA[[#This Row],[DISC 2]])</f>
        <v>0</v>
      </c>
      <c r="AA160" s="37">
        <f>IF(NOTA[[#This Row],[JUMLAH]]="","",(NOTA[[#This Row],[JUMLAH]]-NOTA[[#This Row],[DISC 1-]]-NOTA[[#This Row],[DISC 2-]])*NOTA[[#This Row],[DISC 3]])</f>
        <v>0</v>
      </c>
      <c r="AB160" s="37">
        <f>IF(NOTA[[#This Row],[JUMLAH]]="","",NOTA[[#This Row],[DISC 1-]]+NOTA[[#This Row],[DISC 2-]]+NOTA[[#This Row],[DISC 3-]])</f>
        <v>0</v>
      </c>
      <c r="AC160" s="37">
        <f>IF(NOTA[[#This Row],[JUMLAH]]="","",NOTA[[#This Row],[JUMLAH]]-NOTA[[#This Row],[DISC]])</f>
        <v>2664000</v>
      </c>
      <c r="AD160" s="37"/>
      <c r="AE1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0" s="28">
        <f>IF(NOTA[[#This Row],[NAMA BARANG]]="","",IF(NOTA[[#This Row],[JUMLAH_H]]="",NOTA[[#This Row],[HARGA/ CTN]],NOTA[[#This Row],[QTY]]*NOTA[[#This Row],[HARGA SATUAN]]/IF(ISNUMBER(NOTA[[#This Row],[C]]),NOTA[[#This Row],[C]],1)))</f>
        <v>2664000</v>
      </c>
      <c r="AH160" s="37">
        <f>IF(OR(NOTA[[#This Row],[QTY]]="",NOTA[[#This Row],[HARGA SATUAN]]="",),"",NOTA[[#This Row],[QTY]]*NOTA[[#This Row],[HARGA SATUAN]])</f>
        <v>2664000</v>
      </c>
      <c r="AI160" s="26">
        <f ca="1">IF(NOTA[[#This Row],[ID_H]]="","",INDEX(NOTA[TANGGAL],MATCH(,INDIRECT(ADDRESS(ROW(NOTA[TANGGAL]),COLUMN(NOTA[TANGGAL]))&amp;":"&amp;ADDRESS(ROW(),COLUMN(NOTA[TANGGAL]))),-1)))</f>
        <v>45461</v>
      </c>
      <c r="AJ160" s="26">
        <f ca="1">IF(NOTA[[#This Row],[ID_H]]="","",INDEX(NOTA[TGL.NOTA],MATCH(,INDIRECT(ADDRESS(ROW(NOTA[TGL.NOTA]),COLUMN(NOTA[TGL.NOTA]))&amp;":"&amp;ADDRESS(ROW(),COLUMN(NOTA[TGL.NOTA]))),-1)))</f>
        <v>45456</v>
      </c>
      <c r="AK160" s="26" t="str">
        <f ca="1">IF(NOTA[[#This Row],[ID_H]]="","",INDEX(NOTA[NO.NOTA],MATCH(NOTA[[#This Row],[ID_H]],NOTA[ID_H],0)))</f>
        <v>JUF310/24</v>
      </c>
      <c r="AL160" s="28" t="str">
        <f ca="1">IF(NOTA[[#This Row],[NAMA BARANG]]="","",INDEX(NOTA[SUPPLIER],MATCH(,INDIRECT(ADDRESS(ROW(NOTA[ID]),COLUMN(NOTA[ID]))&amp;":"&amp;ADDRESS(ROW(),COLUMN(NOTA[ID]))),-1)))</f>
        <v>DB STATIONERY</v>
      </c>
      <c r="AM160" s="28" t="str">
        <f ca="1">IF(NOTA[[#This Row],[ID_H]]="","",IF(NOTA[[#This Row],[FAKTUR]]="",INDIRECT(ADDRESS(ROW()-1,COLUMN())),NOTA[[#This Row],[FAKTUR]]))</f>
        <v>UNTANA</v>
      </c>
      <c r="AN160" s="25">
        <f ca="1">IF(NOTA[[#This Row],[ID]]="","",COUNTIF(NOTA[ID_H],NOTA[[#This Row],[ID_H]]))</f>
        <v>15</v>
      </c>
      <c r="AO160" s="25">
        <f>IF(NOTA[[#This Row],[TGL.NOTA]]="",IF(NOTA[[#This Row],[SUPPLIER_H]]="","",AO159),MONTH(NOTA[[#This Row],[TGL.NOTA]]))</f>
        <v>6</v>
      </c>
      <c r="AP160" s="25" t="str">
        <f>LOWER(SUBSTITUTE(SUBSTITUTE(SUBSTITUTE(SUBSTITUTE(SUBSTITUTE(SUBSTITUTE(SUBSTITUTE(SUBSTITUTE(SUBSTITUTE(NOTA[[#This Row],[NAMA BARANG]]," ",),".",""),"-",""),"(",""),")",""),",",""),"/",""),"""",""),"+",""))</f>
        <v>pwarnakayagi24wkycp0724</v>
      </c>
      <c r="AQ1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pwarnakayagi24wkycp07242664000</v>
      </c>
      <c r="AR1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pwarnakayagi24wkycp07242664000</v>
      </c>
      <c r="AS160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STATIONERYUNTANAJUF310/2445456pwarnakayagi24wkycp0724</v>
      </c>
      <c r="AT160" s="25"/>
      <c r="AU160" s="25">
        <f>IF(NOTA[[#This Row],[CONCAT1]]="","",MATCH(NOTA[[#This Row],[CONCAT1]],[3]!db[NB NOTA_C],0))</f>
        <v>2319</v>
      </c>
      <c r="AV160" s="25" t="str">
        <f>IF(NOTA[[#This Row],[QTY/ CTN]]="","",TRUE)</f>
        <v/>
      </c>
      <c r="AW160" s="25" t="str">
        <f ca="1">IF(NOTA[[#This Row],[ID_H]]="","",IF(NOTA[[#This Row],[Column3]]=TRUE,NOTA[[#This Row],[QTY/ CTN]],INDEX([3]!db[QTY/ CTN],NOTA[[#This Row],[//DB]])))</f>
        <v>144 SET</v>
      </c>
      <c r="AX1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pwarnakayagi24wkycp0724144setuntana</v>
      </c>
      <c r="AY160" s="25">
        <f ca="1">IF(NOTA[[#This Row],[ID_H]]="","",MATCH(NOTA[[#This Row],[NB NOTA_C_QTY]],[3]!db[NB NOTA_C_QTY+F],0))</f>
        <v>2320</v>
      </c>
      <c r="AZ160" s="38">
        <f ca="1">IF(NOTA[[#This Row],[NB NOTA_C_QTY]]="","",ROW()-2)</f>
        <v>158</v>
      </c>
    </row>
    <row r="161" spans="1:52" ht="20.100000000000001" customHeight="1">
      <c r="A1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1" s="25">
        <f ca="1">IF(NOTA[[#This Row],[NAMA BARANG]]="","",INDEX(NOTA[ID],MATCH(,INDIRECT(ADDRESS(ROW(NOTA[ID]),COLUMN(NOTA[ID]))&amp;":"&amp;ADDRESS(ROW(),COLUMN(NOTA[ID]))),-1)))</f>
        <v>37</v>
      </c>
      <c r="E161" s="33"/>
      <c r="H161" s="34"/>
      <c r="L161" s="25" t="s">
        <v>378</v>
      </c>
      <c r="M161" s="27">
        <v>1</v>
      </c>
      <c r="N161" s="25">
        <v>120</v>
      </c>
      <c r="O161" s="25" t="s">
        <v>110</v>
      </c>
      <c r="P161" s="28">
        <v>12500</v>
      </c>
      <c r="Q161" s="29"/>
      <c r="R161" s="35"/>
      <c r="S161" s="36"/>
      <c r="V161" s="37"/>
      <c r="W161" s="32"/>
      <c r="X161" s="37">
        <f>IF(NOTA[[#This Row],[HARGA/ CTN]]="",NOTA[[#This Row],[JUMLAH_H]],NOTA[[#This Row],[HARGA/ CTN]]*IF(NOTA[[#This Row],[C]]="",0,NOTA[[#This Row],[C]]))</f>
        <v>1500000</v>
      </c>
      <c r="Y161" s="37">
        <f>IF(NOTA[[#This Row],[JUMLAH]]="","",NOTA[[#This Row],[JUMLAH]]*NOTA[[#This Row],[DISC 1]])</f>
        <v>0</v>
      </c>
      <c r="Z161" s="37">
        <f>IF(NOTA[[#This Row],[JUMLAH]]="","",(NOTA[[#This Row],[JUMLAH]]-NOTA[[#This Row],[DISC 1-]])*NOTA[[#This Row],[DISC 2]])</f>
        <v>0</v>
      </c>
      <c r="AA161" s="37">
        <f>IF(NOTA[[#This Row],[JUMLAH]]="","",(NOTA[[#This Row],[JUMLAH]]-NOTA[[#This Row],[DISC 1-]]-NOTA[[#This Row],[DISC 2-]])*NOTA[[#This Row],[DISC 3]])</f>
        <v>0</v>
      </c>
      <c r="AB161" s="37">
        <f>IF(NOTA[[#This Row],[JUMLAH]]="","",NOTA[[#This Row],[DISC 1-]]+NOTA[[#This Row],[DISC 2-]]+NOTA[[#This Row],[DISC 3-]])</f>
        <v>0</v>
      </c>
      <c r="AC161" s="37">
        <f>IF(NOTA[[#This Row],[JUMLAH]]="","",NOTA[[#This Row],[JUMLAH]]-NOTA[[#This Row],[DISC]])</f>
        <v>1500000</v>
      </c>
      <c r="AD161" s="37"/>
      <c r="AE1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1" s="28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161" s="37">
        <f>IF(OR(NOTA[[#This Row],[QTY]]="",NOTA[[#This Row],[HARGA SATUAN]]="",),"",NOTA[[#This Row],[QTY]]*NOTA[[#This Row],[HARGA SATUAN]])</f>
        <v>1500000</v>
      </c>
      <c r="AI161" s="26">
        <f ca="1">IF(NOTA[[#This Row],[ID_H]]="","",INDEX(NOTA[TANGGAL],MATCH(,INDIRECT(ADDRESS(ROW(NOTA[TANGGAL]),COLUMN(NOTA[TANGGAL]))&amp;":"&amp;ADDRESS(ROW(),COLUMN(NOTA[TANGGAL]))),-1)))</f>
        <v>45461</v>
      </c>
      <c r="AJ161" s="26">
        <f ca="1">IF(NOTA[[#This Row],[ID_H]]="","",INDEX(NOTA[TGL.NOTA],MATCH(,INDIRECT(ADDRESS(ROW(NOTA[TGL.NOTA]),COLUMN(NOTA[TGL.NOTA]))&amp;":"&amp;ADDRESS(ROW(),COLUMN(NOTA[TGL.NOTA]))),-1)))</f>
        <v>45456</v>
      </c>
      <c r="AK161" s="26" t="str">
        <f ca="1">IF(NOTA[[#This Row],[ID_H]]="","",INDEX(NOTA[NO.NOTA],MATCH(NOTA[[#This Row],[ID_H]],NOTA[ID_H],0)))</f>
        <v>JUF310/24</v>
      </c>
      <c r="AL161" s="28" t="str">
        <f ca="1">IF(NOTA[[#This Row],[NAMA BARANG]]="","",INDEX(NOTA[SUPPLIER],MATCH(,INDIRECT(ADDRESS(ROW(NOTA[ID]),COLUMN(NOTA[ID]))&amp;":"&amp;ADDRESS(ROW(),COLUMN(NOTA[ID]))),-1)))</f>
        <v>DB STATIONERY</v>
      </c>
      <c r="AM161" s="28" t="str">
        <f ca="1">IF(NOTA[[#This Row],[ID_H]]="","",IF(NOTA[[#This Row],[FAKTUR]]="",INDIRECT(ADDRESS(ROW()-1,COLUMN())),NOTA[[#This Row],[FAKTUR]]))</f>
        <v>UNTANA</v>
      </c>
      <c r="AN161" s="25" t="str">
        <f ca="1">IF(NOTA[[#This Row],[ID]]="","",COUNTIF(NOTA[ID_H],NOTA[[#This Row],[ID_H]]))</f>
        <v/>
      </c>
      <c r="AO161" s="25">
        <f ca="1">IF(NOTA[[#This Row],[TGL.NOTA]]="",IF(NOTA[[#This Row],[SUPPLIER_H]]="","",AO160),MONTH(NOTA[[#This Row],[TGL.NOTA]]))</f>
        <v>6</v>
      </c>
      <c r="AP161" s="25" t="str">
        <f>LOWER(SUBSTITUTE(SUBSTITUTE(SUBSTITUTE(SUBSTITUTE(SUBSTITUTE(SUBSTITUTE(SUBSTITUTE(SUBSTITUTE(SUBSTITUTE(NOTA[[#This Row],[NAMA BARANG]]," ",),".",""),"-",""),"(",""),")",""),",",""),"/",""),"""",""),"+",""))</f>
        <v>isipensil2b20dbimp062</v>
      </c>
      <c r="AQ1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isipensil2b20dbimp0621500000</v>
      </c>
      <c r="AR1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isipensil2b20dbimp0621500000</v>
      </c>
      <c r="AS1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1" s="25"/>
      <c r="AU161" s="25">
        <f>IF(NOTA[[#This Row],[CONCAT1]]="","",MATCH(NOTA[[#This Row],[CONCAT1]],[3]!db[NB NOTA_C],0))</f>
        <v>1495</v>
      </c>
      <c r="AV161" s="25" t="str">
        <f>IF(NOTA[[#This Row],[QTY/ CTN]]="","",TRUE)</f>
        <v/>
      </c>
      <c r="AW161" s="25" t="str">
        <f ca="1">IF(NOTA[[#This Row],[ID_H]]="","",IF(NOTA[[#This Row],[Column3]]=TRUE,NOTA[[#This Row],[QTY/ CTN]],INDEX([3]!db[QTY/ CTN],NOTA[[#This Row],[//DB]])))</f>
        <v>120 LSN</v>
      </c>
      <c r="AX1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isipensil2b20dbimp062120lsnuntana</v>
      </c>
      <c r="AY161" s="25">
        <f ca="1">IF(NOTA[[#This Row],[ID_H]]="","",MATCH(NOTA[[#This Row],[NB NOTA_C_QTY]],[3]!db[NB NOTA_C_QTY+F],0))</f>
        <v>1495</v>
      </c>
      <c r="AZ161" s="38">
        <f ca="1">IF(NOTA[[#This Row],[NB NOTA_C_QTY]]="","",ROW()-2)</f>
        <v>159</v>
      </c>
    </row>
    <row r="162" spans="1:52" ht="20.100000000000001" customHeight="1">
      <c r="A1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2" s="25">
        <f ca="1">IF(NOTA[[#This Row],[NAMA BARANG]]="","",INDEX(NOTA[ID],MATCH(,INDIRECT(ADDRESS(ROW(NOTA[ID]),COLUMN(NOTA[ID]))&amp;":"&amp;ADDRESS(ROW(),COLUMN(NOTA[ID]))),-1)))</f>
        <v>37</v>
      </c>
      <c r="E162" s="33"/>
      <c r="H162" s="34"/>
      <c r="L162" s="25" t="s">
        <v>478</v>
      </c>
      <c r="M162" s="27">
        <v>1</v>
      </c>
      <c r="N162" s="25">
        <v>24</v>
      </c>
      <c r="O162" s="25" t="s">
        <v>265</v>
      </c>
      <c r="P162" s="28">
        <v>46700</v>
      </c>
      <c r="Q162" s="29"/>
      <c r="R162" s="35"/>
      <c r="S162" s="36"/>
      <c r="V162" s="37"/>
      <c r="W162" s="32"/>
      <c r="X162" s="37">
        <f>IF(NOTA[[#This Row],[HARGA/ CTN]]="",NOTA[[#This Row],[JUMLAH_H]],NOTA[[#This Row],[HARGA/ CTN]]*IF(NOTA[[#This Row],[C]]="",0,NOTA[[#This Row],[C]]))</f>
        <v>1120800</v>
      </c>
      <c r="Y162" s="37">
        <f>IF(NOTA[[#This Row],[JUMLAH]]="","",NOTA[[#This Row],[JUMLAH]]*NOTA[[#This Row],[DISC 1]])</f>
        <v>0</v>
      </c>
      <c r="Z162" s="37">
        <f>IF(NOTA[[#This Row],[JUMLAH]]="","",(NOTA[[#This Row],[JUMLAH]]-NOTA[[#This Row],[DISC 1-]])*NOTA[[#This Row],[DISC 2]])</f>
        <v>0</v>
      </c>
      <c r="AA162" s="37">
        <f>IF(NOTA[[#This Row],[JUMLAH]]="","",(NOTA[[#This Row],[JUMLAH]]-NOTA[[#This Row],[DISC 1-]]-NOTA[[#This Row],[DISC 2-]])*NOTA[[#This Row],[DISC 3]])</f>
        <v>0</v>
      </c>
      <c r="AB162" s="37">
        <f>IF(NOTA[[#This Row],[JUMLAH]]="","",NOTA[[#This Row],[DISC 1-]]+NOTA[[#This Row],[DISC 2-]]+NOTA[[#This Row],[DISC 3-]])</f>
        <v>0</v>
      </c>
      <c r="AC162" s="37">
        <f>IF(NOTA[[#This Row],[JUMLAH]]="","",NOTA[[#This Row],[JUMLAH]]-NOTA[[#This Row],[DISC]])</f>
        <v>1120800</v>
      </c>
      <c r="AD162" s="37"/>
      <c r="AE1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2" s="28">
        <f>IF(NOTA[[#This Row],[NAMA BARANG]]="","",IF(NOTA[[#This Row],[JUMLAH_H]]="",NOTA[[#This Row],[HARGA/ CTN]],NOTA[[#This Row],[QTY]]*NOTA[[#This Row],[HARGA SATUAN]]/IF(ISNUMBER(NOTA[[#This Row],[C]]),NOTA[[#This Row],[C]],1)))</f>
        <v>1120800</v>
      </c>
      <c r="AH162" s="37">
        <f>IF(OR(NOTA[[#This Row],[QTY]]="",NOTA[[#This Row],[HARGA SATUAN]]="",),"",NOTA[[#This Row],[QTY]]*NOTA[[#This Row],[HARGA SATUAN]])</f>
        <v>1120800</v>
      </c>
      <c r="AI162" s="26">
        <f ca="1">IF(NOTA[[#This Row],[ID_H]]="","",INDEX(NOTA[TANGGAL],MATCH(,INDIRECT(ADDRESS(ROW(NOTA[TANGGAL]),COLUMN(NOTA[TANGGAL]))&amp;":"&amp;ADDRESS(ROW(),COLUMN(NOTA[TANGGAL]))),-1)))</f>
        <v>45461</v>
      </c>
      <c r="AJ162" s="26">
        <f ca="1">IF(NOTA[[#This Row],[ID_H]]="","",INDEX(NOTA[TGL.NOTA],MATCH(,INDIRECT(ADDRESS(ROW(NOTA[TGL.NOTA]),COLUMN(NOTA[TGL.NOTA]))&amp;":"&amp;ADDRESS(ROW(),COLUMN(NOTA[TGL.NOTA]))),-1)))</f>
        <v>45456</v>
      </c>
      <c r="AK162" s="26" t="str">
        <f ca="1">IF(NOTA[[#This Row],[ID_H]]="","",INDEX(NOTA[NO.NOTA],MATCH(NOTA[[#This Row],[ID_H]],NOTA[ID_H],0)))</f>
        <v>JUF310/24</v>
      </c>
      <c r="AL162" s="28" t="str">
        <f ca="1">IF(NOTA[[#This Row],[NAMA BARANG]]="","",INDEX(NOTA[SUPPLIER],MATCH(,INDIRECT(ADDRESS(ROW(NOTA[ID]),COLUMN(NOTA[ID]))&amp;":"&amp;ADDRESS(ROW(),COLUMN(NOTA[ID]))),-1)))</f>
        <v>DB STATIONERY</v>
      </c>
      <c r="AM162" s="28" t="str">
        <f ca="1">IF(NOTA[[#This Row],[ID_H]]="","",IF(NOTA[[#This Row],[FAKTUR]]="",INDIRECT(ADDRESS(ROW()-1,COLUMN())),NOTA[[#This Row],[FAKTUR]]))</f>
        <v>UNTANA</v>
      </c>
      <c r="AN162" s="25" t="str">
        <f ca="1">IF(NOTA[[#This Row],[ID]]="","",COUNTIF(NOTA[ID_H],NOTA[[#This Row],[ID_H]]))</f>
        <v/>
      </c>
      <c r="AO162" s="25">
        <f ca="1">IF(NOTA[[#This Row],[TGL.NOTA]]="",IF(NOTA[[#This Row],[SUPPLIER_H]]="","",AO161),MONTH(NOTA[[#This Row],[TGL.NOTA]]))</f>
        <v>6</v>
      </c>
      <c r="AP162" s="25" t="str">
        <f>LOWER(SUBSTITUTE(SUBSTITUTE(SUBSTITUTE(SUBSTITUTE(SUBSTITUTE(SUBSTITUTE(SUBSTITUTE(SUBSTITUTE(SUBSTITUTE(NOTA[[#This Row],[NAMA BARANG]]," ",),".",""),"-",""),"(",""),")",""),",",""),"/",""),"""",""),"+",""))</f>
        <v>rbotolsusu20pcsr5833</v>
      </c>
      <c r="AQ1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rbotolsusu20pcsr58331120800</v>
      </c>
      <c r="AR1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rbotolsusu20pcsr58331120800</v>
      </c>
      <c r="AS1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2" s="25"/>
      <c r="AU162" s="25">
        <f>IF(NOTA[[#This Row],[CONCAT1]]="","",MATCH(NOTA[[#This Row],[CONCAT1]],[3]!db[NB NOTA_C],0))</f>
        <v>3456</v>
      </c>
      <c r="AV162" s="25" t="str">
        <f>IF(NOTA[[#This Row],[QTY/ CTN]]="","",TRUE)</f>
        <v/>
      </c>
      <c r="AW162" s="25" t="str">
        <f ca="1">IF(NOTA[[#This Row],[ID_H]]="","",IF(NOTA[[#This Row],[Column3]]=TRUE,NOTA[[#This Row],[QTY/ CTN]],INDEX([3]!db[QTY/ CTN],NOTA[[#This Row],[//DB]])))</f>
        <v>24 TOP</v>
      </c>
      <c r="AX1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rbotolsusu20pcsr583324topuntana</v>
      </c>
      <c r="AY162" s="25">
        <f ca="1">IF(NOTA[[#This Row],[ID_H]]="","",MATCH(NOTA[[#This Row],[NB NOTA_C_QTY]],[3]!db[NB NOTA_C_QTY+F],0))</f>
        <v>3456</v>
      </c>
      <c r="AZ162" s="38">
        <f ca="1">IF(NOTA[[#This Row],[NB NOTA_C_QTY]]="","",ROW()-2)</f>
        <v>160</v>
      </c>
    </row>
    <row r="163" spans="1:52" ht="20.100000000000001" customHeight="1">
      <c r="A1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3" s="25">
        <f ca="1">IF(NOTA[[#This Row],[NAMA BARANG]]="","",INDEX(NOTA[ID],MATCH(,INDIRECT(ADDRESS(ROW(NOTA[ID]),COLUMN(NOTA[ID]))&amp;":"&amp;ADDRESS(ROW(),COLUMN(NOTA[ID]))),-1)))</f>
        <v>37</v>
      </c>
      <c r="E163" s="33"/>
      <c r="H163" s="34"/>
      <c r="L163" s="25" t="s">
        <v>379</v>
      </c>
      <c r="M163" s="27">
        <v>1</v>
      </c>
      <c r="N163" s="25">
        <v>24</v>
      </c>
      <c r="O163" s="25" t="s">
        <v>265</v>
      </c>
      <c r="P163" s="28">
        <v>63800</v>
      </c>
      <c r="Q163" s="29"/>
      <c r="R163" s="35"/>
      <c r="S163" s="36"/>
      <c r="V163" s="37"/>
      <c r="W163" s="32"/>
      <c r="X163" s="37">
        <f>IF(NOTA[[#This Row],[HARGA/ CTN]]="",NOTA[[#This Row],[JUMLAH_H]],NOTA[[#This Row],[HARGA/ CTN]]*IF(NOTA[[#This Row],[C]]="",0,NOTA[[#This Row],[C]]))</f>
        <v>1531200</v>
      </c>
      <c r="Y163" s="37">
        <f>IF(NOTA[[#This Row],[JUMLAH]]="","",NOTA[[#This Row],[JUMLAH]]*NOTA[[#This Row],[DISC 1]])</f>
        <v>0</v>
      </c>
      <c r="Z163" s="37">
        <f>IF(NOTA[[#This Row],[JUMLAH]]="","",(NOTA[[#This Row],[JUMLAH]]-NOTA[[#This Row],[DISC 1-]])*NOTA[[#This Row],[DISC 2]])</f>
        <v>0</v>
      </c>
      <c r="AA163" s="37">
        <f>IF(NOTA[[#This Row],[JUMLAH]]="","",(NOTA[[#This Row],[JUMLAH]]-NOTA[[#This Row],[DISC 1-]]-NOTA[[#This Row],[DISC 2-]])*NOTA[[#This Row],[DISC 3]])</f>
        <v>0</v>
      </c>
      <c r="AB163" s="37">
        <f>IF(NOTA[[#This Row],[JUMLAH]]="","",NOTA[[#This Row],[DISC 1-]]+NOTA[[#This Row],[DISC 2-]]+NOTA[[#This Row],[DISC 3-]])</f>
        <v>0</v>
      </c>
      <c r="AC163" s="37">
        <f>IF(NOTA[[#This Row],[JUMLAH]]="","",NOTA[[#This Row],[JUMLAH]]-NOTA[[#This Row],[DISC]])</f>
        <v>1531200</v>
      </c>
      <c r="AD163" s="37"/>
      <c r="AE1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3" s="28">
        <f>IF(NOTA[[#This Row],[NAMA BARANG]]="","",IF(NOTA[[#This Row],[JUMLAH_H]]="",NOTA[[#This Row],[HARGA/ CTN]],NOTA[[#This Row],[QTY]]*NOTA[[#This Row],[HARGA SATUAN]]/IF(ISNUMBER(NOTA[[#This Row],[C]]),NOTA[[#This Row],[C]],1)))</f>
        <v>1531200</v>
      </c>
      <c r="AH163" s="37">
        <f>IF(OR(NOTA[[#This Row],[QTY]]="",NOTA[[#This Row],[HARGA SATUAN]]="",),"",NOTA[[#This Row],[QTY]]*NOTA[[#This Row],[HARGA SATUAN]])</f>
        <v>1531200</v>
      </c>
      <c r="AI163" s="26">
        <f ca="1">IF(NOTA[[#This Row],[ID_H]]="","",INDEX(NOTA[TANGGAL],MATCH(,INDIRECT(ADDRESS(ROW(NOTA[TANGGAL]),COLUMN(NOTA[TANGGAL]))&amp;":"&amp;ADDRESS(ROW(),COLUMN(NOTA[TANGGAL]))),-1)))</f>
        <v>45461</v>
      </c>
      <c r="AJ163" s="26">
        <f ca="1">IF(NOTA[[#This Row],[ID_H]]="","",INDEX(NOTA[TGL.NOTA],MATCH(,INDIRECT(ADDRESS(ROW(NOTA[TGL.NOTA]),COLUMN(NOTA[TGL.NOTA]))&amp;":"&amp;ADDRESS(ROW(),COLUMN(NOTA[TGL.NOTA]))),-1)))</f>
        <v>45456</v>
      </c>
      <c r="AK163" s="26" t="str">
        <f ca="1">IF(NOTA[[#This Row],[ID_H]]="","",INDEX(NOTA[NO.NOTA],MATCH(NOTA[[#This Row],[ID_H]],NOTA[ID_H],0)))</f>
        <v>JUF310/24</v>
      </c>
      <c r="AL163" s="28" t="str">
        <f ca="1">IF(NOTA[[#This Row],[NAMA BARANG]]="","",INDEX(NOTA[SUPPLIER],MATCH(,INDIRECT(ADDRESS(ROW(NOTA[ID]),COLUMN(NOTA[ID]))&amp;":"&amp;ADDRESS(ROW(),COLUMN(NOTA[ID]))),-1)))</f>
        <v>DB STATIONERY</v>
      </c>
      <c r="AM163" s="28" t="str">
        <f ca="1">IF(NOTA[[#This Row],[ID_H]]="","",IF(NOTA[[#This Row],[FAKTUR]]="",INDIRECT(ADDRESS(ROW()-1,COLUMN())),NOTA[[#This Row],[FAKTUR]]))</f>
        <v>UNTANA</v>
      </c>
      <c r="AN163" s="25" t="str">
        <f ca="1">IF(NOTA[[#This Row],[ID]]="","",COUNTIF(NOTA[ID_H],NOTA[[#This Row],[ID_H]]))</f>
        <v/>
      </c>
      <c r="AO163" s="25">
        <f ca="1">IF(NOTA[[#This Row],[TGL.NOTA]]="",IF(NOTA[[#This Row],[SUPPLIER_H]]="","",AO162),MONTH(NOTA[[#This Row],[TGL.NOTA]]))</f>
        <v>6</v>
      </c>
      <c r="AP163" s="25" t="str">
        <f>LOWER(SUBSTITUTE(SUBSTITUTE(SUBSTITUTE(SUBSTITUTE(SUBSTITUTE(SUBSTITUTE(SUBSTITUTE(SUBSTITUTE(SUBSTITUTE(NOTA[[#This Row],[NAMA BARANG]]," ",),".",""),"-",""),"(",""),")",""),",",""),"/",""),"""",""),"+",""))</f>
        <v>rtoplesxlg17pcsr5857</v>
      </c>
      <c r="AQ1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rtoplesxlg17pcsr58571531200</v>
      </c>
      <c r="AR1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rtoplesxlg17pcsr58571531200</v>
      </c>
      <c r="AS1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3" s="25"/>
      <c r="AU163" s="25">
        <f>IF(NOTA[[#This Row],[CONCAT1]]="","",MATCH(NOTA[[#This Row],[CONCAT1]],[3]!db[NB NOTA_C],0))</f>
        <v>3457</v>
      </c>
      <c r="AV163" s="25" t="str">
        <f>IF(NOTA[[#This Row],[QTY/ CTN]]="","",TRUE)</f>
        <v/>
      </c>
      <c r="AW163" s="25" t="str">
        <f ca="1">IF(NOTA[[#This Row],[ID_H]]="","",IF(NOTA[[#This Row],[Column3]]=TRUE,NOTA[[#This Row],[QTY/ CTN]],INDEX([3]!db[QTY/ CTN],NOTA[[#This Row],[//DB]])))</f>
        <v>24 TOP</v>
      </c>
      <c r="AX1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rtoplesxlg17pcsr585724topuntana</v>
      </c>
      <c r="AY163" s="25">
        <f ca="1">IF(NOTA[[#This Row],[ID_H]]="","",MATCH(NOTA[[#This Row],[NB NOTA_C_QTY]],[3]!db[NB NOTA_C_QTY+F],0))</f>
        <v>3457</v>
      </c>
      <c r="AZ163" s="38">
        <f ca="1">IF(NOTA[[#This Row],[NB NOTA_C_QTY]]="","",ROW()-2)</f>
        <v>161</v>
      </c>
    </row>
    <row r="164" spans="1:52" ht="20.100000000000001" customHeight="1">
      <c r="A1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4" s="25">
        <f ca="1">IF(NOTA[[#This Row],[NAMA BARANG]]="","",INDEX(NOTA[ID],MATCH(,INDIRECT(ADDRESS(ROW(NOTA[ID]),COLUMN(NOTA[ID]))&amp;":"&amp;ADDRESS(ROW(),COLUMN(NOTA[ID]))),-1)))</f>
        <v>37</v>
      </c>
      <c r="E164" s="33"/>
      <c r="H164" s="34"/>
      <c r="L164" s="25" t="s">
        <v>380</v>
      </c>
      <c r="M164" s="27">
        <v>2</v>
      </c>
      <c r="N164" s="25">
        <v>48</v>
      </c>
      <c r="O164" s="25" t="s">
        <v>265</v>
      </c>
      <c r="P164" s="28">
        <v>60000</v>
      </c>
      <c r="Q164" s="29"/>
      <c r="R164" s="35"/>
      <c r="S164" s="36"/>
      <c r="V164" s="37"/>
      <c r="W164" s="32"/>
      <c r="X164" s="37">
        <f>IF(NOTA[[#This Row],[HARGA/ CTN]]="",NOTA[[#This Row],[JUMLAH_H]],NOTA[[#This Row],[HARGA/ CTN]]*IF(NOTA[[#This Row],[C]]="",0,NOTA[[#This Row],[C]]))</f>
        <v>2880000</v>
      </c>
      <c r="Y164" s="37">
        <f>IF(NOTA[[#This Row],[JUMLAH]]="","",NOTA[[#This Row],[JUMLAH]]*NOTA[[#This Row],[DISC 1]])</f>
        <v>0</v>
      </c>
      <c r="Z164" s="37">
        <f>IF(NOTA[[#This Row],[JUMLAH]]="","",(NOTA[[#This Row],[JUMLAH]]-NOTA[[#This Row],[DISC 1-]])*NOTA[[#This Row],[DISC 2]])</f>
        <v>0</v>
      </c>
      <c r="AA164" s="37">
        <f>IF(NOTA[[#This Row],[JUMLAH]]="","",(NOTA[[#This Row],[JUMLAH]]-NOTA[[#This Row],[DISC 1-]]-NOTA[[#This Row],[DISC 2-]])*NOTA[[#This Row],[DISC 3]])</f>
        <v>0</v>
      </c>
      <c r="AB164" s="37">
        <f>IF(NOTA[[#This Row],[JUMLAH]]="","",NOTA[[#This Row],[DISC 1-]]+NOTA[[#This Row],[DISC 2-]]+NOTA[[#This Row],[DISC 3-]])</f>
        <v>0</v>
      </c>
      <c r="AC164" s="37">
        <f>IF(NOTA[[#This Row],[JUMLAH]]="","",NOTA[[#This Row],[JUMLAH]]-NOTA[[#This Row],[DISC]])</f>
        <v>2880000</v>
      </c>
      <c r="AD164" s="37"/>
      <c r="AE1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4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164" s="37">
        <f>IF(OR(NOTA[[#This Row],[QTY]]="",NOTA[[#This Row],[HARGA SATUAN]]="",),"",NOTA[[#This Row],[QTY]]*NOTA[[#This Row],[HARGA SATUAN]])</f>
        <v>2880000</v>
      </c>
      <c r="AI164" s="26">
        <f ca="1">IF(NOTA[[#This Row],[ID_H]]="","",INDEX(NOTA[TANGGAL],MATCH(,INDIRECT(ADDRESS(ROW(NOTA[TANGGAL]),COLUMN(NOTA[TANGGAL]))&amp;":"&amp;ADDRESS(ROW(),COLUMN(NOTA[TANGGAL]))),-1)))</f>
        <v>45461</v>
      </c>
      <c r="AJ164" s="26">
        <f ca="1">IF(NOTA[[#This Row],[ID_H]]="","",INDEX(NOTA[TGL.NOTA],MATCH(,INDIRECT(ADDRESS(ROW(NOTA[TGL.NOTA]),COLUMN(NOTA[TGL.NOTA]))&amp;":"&amp;ADDRESS(ROW(),COLUMN(NOTA[TGL.NOTA]))),-1)))</f>
        <v>45456</v>
      </c>
      <c r="AK164" s="26" t="str">
        <f ca="1">IF(NOTA[[#This Row],[ID_H]]="","",INDEX(NOTA[NO.NOTA],MATCH(NOTA[[#This Row],[ID_H]],NOTA[ID_H],0)))</f>
        <v>JUF310/24</v>
      </c>
      <c r="AL164" s="28" t="str">
        <f ca="1">IF(NOTA[[#This Row],[NAMA BARANG]]="","",INDEX(NOTA[SUPPLIER],MATCH(,INDIRECT(ADDRESS(ROW(NOTA[ID]),COLUMN(NOTA[ID]))&amp;":"&amp;ADDRESS(ROW(),COLUMN(NOTA[ID]))),-1)))</f>
        <v>DB STATIONERY</v>
      </c>
      <c r="AM164" s="28" t="str">
        <f ca="1">IF(NOTA[[#This Row],[ID_H]]="","",IF(NOTA[[#This Row],[FAKTUR]]="",INDIRECT(ADDRESS(ROW()-1,COLUMN())),NOTA[[#This Row],[FAKTUR]]))</f>
        <v>UNTANA</v>
      </c>
      <c r="AN164" s="25" t="str">
        <f ca="1">IF(NOTA[[#This Row],[ID]]="","",COUNTIF(NOTA[ID_H],NOTA[[#This Row],[ID_H]]))</f>
        <v/>
      </c>
      <c r="AO164" s="25">
        <f ca="1">IF(NOTA[[#This Row],[TGL.NOTA]]="",IF(NOTA[[#This Row],[SUPPLIER_H]]="","",AO163),MONTH(NOTA[[#This Row],[TGL.NOTA]]))</f>
        <v>6</v>
      </c>
      <c r="AP164" s="25" t="str">
        <f>LOWER(SUBSTITUTE(SUBSTITUTE(SUBSTITUTE(SUBSTITUTE(SUBSTITUTE(SUBSTITUTE(SUBSTITUTE(SUBSTITUTE(SUBSTITUTE(NOTA[[#This Row],[NAMA BARANG]]," ",),".",""),"-",""),"(",""),")",""),",",""),"/",""),"""",""),"+",""))</f>
        <v>rautankittytoplesr5842</v>
      </c>
      <c r="AQ1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rautankittytoplesr58421440000</v>
      </c>
      <c r="AR1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rautankittytoplesr58421440000</v>
      </c>
      <c r="AS1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4" s="25"/>
      <c r="AU164" s="25">
        <f>IF(NOTA[[#This Row],[CONCAT1]]="","",MATCH(NOTA[[#This Row],[CONCAT1]],[3]!db[NB NOTA_C],0))</f>
        <v>2791</v>
      </c>
      <c r="AV164" s="25" t="str">
        <f>IF(NOTA[[#This Row],[QTY/ CTN]]="","",TRUE)</f>
        <v/>
      </c>
      <c r="AW164" s="25" t="str">
        <f ca="1">IF(NOTA[[#This Row],[ID_H]]="","",IF(NOTA[[#This Row],[Column3]]=TRUE,NOTA[[#This Row],[QTY/ CTN]],INDEX([3]!db[QTY/ CTN],NOTA[[#This Row],[//DB]])))</f>
        <v xml:space="preserve">24 TOP </v>
      </c>
      <c r="AX1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rautankittytoplesr584224topuntana</v>
      </c>
      <c r="AY164" s="25">
        <f ca="1">IF(NOTA[[#This Row],[ID_H]]="","",MATCH(NOTA[[#This Row],[NB NOTA_C_QTY]],[3]!db[NB NOTA_C_QTY+F],0))</f>
        <v>2791</v>
      </c>
      <c r="AZ164" s="38">
        <f ca="1">IF(NOTA[[#This Row],[NB NOTA_C_QTY]]="","",ROW()-2)</f>
        <v>162</v>
      </c>
    </row>
    <row r="165" spans="1:52" ht="20.100000000000001" customHeight="1">
      <c r="A1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5" s="25">
        <f ca="1">IF(NOTA[[#This Row],[NAMA BARANG]]="","",INDEX(NOTA[ID],MATCH(,INDIRECT(ADDRESS(ROW(NOTA[ID]),COLUMN(NOTA[ID]))&amp;":"&amp;ADDRESS(ROW(),COLUMN(NOTA[ID]))),-1)))</f>
        <v>37</v>
      </c>
      <c r="E165" s="33"/>
      <c r="H165" s="34"/>
      <c r="L165" s="25" t="s">
        <v>381</v>
      </c>
      <c r="M165" s="27">
        <v>1</v>
      </c>
      <c r="N165" s="25">
        <v>15</v>
      </c>
      <c r="O165" s="25" t="s">
        <v>111</v>
      </c>
      <c r="Q165" s="29"/>
      <c r="R165" s="35"/>
      <c r="S165" s="36"/>
      <c r="V165" s="37"/>
      <c r="W165" s="32" t="s">
        <v>170</v>
      </c>
      <c r="X165" s="37" t="str">
        <f>IF(NOTA[[#This Row],[HARGA/ CTN]]="",NOTA[[#This Row],[JUMLAH_H]],NOTA[[#This Row],[HARGA/ CTN]]*IF(NOTA[[#This Row],[C]]="",0,NOTA[[#This Row],[C]]))</f>
        <v/>
      </c>
      <c r="Y165" s="37" t="str">
        <f>IF(NOTA[[#This Row],[JUMLAH]]="","",NOTA[[#This Row],[JUMLAH]]*NOTA[[#This Row],[DISC 1]])</f>
        <v/>
      </c>
      <c r="Z165" s="37" t="str">
        <f>IF(NOTA[[#This Row],[JUMLAH]]="","",(NOTA[[#This Row],[JUMLAH]]-NOTA[[#This Row],[DISC 1-]])*NOTA[[#This Row],[DISC 2]])</f>
        <v/>
      </c>
      <c r="AA165" s="37" t="str">
        <f>IF(NOTA[[#This Row],[JUMLAH]]="","",(NOTA[[#This Row],[JUMLAH]]-NOTA[[#This Row],[DISC 1-]]-NOTA[[#This Row],[DISC 2-]])*NOTA[[#This Row],[DISC 3]])</f>
        <v/>
      </c>
      <c r="AB165" s="37" t="str">
        <f>IF(NOTA[[#This Row],[JUMLAH]]="","",NOTA[[#This Row],[DISC 1-]]+NOTA[[#This Row],[DISC 2-]]+NOTA[[#This Row],[DISC 3-]])</f>
        <v/>
      </c>
      <c r="AC165" s="37" t="str">
        <f>IF(NOTA[[#This Row],[JUMLAH]]="","",NOTA[[#This Row],[JUMLAH]]-NOTA[[#This Row],[DISC]])</f>
        <v/>
      </c>
      <c r="AD165" s="37"/>
      <c r="AE1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65" s="37" t="str">
        <f>IF(OR(NOTA[[#This Row],[QTY]]="",NOTA[[#This Row],[HARGA SATUAN]]="",),"",NOTA[[#This Row],[QTY]]*NOTA[[#This Row],[HARGA SATUAN]])</f>
        <v/>
      </c>
      <c r="AI165" s="26">
        <f ca="1">IF(NOTA[[#This Row],[ID_H]]="","",INDEX(NOTA[TANGGAL],MATCH(,INDIRECT(ADDRESS(ROW(NOTA[TANGGAL]),COLUMN(NOTA[TANGGAL]))&amp;":"&amp;ADDRESS(ROW(),COLUMN(NOTA[TANGGAL]))),-1)))</f>
        <v>45461</v>
      </c>
      <c r="AJ165" s="26">
        <f ca="1">IF(NOTA[[#This Row],[ID_H]]="","",INDEX(NOTA[TGL.NOTA],MATCH(,INDIRECT(ADDRESS(ROW(NOTA[TGL.NOTA]),COLUMN(NOTA[TGL.NOTA]))&amp;":"&amp;ADDRESS(ROW(),COLUMN(NOTA[TGL.NOTA]))),-1)))</f>
        <v>45456</v>
      </c>
      <c r="AK165" s="26" t="str">
        <f ca="1">IF(NOTA[[#This Row],[ID_H]]="","",INDEX(NOTA[NO.NOTA],MATCH(NOTA[[#This Row],[ID_H]],NOTA[ID_H],0)))</f>
        <v>JUF310/24</v>
      </c>
      <c r="AL165" s="28" t="str">
        <f ca="1">IF(NOTA[[#This Row],[NAMA BARANG]]="","",INDEX(NOTA[SUPPLIER],MATCH(,INDIRECT(ADDRESS(ROW(NOTA[ID]),COLUMN(NOTA[ID]))&amp;":"&amp;ADDRESS(ROW(),COLUMN(NOTA[ID]))),-1)))</f>
        <v>DB STATIONERY</v>
      </c>
      <c r="AM165" s="28" t="str">
        <f ca="1">IF(NOTA[[#This Row],[ID_H]]="","",IF(NOTA[[#This Row],[FAKTUR]]="",INDIRECT(ADDRESS(ROW()-1,COLUMN())),NOTA[[#This Row],[FAKTUR]]))</f>
        <v>UNTANA</v>
      </c>
      <c r="AN165" s="25" t="str">
        <f ca="1">IF(NOTA[[#This Row],[ID]]="","",COUNTIF(NOTA[ID_H],NOTA[[#This Row],[ID_H]]))</f>
        <v/>
      </c>
      <c r="AO165" s="25">
        <f ca="1">IF(NOTA[[#This Row],[TGL.NOTA]]="",IF(NOTA[[#This Row],[SUPPLIER_H]]="","",AO164),MONTH(NOTA[[#This Row],[TGL.NOTA]]))</f>
        <v>6</v>
      </c>
      <c r="AP165" s="25" t="str">
        <f>LOWER(SUBSTITUTE(SUBSTITUTE(SUBSTITUTE(SUBSTITUTE(SUBSTITUTE(SUBSTITUTE(SUBSTITUTE(SUBSTITUTE(SUBSTITUTE(NOTA[[#This Row],[NAMA BARANG]]," ",),".",""),"-",""),"(",""),")",""),",",""),"/",""),"""",""),"+",""))</f>
        <v>rautanmejabonekasx0065l</v>
      </c>
      <c r="AQ1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rautanmejabonekasx0065l0</v>
      </c>
      <c r="AR1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rautanmejabonekasx0065l0</v>
      </c>
      <c r="AS1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5" s="25"/>
      <c r="AU165" s="25">
        <f>IF(NOTA[[#This Row],[CONCAT1]]="","",MATCH(NOTA[[#This Row],[CONCAT1]],[3]!db[NB NOTA_C],0))</f>
        <v>3458</v>
      </c>
      <c r="AV165" s="25" t="str">
        <f>IF(NOTA[[#This Row],[QTY/ CTN]]="","",TRUE)</f>
        <v/>
      </c>
      <c r="AW165" s="25" t="str">
        <f ca="1">IF(NOTA[[#This Row],[ID_H]]="","",IF(NOTA[[#This Row],[Column3]]=TRUE,NOTA[[#This Row],[QTY/ CTN]],INDEX([3]!db[QTY/ CTN],NOTA[[#This Row],[//DB]])))</f>
        <v>15 PCS</v>
      </c>
      <c r="AX1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rautanmejabonekasx0065l15pcsuntana</v>
      </c>
      <c r="AY165" s="25">
        <f ca="1">IF(NOTA[[#This Row],[ID_H]]="","",MATCH(NOTA[[#This Row],[NB NOTA_C_QTY]],[3]!db[NB NOTA_C_QTY+F],0))</f>
        <v>3458</v>
      </c>
      <c r="AZ165" s="38">
        <f ca="1">IF(NOTA[[#This Row],[NB NOTA_C_QTY]]="","",ROW()-2)</f>
        <v>163</v>
      </c>
    </row>
    <row r="166" spans="1:52" ht="20.100000000000001" customHeight="1">
      <c r="A1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6" s="25">
        <f ca="1">IF(NOTA[[#This Row],[NAMA BARANG]]="","",INDEX(NOTA[ID],MATCH(,INDIRECT(ADDRESS(ROW(NOTA[ID]),COLUMN(NOTA[ID]))&amp;":"&amp;ADDRESS(ROW(),COLUMN(NOTA[ID]))),-1)))</f>
        <v>37</v>
      </c>
      <c r="E166" s="33"/>
      <c r="H166" s="34"/>
      <c r="L166" s="25" t="s">
        <v>382</v>
      </c>
      <c r="M166" s="27">
        <v>2</v>
      </c>
      <c r="N166" s="25">
        <v>288</v>
      </c>
      <c r="O166" s="25" t="s">
        <v>110</v>
      </c>
      <c r="P166" s="28">
        <v>18250</v>
      </c>
      <c r="Q166" s="29"/>
      <c r="R166" s="35"/>
      <c r="S166" s="36"/>
      <c r="V166" s="37"/>
      <c r="W166" s="32"/>
      <c r="X166" s="37">
        <f>IF(NOTA[[#This Row],[HARGA/ CTN]]="",NOTA[[#This Row],[JUMLAH_H]],NOTA[[#This Row],[HARGA/ CTN]]*IF(NOTA[[#This Row],[C]]="",0,NOTA[[#This Row],[C]]))</f>
        <v>5256000</v>
      </c>
      <c r="Y166" s="37">
        <f>IF(NOTA[[#This Row],[JUMLAH]]="","",NOTA[[#This Row],[JUMLAH]]*NOTA[[#This Row],[DISC 1]])</f>
        <v>0</v>
      </c>
      <c r="Z166" s="37">
        <f>IF(NOTA[[#This Row],[JUMLAH]]="","",(NOTA[[#This Row],[JUMLAH]]-NOTA[[#This Row],[DISC 1-]])*NOTA[[#This Row],[DISC 2]])</f>
        <v>0</v>
      </c>
      <c r="AA166" s="37">
        <f>IF(NOTA[[#This Row],[JUMLAH]]="","",(NOTA[[#This Row],[JUMLAH]]-NOTA[[#This Row],[DISC 1-]]-NOTA[[#This Row],[DISC 2-]])*NOTA[[#This Row],[DISC 3]])</f>
        <v>0</v>
      </c>
      <c r="AB166" s="37">
        <f>IF(NOTA[[#This Row],[JUMLAH]]="","",NOTA[[#This Row],[DISC 1-]]+NOTA[[#This Row],[DISC 2-]]+NOTA[[#This Row],[DISC 3-]])</f>
        <v>0</v>
      </c>
      <c r="AC166" s="37">
        <f>IF(NOTA[[#This Row],[JUMLAH]]="","",NOTA[[#This Row],[JUMLAH]]-NOTA[[#This Row],[DISC]])</f>
        <v>5256000</v>
      </c>
      <c r="AD166" s="37"/>
      <c r="AE1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6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6" s="37">
        <f>IF(OR(NOTA[[#This Row],[QTY]]="",NOTA[[#This Row],[HARGA SATUAN]]="",),"",NOTA[[#This Row],[QTY]]*NOTA[[#This Row],[HARGA SATUAN]])</f>
        <v>5256000</v>
      </c>
      <c r="AI166" s="26">
        <f ca="1">IF(NOTA[[#This Row],[ID_H]]="","",INDEX(NOTA[TANGGAL],MATCH(,INDIRECT(ADDRESS(ROW(NOTA[TANGGAL]),COLUMN(NOTA[TANGGAL]))&amp;":"&amp;ADDRESS(ROW(),COLUMN(NOTA[TANGGAL]))),-1)))</f>
        <v>45461</v>
      </c>
      <c r="AJ166" s="26">
        <f ca="1">IF(NOTA[[#This Row],[ID_H]]="","",INDEX(NOTA[TGL.NOTA],MATCH(,INDIRECT(ADDRESS(ROW(NOTA[TGL.NOTA]),COLUMN(NOTA[TGL.NOTA]))&amp;":"&amp;ADDRESS(ROW(),COLUMN(NOTA[TGL.NOTA]))),-1)))</f>
        <v>45456</v>
      </c>
      <c r="AK166" s="26" t="str">
        <f ca="1">IF(NOTA[[#This Row],[ID_H]]="","",INDEX(NOTA[NO.NOTA],MATCH(NOTA[[#This Row],[ID_H]],NOTA[ID_H],0)))</f>
        <v>JUF310/24</v>
      </c>
      <c r="AL166" s="28" t="str">
        <f ca="1">IF(NOTA[[#This Row],[NAMA BARANG]]="","",INDEX(NOTA[SUPPLIER],MATCH(,INDIRECT(ADDRESS(ROW(NOTA[ID]),COLUMN(NOTA[ID]))&amp;":"&amp;ADDRESS(ROW(),COLUMN(NOTA[ID]))),-1)))</f>
        <v>DB STATIONERY</v>
      </c>
      <c r="AM166" s="28" t="str">
        <f ca="1">IF(NOTA[[#This Row],[ID_H]]="","",IF(NOTA[[#This Row],[FAKTUR]]="",INDIRECT(ADDRESS(ROW()-1,COLUMN())),NOTA[[#This Row],[FAKTUR]]))</f>
        <v>UNTANA</v>
      </c>
      <c r="AN166" s="25" t="str">
        <f ca="1">IF(NOTA[[#This Row],[ID]]="","",COUNTIF(NOTA[ID_H],NOTA[[#This Row],[ID_H]]))</f>
        <v/>
      </c>
      <c r="AO166" s="25">
        <f ca="1">IF(NOTA[[#This Row],[TGL.NOTA]]="",IF(NOTA[[#This Row],[SUPPLIER_H]]="","",AO165),MONTH(NOTA[[#This Row],[TGL.NOTA]]))</f>
        <v>6</v>
      </c>
      <c r="AP166" s="25" t="str">
        <f>LOWER(SUBSTITUTE(SUBSTITUTE(SUBSTITUTE(SUBSTITUTE(SUBSTITUTE(SUBSTITUTE(SUBSTITUTE(SUBSTITUTE(SUBSTITUTE(NOTA[[#This Row],[NAMA BARANG]]," ",),".",""),"-",""),"(",""),")",""),",",""),"/",""),"""",""),"+",""))</f>
        <v>geltizofancys3tg30801f</v>
      </c>
      <c r="AQ1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geltizofancys3tg30801f2628000</v>
      </c>
      <c r="AR1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geltizofancys3tg30801f2628000</v>
      </c>
      <c r="AS1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6" s="25"/>
      <c r="AU166" s="25">
        <f>IF(NOTA[[#This Row],[CONCAT1]]="","",MATCH(NOTA[[#This Row],[CONCAT1]],[3]!db[NB NOTA_C],0))</f>
        <v>1154</v>
      </c>
      <c r="AV166" s="25" t="str">
        <f>IF(NOTA[[#This Row],[QTY/ CTN]]="","",TRUE)</f>
        <v/>
      </c>
      <c r="AW166" s="25" t="str">
        <f ca="1">IF(NOTA[[#This Row],[ID_H]]="","",IF(NOTA[[#This Row],[Column3]]=TRUE,NOTA[[#This Row],[QTY/ CTN]],INDEX([3]!db[QTY/ CTN],NOTA[[#This Row],[//DB]])))</f>
        <v>144 LSN</v>
      </c>
      <c r="AX1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geltizofancys3tg30801f144lsnuntana</v>
      </c>
      <c r="AY166" s="25">
        <f ca="1">IF(NOTA[[#This Row],[ID_H]]="","",MATCH(NOTA[[#This Row],[NB NOTA_C_QTY]],[3]!db[NB NOTA_C_QTY+F],0))</f>
        <v>1154</v>
      </c>
      <c r="AZ166" s="38">
        <f ca="1">IF(NOTA[[#This Row],[NB NOTA_C_QTY]]="","",ROW()-2)</f>
        <v>164</v>
      </c>
    </row>
    <row r="167" spans="1:52" ht="20.100000000000001" customHeight="1">
      <c r="A1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7" s="25">
        <f ca="1">IF(NOTA[[#This Row],[NAMA BARANG]]="","",INDEX(NOTA[ID],MATCH(,INDIRECT(ADDRESS(ROW(NOTA[ID]),COLUMN(NOTA[ID]))&amp;":"&amp;ADDRESS(ROW(),COLUMN(NOTA[ID]))),-1)))</f>
        <v>37</v>
      </c>
      <c r="E167" s="33"/>
      <c r="H167" s="34"/>
      <c r="L167" s="25" t="s">
        <v>383</v>
      </c>
      <c r="M167" s="27">
        <v>2</v>
      </c>
      <c r="N167" s="25">
        <v>288</v>
      </c>
      <c r="O167" s="25" t="s">
        <v>110</v>
      </c>
      <c r="P167" s="28">
        <v>18250</v>
      </c>
      <c r="Q167" s="29"/>
      <c r="R167" s="35"/>
      <c r="S167" s="36"/>
      <c r="V167" s="37"/>
      <c r="W167" s="32"/>
      <c r="X167" s="37">
        <f>IF(NOTA[[#This Row],[HARGA/ CTN]]="",NOTA[[#This Row],[JUMLAH_H]],NOTA[[#This Row],[HARGA/ CTN]]*IF(NOTA[[#This Row],[C]]="",0,NOTA[[#This Row],[C]]))</f>
        <v>5256000</v>
      </c>
      <c r="Y167" s="37">
        <f>IF(NOTA[[#This Row],[JUMLAH]]="","",NOTA[[#This Row],[JUMLAH]]*NOTA[[#This Row],[DISC 1]])</f>
        <v>0</v>
      </c>
      <c r="Z167" s="37">
        <f>IF(NOTA[[#This Row],[JUMLAH]]="","",(NOTA[[#This Row],[JUMLAH]]-NOTA[[#This Row],[DISC 1-]])*NOTA[[#This Row],[DISC 2]])</f>
        <v>0</v>
      </c>
      <c r="AA167" s="37">
        <f>IF(NOTA[[#This Row],[JUMLAH]]="","",(NOTA[[#This Row],[JUMLAH]]-NOTA[[#This Row],[DISC 1-]]-NOTA[[#This Row],[DISC 2-]])*NOTA[[#This Row],[DISC 3]])</f>
        <v>0</v>
      </c>
      <c r="AB167" s="37">
        <f>IF(NOTA[[#This Row],[JUMLAH]]="","",NOTA[[#This Row],[DISC 1-]]+NOTA[[#This Row],[DISC 2-]]+NOTA[[#This Row],[DISC 3-]])</f>
        <v>0</v>
      </c>
      <c r="AC167" s="37">
        <f>IF(NOTA[[#This Row],[JUMLAH]]="","",NOTA[[#This Row],[JUMLAH]]-NOTA[[#This Row],[DISC]])</f>
        <v>5256000</v>
      </c>
      <c r="AD167" s="37"/>
      <c r="AE1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7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7" s="37">
        <f>IF(OR(NOTA[[#This Row],[QTY]]="",NOTA[[#This Row],[HARGA SATUAN]]="",),"",NOTA[[#This Row],[QTY]]*NOTA[[#This Row],[HARGA SATUAN]])</f>
        <v>5256000</v>
      </c>
      <c r="AI167" s="26">
        <f ca="1">IF(NOTA[[#This Row],[ID_H]]="","",INDEX(NOTA[TANGGAL],MATCH(,INDIRECT(ADDRESS(ROW(NOTA[TANGGAL]),COLUMN(NOTA[TANGGAL]))&amp;":"&amp;ADDRESS(ROW(),COLUMN(NOTA[TANGGAL]))),-1)))</f>
        <v>45461</v>
      </c>
      <c r="AJ167" s="26">
        <f ca="1">IF(NOTA[[#This Row],[ID_H]]="","",INDEX(NOTA[TGL.NOTA],MATCH(,INDIRECT(ADDRESS(ROW(NOTA[TGL.NOTA]),COLUMN(NOTA[TGL.NOTA]))&amp;":"&amp;ADDRESS(ROW(),COLUMN(NOTA[TGL.NOTA]))),-1)))</f>
        <v>45456</v>
      </c>
      <c r="AK167" s="26" t="str">
        <f ca="1">IF(NOTA[[#This Row],[ID_H]]="","",INDEX(NOTA[NO.NOTA],MATCH(NOTA[[#This Row],[ID_H]],NOTA[ID_H],0)))</f>
        <v>JUF310/24</v>
      </c>
      <c r="AL167" s="28" t="str">
        <f ca="1">IF(NOTA[[#This Row],[NAMA BARANG]]="","",INDEX(NOTA[SUPPLIER],MATCH(,INDIRECT(ADDRESS(ROW(NOTA[ID]),COLUMN(NOTA[ID]))&amp;":"&amp;ADDRESS(ROW(),COLUMN(NOTA[ID]))),-1)))</f>
        <v>DB STATIONERY</v>
      </c>
      <c r="AM167" s="28" t="str">
        <f ca="1">IF(NOTA[[#This Row],[ID_H]]="","",IF(NOTA[[#This Row],[FAKTUR]]="",INDIRECT(ADDRESS(ROW()-1,COLUMN())),NOTA[[#This Row],[FAKTUR]]))</f>
        <v>UNTANA</v>
      </c>
      <c r="AN167" s="25" t="str">
        <f ca="1">IF(NOTA[[#This Row],[ID]]="","",COUNTIF(NOTA[ID_H],NOTA[[#This Row],[ID_H]]))</f>
        <v/>
      </c>
      <c r="AO167" s="25">
        <f ca="1">IF(NOTA[[#This Row],[TGL.NOTA]]="",IF(NOTA[[#This Row],[SUPPLIER_H]]="","",AO166),MONTH(NOTA[[#This Row],[TGL.NOTA]]))</f>
        <v>6</v>
      </c>
      <c r="AP167" s="25" t="str">
        <f>LOWER(SUBSTITUTE(SUBSTITUTE(SUBSTITUTE(SUBSTITUTE(SUBSTITUTE(SUBSTITUTE(SUBSTITUTE(SUBSTITUTE(SUBSTITUTE(NOTA[[#This Row],[NAMA BARANG]]," ",),".",""),"-",""),"(",""),")",""),",",""),"/",""),"""",""),"+",""))</f>
        <v>geltizofancys3tg30802f</v>
      </c>
      <c r="AQ1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geltizofancys3tg30802f2628000</v>
      </c>
      <c r="AR1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geltizofancys3tg30802f2628000</v>
      </c>
      <c r="AS1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7" s="25"/>
      <c r="AU167" s="25">
        <f>IF(NOTA[[#This Row],[CONCAT1]]="","",MATCH(NOTA[[#This Row],[CONCAT1]],[3]!db[NB NOTA_C],0))</f>
        <v>1173</v>
      </c>
      <c r="AV167" s="25" t="str">
        <f>IF(NOTA[[#This Row],[QTY/ CTN]]="","",TRUE)</f>
        <v/>
      </c>
      <c r="AW167" s="25" t="str">
        <f ca="1">IF(NOTA[[#This Row],[ID_H]]="","",IF(NOTA[[#This Row],[Column3]]=TRUE,NOTA[[#This Row],[QTY/ CTN]],INDEX([3]!db[QTY/ CTN],NOTA[[#This Row],[//DB]])))</f>
        <v>144 LSN</v>
      </c>
      <c r="AX1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geltizofancys3tg30802f144lsnuntana</v>
      </c>
      <c r="AY167" s="25">
        <f ca="1">IF(NOTA[[#This Row],[ID_H]]="","",MATCH(NOTA[[#This Row],[NB NOTA_C_QTY]],[3]!db[NB NOTA_C_QTY+F],0))</f>
        <v>1173</v>
      </c>
      <c r="AZ167" s="38">
        <f ca="1">IF(NOTA[[#This Row],[NB NOTA_C_QTY]]="","",ROW()-2)</f>
        <v>165</v>
      </c>
    </row>
    <row r="168" spans="1:52" ht="20.100000000000001" customHeight="1">
      <c r="A1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8" s="25">
        <f ca="1">IF(NOTA[[#This Row],[NAMA BARANG]]="","",INDEX(NOTA[ID],MATCH(,INDIRECT(ADDRESS(ROW(NOTA[ID]),COLUMN(NOTA[ID]))&amp;":"&amp;ADDRESS(ROW(),COLUMN(NOTA[ID]))),-1)))</f>
        <v>37</v>
      </c>
      <c r="E168" s="33"/>
      <c r="H168" s="34"/>
      <c r="L168" s="25" t="s">
        <v>384</v>
      </c>
      <c r="M168" s="27">
        <v>2</v>
      </c>
      <c r="N168" s="25">
        <v>288</v>
      </c>
      <c r="O168" s="25" t="s">
        <v>110</v>
      </c>
      <c r="P168" s="28">
        <v>18250</v>
      </c>
      <c r="Q168" s="29"/>
      <c r="R168" s="35"/>
      <c r="S168" s="36"/>
      <c r="V168" s="37"/>
      <c r="W168" s="32"/>
      <c r="X168" s="37">
        <f>IF(NOTA[[#This Row],[HARGA/ CTN]]="",NOTA[[#This Row],[JUMLAH_H]],NOTA[[#This Row],[HARGA/ CTN]]*IF(NOTA[[#This Row],[C]]="",0,NOTA[[#This Row],[C]]))</f>
        <v>5256000</v>
      </c>
      <c r="Y168" s="37">
        <f>IF(NOTA[[#This Row],[JUMLAH]]="","",NOTA[[#This Row],[JUMLAH]]*NOTA[[#This Row],[DISC 1]])</f>
        <v>0</v>
      </c>
      <c r="Z168" s="37">
        <f>IF(NOTA[[#This Row],[JUMLAH]]="","",(NOTA[[#This Row],[JUMLAH]]-NOTA[[#This Row],[DISC 1-]])*NOTA[[#This Row],[DISC 2]])</f>
        <v>0</v>
      </c>
      <c r="AA168" s="37">
        <f>IF(NOTA[[#This Row],[JUMLAH]]="","",(NOTA[[#This Row],[JUMLAH]]-NOTA[[#This Row],[DISC 1-]]-NOTA[[#This Row],[DISC 2-]])*NOTA[[#This Row],[DISC 3]])</f>
        <v>0</v>
      </c>
      <c r="AB168" s="37">
        <f>IF(NOTA[[#This Row],[JUMLAH]]="","",NOTA[[#This Row],[DISC 1-]]+NOTA[[#This Row],[DISC 2-]]+NOTA[[#This Row],[DISC 3-]])</f>
        <v>0</v>
      </c>
      <c r="AC168" s="37">
        <f>IF(NOTA[[#This Row],[JUMLAH]]="","",NOTA[[#This Row],[JUMLAH]]-NOTA[[#This Row],[DISC]])</f>
        <v>5256000</v>
      </c>
      <c r="AD168" s="37"/>
      <c r="AE1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8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8" s="37">
        <f>IF(OR(NOTA[[#This Row],[QTY]]="",NOTA[[#This Row],[HARGA SATUAN]]="",),"",NOTA[[#This Row],[QTY]]*NOTA[[#This Row],[HARGA SATUAN]])</f>
        <v>5256000</v>
      </c>
      <c r="AI168" s="26">
        <f ca="1">IF(NOTA[[#This Row],[ID_H]]="","",INDEX(NOTA[TANGGAL],MATCH(,INDIRECT(ADDRESS(ROW(NOTA[TANGGAL]),COLUMN(NOTA[TANGGAL]))&amp;":"&amp;ADDRESS(ROW(),COLUMN(NOTA[TANGGAL]))),-1)))</f>
        <v>45461</v>
      </c>
      <c r="AJ168" s="26">
        <f ca="1">IF(NOTA[[#This Row],[ID_H]]="","",INDEX(NOTA[TGL.NOTA],MATCH(,INDIRECT(ADDRESS(ROW(NOTA[TGL.NOTA]),COLUMN(NOTA[TGL.NOTA]))&amp;":"&amp;ADDRESS(ROW(),COLUMN(NOTA[TGL.NOTA]))),-1)))</f>
        <v>45456</v>
      </c>
      <c r="AK168" s="26" t="str">
        <f ca="1">IF(NOTA[[#This Row],[ID_H]]="","",INDEX(NOTA[NO.NOTA],MATCH(NOTA[[#This Row],[ID_H]],NOTA[ID_H],0)))</f>
        <v>JUF310/24</v>
      </c>
      <c r="AL168" s="28" t="str">
        <f ca="1">IF(NOTA[[#This Row],[NAMA BARANG]]="","",INDEX(NOTA[SUPPLIER],MATCH(,INDIRECT(ADDRESS(ROW(NOTA[ID]),COLUMN(NOTA[ID]))&amp;":"&amp;ADDRESS(ROW(),COLUMN(NOTA[ID]))),-1)))</f>
        <v>DB STATIONERY</v>
      </c>
      <c r="AM168" s="28" t="str">
        <f ca="1">IF(NOTA[[#This Row],[ID_H]]="","",IF(NOTA[[#This Row],[FAKTUR]]="",INDIRECT(ADDRESS(ROW()-1,COLUMN())),NOTA[[#This Row],[FAKTUR]]))</f>
        <v>UNTANA</v>
      </c>
      <c r="AN168" s="25" t="str">
        <f ca="1">IF(NOTA[[#This Row],[ID]]="","",COUNTIF(NOTA[ID_H],NOTA[[#This Row],[ID_H]]))</f>
        <v/>
      </c>
      <c r="AO168" s="25">
        <f ca="1">IF(NOTA[[#This Row],[TGL.NOTA]]="",IF(NOTA[[#This Row],[SUPPLIER_H]]="","",AO167),MONTH(NOTA[[#This Row],[TGL.NOTA]]))</f>
        <v>6</v>
      </c>
      <c r="AP168" s="25" t="str">
        <f>LOWER(SUBSTITUTE(SUBSTITUTE(SUBSTITUTE(SUBSTITUTE(SUBSTITUTE(SUBSTITUTE(SUBSTITUTE(SUBSTITUTE(SUBSTITUTE(NOTA[[#This Row],[NAMA BARANG]]," ",),".",""),"-",""),"(",""),")",""),",",""),"/",""),"""",""),"+",""))</f>
        <v>geltizofancytg31475f</v>
      </c>
      <c r="AQ1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geltizofancytg31475f2628000</v>
      </c>
      <c r="AR1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geltizofancytg31475f2628000</v>
      </c>
      <c r="AS1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8" s="25"/>
      <c r="AU168" s="25">
        <f>IF(NOTA[[#This Row],[CONCAT1]]="","",MATCH(NOTA[[#This Row],[CONCAT1]],[3]!db[NB NOTA_C],0))</f>
        <v>1183</v>
      </c>
      <c r="AV168" s="25" t="str">
        <f>IF(NOTA[[#This Row],[QTY/ CTN]]="","",TRUE)</f>
        <v/>
      </c>
      <c r="AW168" s="25" t="str">
        <f ca="1">IF(NOTA[[#This Row],[ID_H]]="","",IF(NOTA[[#This Row],[Column3]]=TRUE,NOTA[[#This Row],[QTY/ CTN]],INDEX([3]!db[QTY/ CTN],NOTA[[#This Row],[//DB]])))</f>
        <v>144 LSN</v>
      </c>
      <c r="AX1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geltizofancytg31475f144lsnuntana</v>
      </c>
      <c r="AY168" s="25">
        <f ca="1">IF(NOTA[[#This Row],[ID_H]]="","",MATCH(NOTA[[#This Row],[NB NOTA_C_QTY]],[3]!db[NB NOTA_C_QTY+F],0))</f>
        <v>1183</v>
      </c>
      <c r="AZ168" s="38">
        <f ca="1">IF(NOTA[[#This Row],[NB NOTA_C_QTY]]="","",ROW()-2)</f>
        <v>166</v>
      </c>
    </row>
    <row r="169" spans="1:52" ht="20.100000000000001" customHeight="1">
      <c r="A1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9" s="25">
        <f ca="1">IF(NOTA[[#This Row],[NAMA BARANG]]="","",INDEX(NOTA[ID],MATCH(,INDIRECT(ADDRESS(ROW(NOTA[ID]),COLUMN(NOTA[ID]))&amp;":"&amp;ADDRESS(ROW(),COLUMN(NOTA[ID]))),-1)))</f>
        <v>37</v>
      </c>
      <c r="E169" s="33"/>
      <c r="H169" s="34"/>
      <c r="L169" s="25" t="s">
        <v>385</v>
      </c>
      <c r="M169" s="27">
        <v>2</v>
      </c>
      <c r="N169" s="25">
        <v>288</v>
      </c>
      <c r="O169" s="25" t="s">
        <v>110</v>
      </c>
      <c r="P169" s="28">
        <v>18250</v>
      </c>
      <c r="Q169" s="29"/>
      <c r="R169" s="35"/>
      <c r="S169" s="36"/>
      <c r="V169" s="37"/>
      <c r="W169" s="32"/>
      <c r="X169" s="37">
        <f>IF(NOTA[[#This Row],[HARGA/ CTN]]="",NOTA[[#This Row],[JUMLAH_H]],NOTA[[#This Row],[HARGA/ CTN]]*IF(NOTA[[#This Row],[C]]="",0,NOTA[[#This Row],[C]]))</f>
        <v>5256000</v>
      </c>
      <c r="Y169" s="37">
        <f>IF(NOTA[[#This Row],[JUMLAH]]="","",NOTA[[#This Row],[JUMLAH]]*NOTA[[#This Row],[DISC 1]])</f>
        <v>0</v>
      </c>
      <c r="Z169" s="37">
        <f>IF(NOTA[[#This Row],[JUMLAH]]="","",(NOTA[[#This Row],[JUMLAH]]-NOTA[[#This Row],[DISC 1-]])*NOTA[[#This Row],[DISC 2]])</f>
        <v>0</v>
      </c>
      <c r="AA169" s="37">
        <f>IF(NOTA[[#This Row],[JUMLAH]]="","",(NOTA[[#This Row],[JUMLAH]]-NOTA[[#This Row],[DISC 1-]]-NOTA[[#This Row],[DISC 2-]])*NOTA[[#This Row],[DISC 3]])</f>
        <v>0</v>
      </c>
      <c r="AB169" s="37">
        <f>IF(NOTA[[#This Row],[JUMLAH]]="","",NOTA[[#This Row],[DISC 1-]]+NOTA[[#This Row],[DISC 2-]]+NOTA[[#This Row],[DISC 3-]])</f>
        <v>0</v>
      </c>
      <c r="AC169" s="37">
        <f>IF(NOTA[[#This Row],[JUMLAH]]="","",NOTA[[#This Row],[JUMLAH]]-NOTA[[#This Row],[DISC]])</f>
        <v>5256000</v>
      </c>
      <c r="AD169" s="37"/>
      <c r="AE1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9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9" s="37">
        <f>IF(OR(NOTA[[#This Row],[QTY]]="",NOTA[[#This Row],[HARGA SATUAN]]="",),"",NOTA[[#This Row],[QTY]]*NOTA[[#This Row],[HARGA SATUAN]])</f>
        <v>5256000</v>
      </c>
      <c r="AI169" s="26">
        <f ca="1">IF(NOTA[[#This Row],[ID_H]]="","",INDEX(NOTA[TANGGAL],MATCH(,INDIRECT(ADDRESS(ROW(NOTA[TANGGAL]),COLUMN(NOTA[TANGGAL]))&amp;":"&amp;ADDRESS(ROW(),COLUMN(NOTA[TANGGAL]))),-1)))</f>
        <v>45461</v>
      </c>
      <c r="AJ169" s="26">
        <f ca="1">IF(NOTA[[#This Row],[ID_H]]="","",INDEX(NOTA[TGL.NOTA],MATCH(,INDIRECT(ADDRESS(ROW(NOTA[TGL.NOTA]),COLUMN(NOTA[TGL.NOTA]))&amp;":"&amp;ADDRESS(ROW(),COLUMN(NOTA[TGL.NOTA]))),-1)))</f>
        <v>45456</v>
      </c>
      <c r="AK169" s="26" t="str">
        <f ca="1">IF(NOTA[[#This Row],[ID_H]]="","",INDEX(NOTA[NO.NOTA],MATCH(NOTA[[#This Row],[ID_H]],NOTA[ID_H],0)))</f>
        <v>JUF310/24</v>
      </c>
      <c r="AL169" s="28" t="str">
        <f ca="1">IF(NOTA[[#This Row],[NAMA BARANG]]="","",INDEX(NOTA[SUPPLIER],MATCH(,INDIRECT(ADDRESS(ROW(NOTA[ID]),COLUMN(NOTA[ID]))&amp;":"&amp;ADDRESS(ROW(),COLUMN(NOTA[ID]))),-1)))</f>
        <v>DB STATIONERY</v>
      </c>
      <c r="AM169" s="28" t="str">
        <f ca="1">IF(NOTA[[#This Row],[ID_H]]="","",IF(NOTA[[#This Row],[FAKTUR]]="",INDIRECT(ADDRESS(ROW()-1,COLUMN())),NOTA[[#This Row],[FAKTUR]]))</f>
        <v>UNTANA</v>
      </c>
      <c r="AN169" s="25" t="str">
        <f ca="1">IF(NOTA[[#This Row],[ID]]="","",COUNTIF(NOTA[ID_H],NOTA[[#This Row],[ID_H]]))</f>
        <v/>
      </c>
      <c r="AO169" s="25">
        <f ca="1">IF(NOTA[[#This Row],[TGL.NOTA]]="",IF(NOTA[[#This Row],[SUPPLIER_H]]="","",AO168),MONTH(NOTA[[#This Row],[TGL.NOTA]]))</f>
        <v>6</v>
      </c>
      <c r="AP169" s="25" t="str">
        <f>LOWER(SUBSTITUTE(SUBSTITUTE(SUBSTITUTE(SUBSTITUTE(SUBSTITUTE(SUBSTITUTE(SUBSTITUTE(SUBSTITUTE(SUBSTITUTE(NOTA[[#This Row],[NAMA BARANG]]," ",),".",""),"-",""),"(",""),")",""),",",""),"/",""),"""",""),"+",""))</f>
        <v>geltizofancytg30541f</v>
      </c>
      <c r="AQ1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geltizofancytg30541f2628000</v>
      </c>
      <c r="AR1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geltizofancytg30541f2628000</v>
      </c>
      <c r="AS1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9" s="25"/>
      <c r="AU169" s="25">
        <f>IF(NOTA[[#This Row],[CONCAT1]]="","",MATCH(NOTA[[#This Row],[CONCAT1]],[3]!db[NB NOTA_C],0))</f>
        <v>1160</v>
      </c>
      <c r="AV169" s="25" t="str">
        <f>IF(NOTA[[#This Row],[QTY/ CTN]]="","",TRUE)</f>
        <v/>
      </c>
      <c r="AW169" s="25" t="str">
        <f ca="1">IF(NOTA[[#This Row],[ID_H]]="","",IF(NOTA[[#This Row],[Column3]]=TRUE,NOTA[[#This Row],[QTY/ CTN]],INDEX([3]!db[QTY/ CTN],NOTA[[#This Row],[//DB]])))</f>
        <v>144 LSN</v>
      </c>
      <c r="AX1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geltizofancytg30541f144lsnuntana</v>
      </c>
      <c r="AY169" s="25">
        <f ca="1">IF(NOTA[[#This Row],[ID_H]]="","",MATCH(NOTA[[#This Row],[NB NOTA_C_QTY]],[3]!db[NB NOTA_C_QTY+F],0))</f>
        <v>1160</v>
      </c>
      <c r="AZ169" s="38">
        <f ca="1">IF(NOTA[[#This Row],[NB NOTA_C_QTY]]="","",ROW()-2)</f>
        <v>167</v>
      </c>
    </row>
    <row r="170" spans="1:52" ht="20.100000000000001" customHeight="1">
      <c r="A1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70" s="25">
        <f ca="1">IF(NOTA[[#This Row],[NAMA BARANG]]="","",INDEX(NOTA[ID],MATCH(,INDIRECT(ADDRESS(ROW(NOTA[ID]),COLUMN(NOTA[ID]))&amp;":"&amp;ADDRESS(ROW(),COLUMN(NOTA[ID]))),-1)))</f>
        <v>37</v>
      </c>
      <c r="E170" s="33"/>
      <c r="H170" s="34"/>
      <c r="L170" s="25" t="s">
        <v>386</v>
      </c>
      <c r="M170" s="27">
        <v>2</v>
      </c>
      <c r="N170" s="25">
        <v>288</v>
      </c>
      <c r="O170" s="25" t="s">
        <v>110</v>
      </c>
      <c r="P170" s="28">
        <v>18250</v>
      </c>
      <c r="Q170" s="29"/>
      <c r="R170" s="35"/>
      <c r="S170" s="36"/>
      <c r="V170" s="37"/>
      <c r="W170" s="32"/>
      <c r="X170" s="37">
        <f>IF(NOTA[[#This Row],[HARGA/ CTN]]="",NOTA[[#This Row],[JUMLAH_H]],NOTA[[#This Row],[HARGA/ CTN]]*IF(NOTA[[#This Row],[C]]="",0,NOTA[[#This Row],[C]]))</f>
        <v>5256000</v>
      </c>
      <c r="Y170" s="37">
        <f>IF(NOTA[[#This Row],[JUMLAH]]="","",NOTA[[#This Row],[JUMLAH]]*NOTA[[#This Row],[DISC 1]])</f>
        <v>0</v>
      </c>
      <c r="Z170" s="37">
        <f>IF(NOTA[[#This Row],[JUMLAH]]="","",(NOTA[[#This Row],[JUMLAH]]-NOTA[[#This Row],[DISC 1-]])*NOTA[[#This Row],[DISC 2]])</f>
        <v>0</v>
      </c>
      <c r="AA170" s="37">
        <f>IF(NOTA[[#This Row],[JUMLAH]]="","",(NOTA[[#This Row],[JUMLAH]]-NOTA[[#This Row],[DISC 1-]]-NOTA[[#This Row],[DISC 2-]])*NOTA[[#This Row],[DISC 3]])</f>
        <v>0</v>
      </c>
      <c r="AB170" s="37">
        <f>IF(NOTA[[#This Row],[JUMLAH]]="","",NOTA[[#This Row],[DISC 1-]]+NOTA[[#This Row],[DISC 2-]]+NOTA[[#This Row],[DISC 3-]])</f>
        <v>0</v>
      </c>
      <c r="AC170" s="37">
        <f>IF(NOTA[[#This Row],[JUMLAH]]="","",NOTA[[#This Row],[JUMLAH]]-NOTA[[#This Row],[DISC]])</f>
        <v>5256000</v>
      </c>
      <c r="AD170" s="37"/>
      <c r="AE1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0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70" s="37">
        <f>IF(OR(NOTA[[#This Row],[QTY]]="",NOTA[[#This Row],[HARGA SATUAN]]="",),"",NOTA[[#This Row],[QTY]]*NOTA[[#This Row],[HARGA SATUAN]])</f>
        <v>5256000</v>
      </c>
      <c r="AI170" s="26">
        <f ca="1">IF(NOTA[[#This Row],[ID_H]]="","",INDEX(NOTA[TANGGAL],MATCH(,INDIRECT(ADDRESS(ROW(NOTA[TANGGAL]),COLUMN(NOTA[TANGGAL]))&amp;":"&amp;ADDRESS(ROW(),COLUMN(NOTA[TANGGAL]))),-1)))</f>
        <v>45461</v>
      </c>
      <c r="AJ170" s="26">
        <f ca="1">IF(NOTA[[#This Row],[ID_H]]="","",INDEX(NOTA[TGL.NOTA],MATCH(,INDIRECT(ADDRESS(ROW(NOTA[TGL.NOTA]),COLUMN(NOTA[TGL.NOTA]))&amp;":"&amp;ADDRESS(ROW(),COLUMN(NOTA[TGL.NOTA]))),-1)))</f>
        <v>45456</v>
      </c>
      <c r="AK170" s="26" t="str">
        <f ca="1">IF(NOTA[[#This Row],[ID_H]]="","",INDEX(NOTA[NO.NOTA],MATCH(NOTA[[#This Row],[ID_H]],NOTA[ID_H],0)))</f>
        <v>JUF310/24</v>
      </c>
      <c r="AL170" s="28" t="str">
        <f ca="1">IF(NOTA[[#This Row],[NAMA BARANG]]="","",INDEX(NOTA[SUPPLIER],MATCH(,INDIRECT(ADDRESS(ROW(NOTA[ID]),COLUMN(NOTA[ID]))&amp;":"&amp;ADDRESS(ROW(),COLUMN(NOTA[ID]))),-1)))</f>
        <v>DB STATIONERY</v>
      </c>
      <c r="AM170" s="28" t="str">
        <f ca="1">IF(NOTA[[#This Row],[ID_H]]="","",IF(NOTA[[#This Row],[FAKTUR]]="",INDIRECT(ADDRESS(ROW()-1,COLUMN())),NOTA[[#This Row],[FAKTUR]]))</f>
        <v>UNTANA</v>
      </c>
      <c r="AN170" s="25" t="str">
        <f ca="1">IF(NOTA[[#This Row],[ID]]="","",COUNTIF(NOTA[ID_H],NOTA[[#This Row],[ID_H]]))</f>
        <v/>
      </c>
      <c r="AO170" s="25">
        <f ca="1">IF(NOTA[[#This Row],[TGL.NOTA]]="",IF(NOTA[[#This Row],[SUPPLIER_H]]="","",AO169),MONTH(NOTA[[#This Row],[TGL.NOTA]]))</f>
        <v>6</v>
      </c>
      <c r="AP170" s="25" t="str">
        <f>LOWER(SUBSTITUTE(SUBSTITUTE(SUBSTITUTE(SUBSTITUTE(SUBSTITUTE(SUBSTITUTE(SUBSTITUTE(SUBSTITUTE(SUBSTITUTE(NOTA[[#This Row],[NAMA BARANG]]," ",),".",""),"-",""),"(",""),")",""),",",""),"/",""),"""",""),"+",""))</f>
        <v>geltizofancytg31035f</v>
      </c>
      <c r="AQ1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geltizofancytg31035f2628000</v>
      </c>
      <c r="AR1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geltizofancytg31035f2628000</v>
      </c>
      <c r="AS1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0" s="25"/>
      <c r="AU170" s="25">
        <f>IF(NOTA[[#This Row],[CONCAT1]]="","",MATCH(NOTA[[#This Row],[CONCAT1]],[3]!db[NB NOTA_C],0))</f>
        <v>1178</v>
      </c>
      <c r="AV170" s="25" t="str">
        <f>IF(NOTA[[#This Row],[QTY/ CTN]]="","",TRUE)</f>
        <v/>
      </c>
      <c r="AW170" s="25" t="str">
        <f ca="1">IF(NOTA[[#This Row],[ID_H]]="","",IF(NOTA[[#This Row],[Column3]]=TRUE,NOTA[[#This Row],[QTY/ CTN]],INDEX([3]!db[QTY/ CTN],NOTA[[#This Row],[//DB]])))</f>
        <v>144 LSN</v>
      </c>
      <c r="AX1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geltizofancytg31035f144lsnuntana</v>
      </c>
      <c r="AY170" s="25">
        <f ca="1">IF(NOTA[[#This Row],[ID_H]]="","",MATCH(NOTA[[#This Row],[NB NOTA_C_QTY]],[3]!db[NB NOTA_C_QTY+F],0))</f>
        <v>1178</v>
      </c>
      <c r="AZ170" s="38">
        <f ca="1">IF(NOTA[[#This Row],[NB NOTA_C_QTY]]="","",ROW()-2)</f>
        <v>168</v>
      </c>
    </row>
    <row r="171" spans="1:52" ht="20.100000000000001" customHeight="1">
      <c r="A1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71" s="25">
        <f ca="1">IF(NOTA[[#This Row],[NAMA BARANG]]="","",INDEX(NOTA[ID],MATCH(,INDIRECT(ADDRESS(ROW(NOTA[ID]),COLUMN(NOTA[ID]))&amp;":"&amp;ADDRESS(ROW(),COLUMN(NOTA[ID]))),-1)))</f>
        <v>37</v>
      </c>
      <c r="E171" s="33"/>
      <c r="H171" s="34"/>
      <c r="L171" s="25" t="s">
        <v>387</v>
      </c>
      <c r="M171" s="27">
        <v>2</v>
      </c>
      <c r="N171" s="25">
        <v>288</v>
      </c>
      <c r="O171" s="25" t="s">
        <v>110</v>
      </c>
      <c r="P171" s="28">
        <v>18250</v>
      </c>
      <c r="Q171" s="29"/>
      <c r="R171" s="35"/>
      <c r="S171" s="36"/>
      <c r="V171" s="37"/>
      <c r="W171" s="32"/>
      <c r="X171" s="37">
        <f>IF(NOTA[[#This Row],[HARGA/ CTN]]="",NOTA[[#This Row],[JUMLAH_H]],NOTA[[#This Row],[HARGA/ CTN]]*IF(NOTA[[#This Row],[C]]="",0,NOTA[[#This Row],[C]]))</f>
        <v>5256000</v>
      </c>
      <c r="Y171" s="37">
        <f>IF(NOTA[[#This Row],[JUMLAH]]="","",NOTA[[#This Row],[JUMLAH]]*NOTA[[#This Row],[DISC 1]])</f>
        <v>0</v>
      </c>
      <c r="Z171" s="37">
        <f>IF(NOTA[[#This Row],[JUMLAH]]="","",(NOTA[[#This Row],[JUMLAH]]-NOTA[[#This Row],[DISC 1-]])*NOTA[[#This Row],[DISC 2]])</f>
        <v>0</v>
      </c>
      <c r="AA171" s="37">
        <f>IF(NOTA[[#This Row],[JUMLAH]]="","",(NOTA[[#This Row],[JUMLAH]]-NOTA[[#This Row],[DISC 1-]]-NOTA[[#This Row],[DISC 2-]])*NOTA[[#This Row],[DISC 3]])</f>
        <v>0</v>
      </c>
      <c r="AB171" s="37">
        <f>IF(NOTA[[#This Row],[JUMLAH]]="","",NOTA[[#This Row],[DISC 1-]]+NOTA[[#This Row],[DISC 2-]]+NOTA[[#This Row],[DISC 3-]])</f>
        <v>0</v>
      </c>
      <c r="AC171" s="37">
        <f>IF(NOTA[[#This Row],[JUMLAH]]="","",NOTA[[#This Row],[JUMLAH]]-NOTA[[#This Row],[DISC]])</f>
        <v>5256000</v>
      </c>
      <c r="AD171" s="37"/>
      <c r="AE1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1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71" s="37">
        <f>IF(OR(NOTA[[#This Row],[QTY]]="",NOTA[[#This Row],[HARGA SATUAN]]="",),"",NOTA[[#This Row],[QTY]]*NOTA[[#This Row],[HARGA SATUAN]])</f>
        <v>5256000</v>
      </c>
      <c r="AI171" s="26">
        <f ca="1">IF(NOTA[[#This Row],[ID_H]]="","",INDEX(NOTA[TANGGAL],MATCH(,INDIRECT(ADDRESS(ROW(NOTA[TANGGAL]),COLUMN(NOTA[TANGGAL]))&amp;":"&amp;ADDRESS(ROW(),COLUMN(NOTA[TANGGAL]))),-1)))</f>
        <v>45461</v>
      </c>
      <c r="AJ171" s="26">
        <f ca="1">IF(NOTA[[#This Row],[ID_H]]="","",INDEX(NOTA[TGL.NOTA],MATCH(,INDIRECT(ADDRESS(ROW(NOTA[TGL.NOTA]),COLUMN(NOTA[TGL.NOTA]))&amp;":"&amp;ADDRESS(ROW(),COLUMN(NOTA[TGL.NOTA]))),-1)))</f>
        <v>45456</v>
      </c>
      <c r="AK171" s="26" t="str">
        <f ca="1">IF(NOTA[[#This Row],[ID_H]]="","",INDEX(NOTA[NO.NOTA],MATCH(NOTA[[#This Row],[ID_H]],NOTA[ID_H],0)))</f>
        <v>JUF310/24</v>
      </c>
      <c r="AL171" s="28" t="str">
        <f ca="1">IF(NOTA[[#This Row],[NAMA BARANG]]="","",INDEX(NOTA[SUPPLIER],MATCH(,INDIRECT(ADDRESS(ROW(NOTA[ID]),COLUMN(NOTA[ID]))&amp;":"&amp;ADDRESS(ROW(),COLUMN(NOTA[ID]))),-1)))</f>
        <v>DB STATIONERY</v>
      </c>
      <c r="AM171" s="28" t="str">
        <f ca="1">IF(NOTA[[#This Row],[ID_H]]="","",IF(NOTA[[#This Row],[FAKTUR]]="",INDIRECT(ADDRESS(ROW()-1,COLUMN())),NOTA[[#This Row],[FAKTUR]]))</f>
        <v>UNTANA</v>
      </c>
      <c r="AN171" s="25" t="str">
        <f ca="1">IF(NOTA[[#This Row],[ID]]="","",COUNTIF(NOTA[ID_H],NOTA[[#This Row],[ID_H]]))</f>
        <v/>
      </c>
      <c r="AO171" s="25">
        <f ca="1">IF(NOTA[[#This Row],[TGL.NOTA]]="",IF(NOTA[[#This Row],[SUPPLIER_H]]="","",AO170),MONTH(NOTA[[#This Row],[TGL.NOTA]]))</f>
        <v>6</v>
      </c>
      <c r="AP171" s="25" t="str">
        <f>LOWER(SUBSTITUTE(SUBSTITUTE(SUBSTITUTE(SUBSTITUTE(SUBSTITUTE(SUBSTITUTE(SUBSTITUTE(SUBSTITUTE(SUBSTITUTE(NOTA[[#This Row],[NAMA BARANG]]," ",),".",""),"-",""),"(",""),")",""),",",""),"/",""),"""",""),"+",""))</f>
        <v>geltizofancytg348f</v>
      </c>
      <c r="AQ1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geltizofancytg348f2628000</v>
      </c>
      <c r="AR1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geltizofancytg348f2628000</v>
      </c>
      <c r="AS1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1" s="25"/>
      <c r="AU171" s="25">
        <f>IF(NOTA[[#This Row],[CONCAT1]]="","",MATCH(NOTA[[#This Row],[CONCAT1]],[3]!db[NB NOTA_C],0))</f>
        <v>1205</v>
      </c>
      <c r="AV171" s="25" t="str">
        <f>IF(NOTA[[#This Row],[QTY/ CTN]]="","",TRUE)</f>
        <v/>
      </c>
      <c r="AW171" s="25" t="str">
        <f ca="1">IF(NOTA[[#This Row],[ID_H]]="","",IF(NOTA[[#This Row],[Column3]]=TRUE,NOTA[[#This Row],[QTY/ CTN]],INDEX([3]!db[QTY/ CTN],NOTA[[#This Row],[//DB]])))</f>
        <v>144 LSN</v>
      </c>
      <c r="AX1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geltizofancytg348f144lsnuntana</v>
      </c>
      <c r="AY171" s="25">
        <f ca="1">IF(NOTA[[#This Row],[ID_H]]="","",MATCH(NOTA[[#This Row],[NB NOTA_C_QTY]],[3]!db[NB NOTA_C_QTY+F],0))</f>
        <v>1205</v>
      </c>
      <c r="AZ171" s="38">
        <f ca="1">IF(NOTA[[#This Row],[NB NOTA_C_QTY]]="","",ROW()-2)</f>
        <v>169</v>
      </c>
    </row>
    <row r="172" spans="1:52" ht="20.100000000000001" customHeight="1">
      <c r="A1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72" s="25">
        <f ca="1">IF(NOTA[[#This Row],[NAMA BARANG]]="","",INDEX(NOTA[ID],MATCH(,INDIRECT(ADDRESS(ROW(NOTA[ID]),COLUMN(NOTA[ID]))&amp;":"&amp;ADDRESS(ROW(),COLUMN(NOTA[ID]))),-1)))</f>
        <v>37</v>
      </c>
      <c r="E172" s="33"/>
      <c r="H172" s="34"/>
      <c r="L172" s="25" t="s">
        <v>388</v>
      </c>
      <c r="M172" s="27">
        <v>1</v>
      </c>
      <c r="N172" s="25">
        <v>144</v>
      </c>
      <c r="O172" s="25" t="s">
        <v>110</v>
      </c>
      <c r="P172" s="28">
        <v>18250</v>
      </c>
      <c r="Q172" s="29"/>
      <c r="R172" s="35"/>
      <c r="S172" s="36"/>
      <c r="V172" s="37"/>
      <c r="W172" s="32"/>
      <c r="X172" s="37">
        <f>IF(NOTA[[#This Row],[HARGA/ CTN]]="",NOTA[[#This Row],[JUMLAH_H]],NOTA[[#This Row],[HARGA/ CTN]]*IF(NOTA[[#This Row],[C]]="",0,NOTA[[#This Row],[C]]))</f>
        <v>2628000</v>
      </c>
      <c r="Y172" s="37">
        <f>IF(NOTA[[#This Row],[JUMLAH]]="","",NOTA[[#This Row],[JUMLAH]]*NOTA[[#This Row],[DISC 1]])</f>
        <v>0</v>
      </c>
      <c r="Z172" s="37">
        <f>IF(NOTA[[#This Row],[JUMLAH]]="","",(NOTA[[#This Row],[JUMLAH]]-NOTA[[#This Row],[DISC 1-]])*NOTA[[#This Row],[DISC 2]])</f>
        <v>0</v>
      </c>
      <c r="AA172" s="37">
        <f>IF(NOTA[[#This Row],[JUMLAH]]="","",(NOTA[[#This Row],[JUMLAH]]-NOTA[[#This Row],[DISC 1-]]-NOTA[[#This Row],[DISC 2-]])*NOTA[[#This Row],[DISC 3]])</f>
        <v>0</v>
      </c>
      <c r="AB172" s="37">
        <f>IF(NOTA[[#This Row],[JUMLAH]]="","",NOTA[[#This Row],[DISC 1-]]+NOTA[[#This Row],[DISC 2-]]+NOTA[[#This Row],[DISC 3-]])</f>
        <v>0</v>
      </c>
      <c r="AC172" s="37">
        <f>IF(NOTA[[#This Row],[JUMLAH]]="","",NOTA[[#This Row],[JUMLAH]]-NOTA[[#This Row],[DISC]])</f>
        <v>2628000</v>
      </c>
      <c r="AD172" s="37"/>
      <c r="AE1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2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72" s="37">
        <f>IF(OR(NOTA[[#This Row],[QTY]]="",NOTA[[#This Row],[HARGA SATUAN]]="",),"",NOTA[[#This Row],[QTY]]*NOTA[[#This Row],[HARGA SATUAN]])</f>
        <v>2628000</v>
      </c>
      <c r="AI172" s="26">
        <f ca="1">IF(NOTA[[#This Row],[ID_H]]="","",INDEX(NOTA[TANGGAL],MATCH(,INDIRECT(ADDRESS(ROW(NOTA[TANGGAL]),COLUMN(NOTA[TANGGAL]))&amp;":"&amp;ADDRESS(ROW(),COLUMN(NOTA[TANGGAL]))),-1)))</f>
        <v>45461</v>
      </c>
      <c r="AJ172" s="26">
        <f ca="1">IF(NOTA[[#This Row],[ID_H]]="","",INDEX(NOTA[TGL.NOTA],MATCH(,INDIRECT(ADDRESS(ROW(NOTA[TGL.NOTA]),COLUMN(NOTA[TGL.NOTA]))&amp;":"&amp;ADDRESS(ROW(),COLUMN(NOTA[TGL.NOTA]))),-1)))</f>
        <v>45456</v>
      </c>
      <c r="AK172" s="26" t="str">
        <f ca="1">IF(NOTA[[#This Row],[ID_H]]="","",INDEX(NOTA[NO.NOTA],MATCH(NOTA[[#This Row],[ID_H]],NOTA[ID_H],0)))</f>
        <v>JUF310/24</v>
      </c>
      <c r="AL172" s="28" t="str">
        <f ca="1">IF(NOTA[[#This Row],[NAMA BARANG]]="","",INDEX(NOTA[SUPPLIER],MATCH(,INDIRECT(ADDRESS(ROW(NOTA[ID]),COLUMN(NOTA[ID]))&amp;":"&amp;ADDRESS(ROW(),COLUMN(NOTA[ID]))),-1)))</f>
        <v>DB STATIONERY</v>
      </c>
      <c r="AM172" s="28" t="str">
        <f ca="1">IF(NOTA[[#This Row],[ID_H]]="","",IF(NOTA[[#This Row],[FAKTUR]]="",INDIRECT(ADDRESS(ROW()-1,COLUMN())),NOTA[[#This Row],[FAKTUR]]))</f>
        <v>UNTANA</v>
      </c>
      <c r="AN172" s="25" t="str">
        <f ca="1">IF(NOTA[[#This Row],[ID]]="","",COUNTIF(NOTA[ID_H],NOTA[[#This Row],[ID_H]]))</f>
        <v/>
      </c>
      <c r="AO172" s="25">
        <f ca="1">IF(NOTA[[#This Row],[TGL.NOTA]]="",IF(NOTA[[#This Row],[SUPPLIER_H]]="","",AO171),MONTH(NOTA[[#This Row],[TGL.NOTA]]))</f>
        <v>6</v>
      </c>
      <c r="AP172" s="25" t="str">
        <f>LOWER(SUBSTITUTE(SUBSTITUTE(SUBSTITUTE(SUBSTITUTE(SUBSTITUTE(SUBSTITUTE(SUBSTITUTE(SUBSTITUTE(SUBSTITUTE(NOTA[[#This Row],[NAMA BARANG]]," ",),".",""),"-",""),"(",""),")",""),",",""),"/",""),"""",""),"+",""))</f>
        <v>geltizofancytg31590f</v>
      </c>
      <c r="AQ1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geltizofancytg31590f2628000</v>
      </c>
      <c r="AR1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geltizofancytg31590f2628000</v>
      </c>
      <c r="AS1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2" s="25"/>
      <c r="AU172" s="25">
        <f>IF(NOTA[[#This Row],[CONCAT1]]="","",MATCH(NOTA[[#This Row],[CONCAT1]],[3]!db[NB NOTA_C],0))</f>
        <v>1186</v>
      </c>
      <c r="AV172" s="25" t="str">
        <f>IF(NOTA[[#This Row],[QTY/ CTN]]="","",TRUE)</f>
        <v/>
      </c>
      <c r="AW172" s="25" t="str">
        <f ca="1">IF(NOTA[[#This Row],[ID_H]]="","",IF(NOTA[[#This Row],[Column3]]=TRUE,NOTA[[#This Row],[QTY/ CTN]],INDEX([3]!db[QTY/ CTN],NOTA[[#This Row],[//DB]])))</f>
        <v>144 LSN</v>
      </c>
      <c r="AX1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geltizofancytg31590f144lsnuntana</v>
      </c>
      <c r="AY172" s="25">
        <f ca="1">IF(NOTA[[#This Row],[ID_H]]="","",MATCH(NOTA[[#This Row],[NB NOTA_C_QTY]],[3]!db[NB NOTA_C_QTY+F],0))</f>
        <v>1186</v>
      </c>
      <c r="AZ172" s="38">
        <f ca="1">IF(NOTA[[#This Row],[NB NOTA_C_QTY]]="","",ROW()-2)</f>
        <v>170</v>
      </c>
    </row>
    <row r="173" spans="1:52" ht="20.100000000000001" customHeight="1">
      <c r="A1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73" s="25">
        <f ca="1">IF(NOTA[[#This Row],[NAMA BARANG]]="","",INDEX(NOTA[ID],MATCH(,INDIRECT(ADDRESS(ROW(NOTA[ID]),COLUMN(NOTA[ID]))&amp;":"&amp;ADDRESS(ROW(),COLUMN(NOTA[ID]))),-1)))</f>
        <v>37</v>
      </c>
      <c r="E173" s="33"/>
      <c r="H173" s="34"/>
      <c r="L173" s="25" t="s">
        <v>389</v>
      </c>
      <c r="M173" s="27">
        <v>1</v>
      </c>
      <c r="N173" s="25">
        <v>144</v>
      </c>
      <c r="O173" s="25" t="s">
        <v>110</v>
      </c>
      <c r="P173" s="28">
        <v>18250</v>
      </c>
      <c r="Q173" s="29"/>
      <c r="R173" s="35"/>
      <c r="S173" s="36"/>
      <c r="V173" s="37"/>
      <c r="W173" s="32"/>
      <c r="X173" s="37">
        <f>IF(NOTA[[#This Row],[HARGA/ CTN]]="",NOTA[[#This Row],[JUMLAH_H]],NOTA[[#This Row],[HARGA/ CTN]]*IF(NOTA[[#This Row],[C]]="",0,NOTA[[#This Row],[C]]))</f>
        <v>2628000</v>
      </c>
      <c r="Y173" s="37">
        <f>IF(NOTA[[#This Row],[JUMLAH]]="","",NOTA[[#This Row],[JUMLAH]]*NOTA[[#This Row],[DISC 1]])</f>
        <v>0</v>
      </c>
      <c r="Z173" s="37">
        <f>IF(NOTA[[#This Row],[JUMLAH]]="","",(NOTA[[#This Row],[JUMLAH]]-NOTA[[#This Row],[DISC 1-]])*NOTA[[#This Row],[DISC 2]])</f>
        <v>0</v>
      </c>
      <c r="AA173" s="37">
        <f>IF(NOTA[[#This Row],[JUMLAH]]="","",(NOTA[[#This Row],[JUMLAH]]-NOTA[[#This Row],[DISC 1-]]-NOTA[[#This Row],[DISC 2-]])*NOTA[[#This Row],[DISC 3]])</f>
        <v>0</v>
      </c>
      <c r="AB173" s="37">
        <f>IF(NOTA[[#This Row],[JUMLAH]]="","",NOTA[[#This Row],[DISC 1-]]+NOTA[[#This Row],[DISC 2-]]+NOTA[[#This Row],[DISC 3-]])</f>
        <v>0</v>
      </c>
      <c r="AC173" s="37">
        <f>IF(NOTA[[#This Row],[JUMLAH]]="","",NOTA[[#This Row],[JUMLAH]]-NOTA[[#This Row],[DISC]])</f>
        <v>2628000</v>
      </c>
      <c r="AD173" s="37"/>
      <c r="AE1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3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73" s="37">
        <f>IF(OR(NOTA[[#This Row],[QTY]]="",NOTA[[#This Row],[HARGA SATUAN]]="",),"",NOTA[[#This Row],[QTY]]*NOTA[[#This Row],[HARGA SATUAN]])</f>
        <v>2628000</v>
      </c>
      <c r="AI173" s="26">
        <f ca="1">IF(NOTA[[#This Row],[ID_H]]="","",INDEX(NOTA[TANGGAL],MATCH(,INDIRECT(ADDRESS(ROW(NOTA[TANGGAL]),COLUMN(NOTA[TANGGAL]))&amp;":"&amp;ADDRESS(ROW(),COLUMN(NOTA[TANGGAL]))),-1)))</f>
        <v>45461</v>
      </c>
      <c r="AJ173" s="26">
        <f ca="1">IF(NOTA[[#This Row],[ID_H]]="","",INDEX(NOTA[TGL.NOTA],MATCH(,INDIRECT(ADDRESS(ROW(NOTA[TGL.NOTA]),COLUMN(NOTA[TGL.NOTA]))&amp;":"&amp;ADDRESS(ROW(),COLUMN(NOTA[TGL.NOTA]))),-1)))</f>
        <v>45456</v>
      </c>
      <c r="AK173" s="26" t="str">
        <f ca="1">IF(NOTA[[#This Row],[ID_H]]="","",INDEX(NOTA[NO.NOTA],MATCH(NOTA[[#This Row],[ID_H]],NOTA[ID_H],0)))</f>
        <v>JUF310/24</v>
      </c>
      <c r="AL173" s="28" t="str">
        <f ca="1">IF(NOTA[[#This Row],[NAMA BARANG]]="","",INDEX(NOTA[SUPPLIER],MATCH(,INDIRECT(ADDRESS(ROW(NOTA[ID]),COLUMN(NOTA[ID]))&amp;":"&amp;ADDRESS(ROW(),COLUMN(NOTA[ID]))),-1)))</f>
        <v>DB STATIONERY</v>
      </c>
      <c r="AM173" s="28" t="str">
        <f ca="1">IF(NOTA[[#This Row],[ID_H]]="","",IF(NOTA[[#This Row],[FAKTUR]]="",INDIRECT(ADDRESS(ROW()-1,COLUMN())),NOTA[[#This Row],[FAKTUR]]))</f>
        <v>UNTANA</v>
      </c>
      <c r="AN173" s="25" t="str">
        <f ca="1">IF(NOTA[[#This Row],[ID]]="","",COUNTIF(NOTA[ID_H],NOTA[[#This Row],[ID_H]]))</f>
        <v/>
      </c>
      <c r="AO173" s="25">
        <f ca="1">IF(NOTA[[#This Row],[TGL.NOTA]]="",IF(NOTA[[#This Row],[SUPPLIER_H]]="","",AO172),MONTH(NOTA[[#This Row],[TGL.NOTA]]))</f>
        <v>6</v>
      </c>
      <c r="AP173" s="25" t="str">
        <f>LOWER(SUBSTITUTE(SUBSTITUTE(SUBSTITUTE(SUBSTITUTE(SUBSTITUTE(SUBSTITUTE(SUBSTITUTE(SUBSTITUTE(SUBSTITUTE(NOTA[[#This Row],[NAMA BARANG]]," ",),".",""),"-",""),"(",""),")",""),",",""),"/",""),"""",""),"+",""))</f>
        <v>geltizofancytg31763f</v>
      </c>
      <c r="AQ1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geltizofancytg31763f2628000</v>
      </c>
      <c r="AR1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geltizofancytg31763f2628000</v>
      </c>
      <c r="AS1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3" s="25"/>
      <c r="AU173" s="25">
        <f>IF(NOTA[[#This Row],[CONCAT1]]="","",MATCH(NOTA[[#This Row],[CONCAT1]],[3]!db[NB NOTA_C],0))</f>
        <v>1236</v>
      </c>
      <c r="AV173" s="25" t="str">
        <f>IF(NOTA[[#This Row],[QTY/ CTN]]="","",TRUE)</f>
        <v/>
      </c>
      <c r="AW173" s="25" t="str">
        <f ca="1">IF(NOTA[[#This Row],[ID_H]]="","",IF(NOTA[[#This Row],[Column3]]=TRUE,NOTA[[#This Row],[QTY/ CTN]],INDEX([3]!db[QTY/ CTN],NOTA[[#This Row],[//DB]])))</f>
        <v>144 LSN</v>
      </c>
      <c r="AX1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geltizofancytg31763f144lsnuntana</v>
      </c>
      <c r="AY173" s="25">
        <f ca="1">IF(NOTA[[#This Row],[ID_H]]="","",MATCH(NOTA[[#This Row],[NB NOTA_C_QTY]],[3]!db[NB NOTA_C_QTY+F],0))</f>
        <v>1236</v>
      </c>
      <c r="AZ173" s="38">
        <f ca="1">IF(NOTA[[#This Row],[NB NOTA_C_QTY]]="","",ROW()-2)</f>
        <v>171</v>
      </c>
    </row>
    <row r="174" spans="1:52" ht="20.100000000000001" customHeight="1">
      <c r="A1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74" s="25">
        <f ca="1">IF(NOTA[[#This Row],[NAMA BARANG]]="","",INDEX(NOTA[ID],MATCH(,INDIRECT(ADDRESS(ROW(NOTA[ID]),COLUMN(NOTA[ID]))&amp;":"&amp;ADDRESS(ROW(),COLUMN(NOTA[ID]))),-1)))</f>
        <v>37</v>
      </c>
      <c r="E174" s="33"/>
      <c r="H174" s="34"/>
      <c r="L174" s="25" t="s">
        <v>390</v>
      </c>
      <c r="M174" s="27">
        <v>1</v>
      </c>
      <c r="N174" s="25">
        <v>144</v>
      </c>
      <c r="O174" s="25" t="s">
        <v>110</v>
      </c>
      <c r="P174" s="28">
        <v>18250</v>
      </c>
      <c r="Q174" s="29"/>
      <c r="R174" s="35"/>
      <c r="S174" s="36"/>
      <c r="V174" s="37"/>
      <c r="W174" s="32"/>
      <c r="X174" s="37">
        <f>IF(NOTA[[#This Row],[HARGA/ CTN]]="",NOTA[[#This Row],[JUMLAH_H]],NOTA[[#This Row],[HARGA/ CTN]]*IF(NOTA[[#This Row],[C]]="",0,NOTA[[#This Row],[C]]))</f>
        <v>2628000</v>
      </c>
      <c r="Y174" s="37">
        <f>IF(NOTA[[#This Row],[JUMLAH]]="","",NOTA[[#This Row],[JUMLAH]]*NOTA[[#This Row],[DISC 1]])</f>
        <v>0</v>
      </c>
      <c r="Z174" s="37">
        <f>IF(NOTA[[#This Row],[JUMLAH]]="","",(NOTA[[#This Row],[JUMLAH]]-NOTA[[#This Row],[DISC 1-]])*NOTA[[#This Row],[DISC 2]])</f>
        <v>0</v>
      </c>
      <c r="AA174" s="37">
        <f>IF(NOTA[[#This Row],[JUMLAH]]="","",(NOTA[[#This Row],[JUMLAH]]-NOTA[[#This Row],[DISC 1-]]-NOTA[[#This Row],[DISC 2-]])*NOTA[[#This Row],[DISC 3]])</f>
        <v>0</v>
      </c>
      <c r="AB174" s="37">
        <f>IF(NOTA[[#This Row],[JUMLAH]]="","",NOTA[[#This Row],[DISC 1-]]+NOTA[[#This Row],[DISC 2-]]+NOTA[[#This Row],[DISC 3-]])</f>
        <v>0</v>
      </c>
      <c r="AC174" s="37">
        <f>IF(NOTA[[#This Row],[JUMLAH]]="","",NOTA[[#This Row],[JUMLAH]]-NOTA[[#This Row],[DISC]])</f>
        <v>2628000</v>
      </c>
      <c r="AD174" s="37"/>
      <c r="AE17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7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49116000</v>
      </c>
      <c r="AG174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74" s="37">
        <f>IF(OR(NOTA[[#This Row],[QTY]]="",NOTA[[#This Row],[HARGA SATUAN]]="",),"",NOTA[[#This Row],[QTY]]*NOTA[[#This Row],[HARGA SATUAN]])</f>
        <v>2628000</v>
      </c>
      <c r="AI174" s="26">
        <f ca="1">IF(NOTA[[#This Row],[ID_H]]="","",INDEX(NOTA[TANGGAL],MATCH(,INDIRECT(ADDRESS(ROW(NOTA[TANGGAL]),COLUMN(NOTA[TANGGAL]))&amp;":"&amp;ADDRESS(ROW(),COLUMN(NOTA[TANGGAL]))),-1)))</f>
        <v>45461</v>
      </c>
      <c r="AJ174" s="26">
        <f ca="1">IF(NOTA[[#This Row],[ID_H]]="","",INDEX(NOTA[TGL.NOTA],MATCH(,INDIRECT(ADDRESS(ROW(NOTA[TGL.NOTA]),COLUMN(NOTA[TGL.NOTA]))&amp;":"&amp;ADDRESS(ROW(),COLUMN(NOTA[TGL.NOTA]))),-1)))</f>
        <v>45456</v>
      </c>
      <c r="AK174" s="26" t="str">
        <f ca="1">IF(NOTA[[#This Row],[ID_H]]="","",INDEX(NOTA[NO.NOTA],MATCH(NOTA[[#This Row],[ID_H]],NOTA[ID_H],0)))</f>
        <v>JUF310/24</v>
      </c>
      <c r="AL174" s="28" t="str">
        <f ca="1">IF(NOTA[[#This Row],[NAMA BARANG]]="","",INDEX(NOTA[SUPPLIER],MATCH(,INDIRECT(ADDRESS(ROW(NOTA[ID]),COLUMN(NOTA[ID]))&amp;":"&amp;ADDRESS(ROW(),COLUMN(NOTA[ID]))),-1)))</f>
        <v>DB STATIONERY</v>
      </c>
      <c r="AM174" s="28" t="str">
        <f ca="1">IF(NOTA[[#This Row],[ID_H]]="","",IF(NOTA[[#This Row],[FAKTUR]]="",INDIRECT(ADDRESS(ROW()-1,COLUMN())),NOTA[[#This Row],[FAKTUR]]))</f>
        <v>UNTANA</v>
      </c>
      <c r="AN174" s="25" t="str">
        <f ca="1">IF(NOTA[[#This Row],[ID]]="","",COUNTIF(NOTA[ID_H],NOTA[[#This Row],[ID_H]]))</f>
        <v/>
      </c>
      <c r="AO174" s="25">
        <f ca="1">IF(NOTA[[#This Row],[TGL.NOTA]]="",IF(NOTA[[#This Row],[SUPPLIER_H]]="","",AO173),MONTH(NOTA[[#This Row],[TGL.NOTA]]))</f>
        <v>6</v>
      </c>
      <c r="AP174" s="25" t="str">
        <f>LOWER(SUBSTITUTE(SUBSTITUTE(SUBSTITUTE(SUBSTITUTE(SUBSTITUTE(SUBSTITUTE(SUBSTITUTE(SUBSTITUTE(SUBSTITUTE(NOTA[[#This Row],[NAMA BARANG]]," ",),".",""),"-",""),"(",""),")",""),",",""),"/",""),"""",""),"+",""))</f>
        <v>geltizofancytg31975f</v>
      </c>
      <c r="AQ1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geltizofancytg31975f2628000</v>
      </c>
      <c r="AR1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geltizofancytg31975f2628000</v>
      </c>
      <c r="AS1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4" s="25"/>
      <c r="AU174" s="25">
        <f>IF(NOTA[[#This Row],[CONCAT1]]="","",MATCH(NOTA[[#This Row],[CONCAT1]],[3]!db[NB NOTA_C],0))</f>
        <v>1201</v>
      </c>
      <c r="AV174" s="25" t="str">
        <f>IF(NOTA[[#This Row],[QTY/ CTN]]="","",TRUE)</f>
        <v/>
      </c>
      <c r="AW174" s="25" t="str">
        <f ca="1">IF(NOTA[[#This Row],[ID_H]]="","",IF(NOTA[[#This Row],[Column3]]=TRUE,NOTA[[#This Row],[QTY/ CTN]],INDEX([3]!db[QTY/ CTN],NOTA[[#This Row],[//DB]])))</f>
        <v>144 LSN</v>
      </c>
      <c r="AX1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geltizofancytg31975f144lsnuntana</v>
      </c>
      <c r="AY174" s="25">
        <f ca="1">IF(NOTA[[#This Row],[ID_H]]="","",MATCH(NOTA[[#This Row],[NB NOTA_C_QTY]],[3]!db[NB NOTA_C_QTY+F],0))</f>
        <v>1201</v>
      </c>
      <c r="AZ174" s="38">
        <f ca="1">IF(NOTA[[#This Row],[NB NOTA_C_QTY]]="","",ROW()-2)</f>
        <v>172</v>
      </c>
    </row>
    <row r="175" spans="1:52" ht="20.100000000000001" customHeight="1">
      <c r="A1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6"/>
      <c r="V175" s="37"/>
      <c r="W175" s="32" t="s">
        <v>170</v>
      </c>
      <c r="X175" s="37" t="str">
        <f>IF(NOTA[[#This Row],[HARGA/ CTN]]="",NOTA[[#This Row],[JUMLAH_H]],NOTA[[#This Row],[HARGA/ CTN]]*IF(NOTA[[#This Row],[C]]="",0,NOTA[[#This Row],[C]]))</f>
        <v/>
      </c>
      <c r="Y175" s="37" t="str">
        <f>IF(NOTA[[#This Row],[JUMLAH]]="","",NOTA[[#This Row],[JUMLAH]]*NOTA[[#This Row],[DISC 1]])</f>
        <v/>
      </c>
      <c r="Z175" s="37" t="str">
        <f>IF(NOTA[[#This Row],[JUMLAH]]="","",(NOTA[[#This Row],[JUMLAH]]-NOTA[[#This Row],[DISC 1-]])*NOTA[[#This Row],[DISC 2]])</f>
        <v/>
      </c>
      <c r="AA175" s="37" t="str">
        <f>IF(NOTA[[#This Row],[JUMLAH]]="","",(NOTA[[#This Row],[JUMLAH]]-NOTA[[#This Row],[DISC 1-]]-NOTA[[#This Row],[DISC 2-]])*NOTA[[#This Row],[DISC 3]])</f>
        <v/>
      </c>
      <c r="AB175" s="37" t="str">
        <f>IF(NOTA[[#This Row],[JUMLAH]]="","",NOTA[[#This Row],[DISC 1-]]+NOTA[[#This Row],[DISC 2-]]+NOTA[[#This Row],[DISC 3-]])</f>
        <v/>
      </c>
      <c r="AC175" s="37" t="str">
        <f>IF(NOTA[[#This Row],[JUMLAH]]="","",NOTA[[#This Row],[JUMLAH]]-NOTA[[#This Row],[DISC]])</f>
        <v/>
      </c>
      <c r="AD175" s="37"/>
      <c r="AE1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5" s="37" t="str">
        <f>IF(OR(NOTA[[#This Row],[QTY]]="",NOTA[[#This Row],[HARGA SATUAN]]="",),"",NOTA[[#This Row],[QTY]]*NOTA[[#This Row],[HARGA SATUAN]])</f>
        <v/>
      </c>
      <c r="AI175" s="26" t="str">
        <f ca="1">IF(NOTA[[#This Row],[ID_H]]="","",INDEX(NOTA[TANGGAL],MATCH(,INDIRECT(ADDRESS(ROW(NOTA[TANGGAL]),COLUMN(NOTA[TANGGAL]))&amp;":"&amp;ADDRESS(ROW(),COLUMN(NOTA[TANGGAL]))),-1)))</f>
        <v/>
      </c>
      <c r="AJ175" s="26" t="str">
        <f ca="1">IF(NOTA[[#This Row],[ID_H]]="","",INDEX(NOTA[TGL.NOTA],MATCH(,INDIRECT(ADDRESS(ROW(NOTA[TGL.NOTA]),COLUMN(NOTA[TGL.NOTA]))&amp;":"&amp;ADDRESS(ROW(),COLUMN(NOTA[TGL.NOTA]))),-1)))</f>
        <v/>
      </c>
      <c r="AK175" s="26" t="str">
        <f>IF(NOTA[[#This Row],[ID_H]]="","",INDEX(NOTA[NO.NOTA],MATCH(NOTA[[#This Row],[ID_H]],NOTA[ID_H],0)))</f>
        <v/>
      </c>
      <c r="AL175" s="28" t="str">
        <f ca="1">IF(NOTA[[#This Row],[NAMA BARANG]]="","",INDEX(NOTA[SUPPLIER],MATCH(,INDIRECT(ADDRESS(ROW(NOTA[ID]),COLUMN(NOTA[ID]))&amp;":"&amp;ADDRESS(ROW(),COLUMN(NOTA[ID]))),-1)))</f>
        <v/>
      </c>
      <c r="AM175" s="28" t="str">
        <f ca="1">IF(NOTA[[#This Row],[ID_H]]="","",IF(NOTA[[#This Row],[FAKTUR]]="",INDIRECT(ADDRESS(ROW()-1,COLUMN())),NOTA[[#This Row],[FAKTUR]]))</f>
        <v/>
      </c>
      <c r="AN175" s="25" t="str">
        <f ca="1">IF(NOTA[[#This Row],[ID]]="","",COUNTIF(NOTA[ID_H],NOTA[[#This Row],[ID_H]]))</f>
        <v/>
      </c>
      <c r="AO175" s="25" t="str">
        <f ca="1">IF(NOTA[[#This Row],[TGL.NOTA]]="",IF(NOTA[[#This Row],[SUPPLIER_H]]="","",AO174),MONTH(NOTA[[#This Row],[TGL.NOTA]]))</f>
        <v/>
      </c>
      <c r="AP1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5" s="25"/>
      <c r="AU175" s="25" t="str">
        <f>IF(NOTA[[#This Row],[CONCAT1]]="","",MATCH(NOTA[[#This Row],[CONCAT1]],[3]!db[NB NOTA_C],0))</f>
        <v/>
      </c>
      <c r="AV175" s="25" t="str">
        <f>IF(NOTA[[#This Row],[QTY/ CTN]]="","",TRUE)</f>
        <v/>
      </c>
      <c r="AW175" s="25" t="str">
        <f>IF(NOTA[[#This Row],[ID_H]]="","",IF(NOTA[[#This Row],[Column3]]=TRUE,NOTA[[#This Row],[QTY/ CTN]],INDEX([3]!db[QTY/ CTN],NOTA[[#This Row],[//DB]])))</f>
        <v/>
      </c>
      <c r="AX1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5" s="25" t="str">
        <f>IF(NOTA[[#This Row],[ID_H]]="","",MATCH(NOTA[[#This Row],[NB NOTA_C_QTY]],[3]!db[NB NOTA_C_QTY+F],0))</f>
        <v/>
      </c>
      <c r="AZ175" s="38" t="str">
        <f ca="1">IF(NOTA[[#This Row],[NB NOTA_C_QTY]]="","",ROW()-2)</f>
        <v/>
      </c>
    </row>
    <row r="176" spans="1:52" ht="20.100000000000001" customHeight="1">
      <c r="A176" s="28">
        <f ca="1">IF(INDIRECT(ADDRESS(ROW()-1,COLUMN(NOTA[[#Headers],[ID]])))="ID",1,IF(NOTA[[#This Row],[FAKTUR]]="","",COUNT(INDIRECT(ADDRESS(ROW(NOTA[ID]),COLUMN(NOTA[ID]))&amp;":"&amp;ADDRESS(ROW()-1,COLUMN(NOTA[ID]))))+1))</f>
        <v>38</v>
      </c>
      <c r="B17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DBS_1806_924-15</v>
      </c>
      <c r="D176" s="25">
        <f ca="1">IF(NOTA[[#This Row],[NAMA BARANG]]="","",INDEX(NOTA[ID],MATCH(,INDIRECT(ADDRESS(ROW(NOTA[ID]),COLUMN(NOTA[ID]))&amp;":"&amp;ADDRESS(ROW(),COLUMN(NOTA[ID]))),-1)))</f>
        <v>38</v>
      </c>
      <c r="E176" s="33"/>
      <c r="F176" s="25" t="s">
        <v>165</v>
      </c>
      <c r="G176" s="25" t="s">
        <v>109</v>
      </c>
      <c r="H176" s="34" t="s">
        <v>391</v>
      </c>
      <c r="J176" s="26">
        <v>45456</v>
      </c>
      <c r="L176" s="25" t="s">
        <v>392</v>
      </c>
      <c r="M176" s="27">
        <v>2</v>
      </c>
      <c r="N176" s="25">
        <v>288</v>
      </c>
      <c r="O176" s="25" t="s">
        <v>110</v>
      </c>
      <c r="P176" s="28">
        <v>13250</v>
      </c>
      <c r="Q176" s="29"/>
      <c r="R176" s="35"/>
      <c r="S176" s="36"/>
      <c r="V176" s="37"/>
      <c r="W176" s="32"/>
      <c r="X176" s="37">
        <f>IF(NOTA[[#This Row],[HARGA/ CTN]]="",NOTA[[#This Row],[JUMLAH_H]],NOTA[[#This Row],[HARGA/ CTN]]*IF(NOTA[[#This Row],[C]]="",0,NOTA[[#This Row],[C]]))</f>
        <v>3816000</v>
      </c>
      <c r="Y176" s="37">
        <f>IF(NOTA[[#This Row],[JUMLAH]]="","",NOTA[[#This Row],[JUMLAH]]*NOTA[[#This Row],[DISC 1]])</f>
        <v>0</v>
      </c>
      <c r="Z176" s="37">
        <f>IF(NOTA[[#This Row],[JUMLAH]]="","",(NOTA[[#This Row],[JUMLAH]]-NOTA[[#This Row],[DISC 1-]])*NOTA[[#This Row],[DISC 2]])</f>
        <v>0</v>
      </c>
      <c r="AA176" s="37">
        <f>IF(NOTA[[#This Row],[JUMLAH]]="","",(NOTA[[#This Row],[JUMLAH]]-NOTA[[#This Row],[DISC 1-]]-NOTA[[#This Row],[DISC 2-]])*NOTA[[#This Row],[DISC 3]])</f>
        <v>0</v>
      </c>
      <c r="AB176" s="37">
        <f>IF(NOTA[[#This Row],[JUMLAH]]="","",NOTA[[#This Row],[DISC 1-]]+NOTA[[#This Row],[DISC 2-]]+NOTA[[#This Row],[DISC 3-]])</f>
        <v>0</v>
      </c>
      <c r="AC176" s="37">
        <f>IF(NOTA[[#This Row],[JUMLAH]]="","",NOTA[[#This Row],[JUMLAH]]-NOTA[[#This Row],[DISC]])</f>
        <v>3816000</v>
      </c>
      <c r="AD176" s="37"/>
      <c r="AE1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6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76" s="37">
        <f>IF(OR(NOTA[[#This Row],[QTY]]="",NOTA[[#This Row],[HARGA SATUAN]]="",),"",NOTA[[#This Row],[QTY]]*NOTA[[#This Row],[HARGA SATUAN]])</f>
        <v>3816000</v>
      </c>
      <c r="AI176" s="26">
        <f ca="1">IF(NOTA[[#This Row],[ID_H]]="","",INDEX(NOTA[TANGGAL],MATCH(,INDIRECT(ADDRESS(ROW(NOTA[TANGGAL]),COLUMN(NOTA[TANGGAL]))&amp;":"&amp;ADDRESS(ROW(),COLUMN(NOTA[TANGGAL]))),-1)))</f>
        <v>45461</v>
      </c>
      <c r="AJ176" s="26">
        <f ca="1">IF(NOTA[[#This Row],[ID_H]]="","",INDEX(NOTA[TGL.NOTA],MATCH(,INDIRECT(ADDRESS(ROW(NOTA[TGL.NOTA]),COLUMN(NOTA[TGL.NOTA]))&amp;":"&amp;ADDRESS(ROW(),COLUMN(NOTA[TGL.NOTA]))),-1)))</f>
        <v>45456</v>
      </c>
      <c r="AK176" s="26" t="str">
        <f ca="1">IF(NOTA[[#This Row],[ID_H]]="","",INDEX(NOTA[NO.NOTA],MATCH(NOTA[[#This Row],[ID_H]],NOTA[ID_H],0)))</f>
        <v>JUF309/24</v>
      </c>
      <c r="AL176" s="28" t="str">
        <f ca="1">IF(NOTA[[#This Row],[NAMA BARANG]]="","",INDEX(NOTA[SUPPLIER],MATCH(,INDIRECT(ADDRESS(ROW(NOTA[ID]),COLUMN(NOTA[ID]))&amp;":"&amp;ADDRESS(ROW(),COLUMN(NOTA[ID]))),-1)))</f>
        <v>DB STATIONERY</v>
      </c>
      <c r="AM176" s="28" t="str">
        <f ca="1">IF(NOTA[[#This Row],[ID_H]]="","",IF(NOTA[[#This Row],[FAKTUR]]="",INDIRECT(ADDRESS(ROW()-1,COLUMN())),NOTA[[#This Row],[FAKTUR]]))</f>
        <v>UNTANA</v>
      </c>
      <c r="AN176" s="25">
        <f ca="1">IF(NOTA[[#This Row],[ID]]="","",COUNTIF(NOTA[ID_H],NOTA[[#This Row],[ID_H]]))</f>
        <v>15</v>
      </c>
      <c r="AO176" s="25">
        <f>IF(NOTA[[#This Row],[TGL.NOTA]]="",IF(NOTA[[#This Row],[SUPPLIER_H]]="","",AO175),MONTH(NOTA[[#This Row],[TGL.NOTA]]))</f>
        <v>6</v>
      </c>
      <c r="AP176" s="25" t="str">
        <f>LOWER(SUBSTITUTE(SUBSTITUTE(SUBSTITUTE(SUBSTITUTE(SUBSTITUTE(SUBSTITUTE(SUBSTITUTE(SUBSTITUTE(SUBSTITUTE(NOTA[[#This Row],[NAMA BARANG]]," ",),".",""),"-",""),"(",""),")",""),",",""),"/",""),"""",""),"+",""))</f>
        <v>mekpensiltizog9001a</v>
      </c>
      <c r="AQ1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mekpensiltizog9001a1908000</v>
      </c>
      <c r="AR1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mekpensiltizog9001a1908000</v>
      </c>
      <c r="AS176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STATIONERYUNTANAJUF309/2445456mekpensiltizog9001a</v>
      </c>
      <c r="AT176" s="25"/>
      <c r="AU176" s="25">
        <f>IF(NOTA[[#This Row],[CONCAT1]]="","",MATCH(NOTA[[#This Row],[CONCAT1]],[3]!db[NB NOTA_C],0))</f>
        <v>2173</v>
      </c>
      <c r="AV176" s="25" t="str">
        <f>IF(NOTA[[#This Row],[QTY/ CTN]]="","",TRUE)</f>
        <v/>
      </c>
      <c r="AW176" s="25" t="str">
        <f ca="1">IF(NOTA[[#This Row],[ID_H]]="","",IF(NOTA[[#This Row],[Column3]]=TRUE,NOTA[[#This Row],[QTY/ CTN]],INDEX([3]!db[QTY/ CTN],NOTA[[#This Row],[//DB]])))</f>
        <v>144 LSN</v>
      </c>
      <c r="AX1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mekpensiltizog9001a144lsnuntana</v>
      </c>
      <c r="AY176" s="25">
        <f ca="1">IF(NOTA[[#This Row],[ID_H]]="","",MATCH(NOTA[[#This Row],[NB NOTA_C_QTY]],[3]!db[NB NOTA_C_QTY+F],0))</f>
        <v>2173</v>
      </c>
      <c r="AZ176" s="38">
        <f ca="1">IF(NOTA[[#This Row],[NB NOTA_C_QTY]]="","",ROW()-2)</f>
        <v>174</v>
      </c>
    </row>
    <row r="177" spans="1:52" ht="20.100000000000001" customHeight="1">
      <c r="A1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77" s="25">
        <f ca="1">IF(NOTA[[#This Row],[NAMA BARANG]]="","",INDEX(NOTA[ID],MATCH(,INDIRECT(ADDRESS(ROW(NOTA[ID]),COLUMN(NOTA[ID]))&amp;":"&amp;ADDRESS(ROW(),COLUMN(NOTA[ID]))),-1)))</f>
        <v>38</v>
      </c>
      <c r="E177" s="33"/>
      <c r="H177" s="34"/>
      <c r="L177" s="25" t="s">
        <v>393</v>
      </c>
      <c r="M177" s="27">
        <v>2</v>
      </c>
      <c r="N177" s="25">
        <v>288</v>
      </c>
      <c r="O177" s="25" t="s">
        <v>110</v>
      </c>
      <c r="P177" s="28">
        <v>13250</v>
      </c>
      <c r="Q177" s="29"/>
      <c r="R177" s="35"/>
      <c r="S177" s="36"/>
      <c r="V177" s="37"/>
      <c r="W177" s="32"/>
      <c r="X177" s="37">
        <f>IF(NOTA[[#This Row],[HARGA/ CTN]]="",NOTA[[#This Row],[JUMLAH_H]],NOTA[[#This Row],[HARGA/ CTN]]*IF(NOTA[[#This Row],[C]]="",0,NOTA[[#This Row],[C]]))</f>
        <v>3816000</v>
      </c>
      <c r="Y177" s="37">
        <f>IF(NOTA[[#This Row],[JUMLAH]]="","",NOTA[[#This Row],[JUMLAH]]*NOTA[[#This Row],[DISC 1]])</f>
        <v>0</v>
      </c>
      <c r="Z177" s="37">
        <f>IF(NOTA[[#This Row],[JUMLAH]]="","",(NOTA[[#This Row],[JUMLAH]]-NOTA[[#This Row],[DISC 1-]])*NOTA[[#This Row],[DISC 2]])</f>
        <v>0</v>
      </c>
      <c r="AA177" s="37">
        <f>IF(NOTA[[#This Row],[JUMLAH]]="","",(NOTA[[#This Row],[JUMLAH]]-NOTA[[#This Row],[DISC 1-]]-NOTA[[#This Row],[DISC 2-]])*NOTA[[#This Row],[DISC 3]])</f>
        <v>0</v>
      </c>
      <c r="AB177" s="37">
        <f>IF(NOTA[[#This Row],[JUMLAH]]="","",NOTA[[#This Row],[DISC 1-]]+NOTA[[#This Row],[DISC 2-]]+NOTA[[#This Row],[DISC 3-]])</f>
        <v>0</v>
      </c>
      <c r="AC177" s="37">
        <f>IF(NOTA[[#This Row],[JUMLAH]]="","",NOTA[[#This Row],[JUMLAH]]-NOTA[[#This Row],[DISC]])</f>
        <v>3816000</v>
      </c>
      <c r="AD177" s="37"/>
      <c r="AE1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7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77" s="37">
        <f>IF(OR(NOTA[[#This Row],[QTY]]="",NOTA[[#This Row],[HARGA SATUAN]]="",),"",NOTA[[#This Row],[QTY]]*NOTA[[#This Row],[HARGA SATUAN]])</f>
        <v>3816000</v>
      </c>
      <c r="AI177" s="26">
        <f ca="1">IF(NOTA[[#This Row],[ID_H]]="","",INDEX(NOTA[TANGGAL],MATCH(,INDIRECT(ADDRESS(ROW(NOTA[TANGGAL]),COLUMN(NOTA[TANGGAL]))&amp;":"&amp;ADDRESS(ROW(),COLUMN(NOTA[TANGGAL]))),-1)))</f>
        <v>45461</v>
      </c>
      <c r="AJ177" s="26">
        <f ca="1">IF(NOTA[[#This Row],[ID_H]]="","",INDEX(NOTA[TGL.NOTA],MATCH(,INDIRECT(ADDRESS(ROW(NOTA[TGL.NOTA]),COLUMN(NOTA[TGL.NOTA]))&amp;":"&amp;ADDRESS(ROW(),COLUMN(NOTA[TGL.NOTA]))),-1)))</f>
        <v>45456</v>
      </c>
      <c r="AK177" s="26" t="str">
        <f ca="1">IF(NOTA[[#This Row],[ID_H]]="","",INDEX(NOTA[NO.NOTA],MATCH(NOTA[[#This Row],[ID_H]],NOTA[ID_H],0)))</f>
        <v>JUF309/24</v>
      </c>
      <c r="AL177" s="28" t="str">
        <f ca="1">IF(NOTA[[#This Row],[NAMA BARANG]]="","",INDEX(NOTA[SUPPLIER],MATCH(,INDIRECT(ADDRESS(ROW(NOTA[ID]),COLUMN(NOTA[ID]))&amp;":"&amp;ADDRESS(ROW(),COLUMN(NOTA[ID]))),-1)))</f>
        <v>DB STATIONERY</v>
      </c>
      <c r="AM177" s="28" t="str">
        <f ca="1">IF(NOTA[[#This Row],[ID_H]]="","",IF(NOTA[[#This Row],[FAKTUR]]="",INDIRECT(ADDRESS(ROW()-1,COLUMN())),NOTA[[#This Row],[FAKTUR]]))</f>
        <v>UNTANA</v>
      </c>
      <c r="AN177" s="25" t="str">
        <f ca="1">IF(NOTA[[#This Row],[ID]]="","",COUNTIF(NOTA[ID_H],NOTA[[#This Row],[ID_H]]))</f>
        <v/>
      </c>
      <c r="AO177" s="25">
        <f ca="1">IF(NOTA[[#This Row],[TGL.NOTA]]="",IF(NOTA[[#This Row],[SUPPLIER_H]]="","",AO176),MONTH(NOTA[[#This Row],[TGL.NOTA]]))</f>
        <v>6</v>
      </c>
      <c r="AP177" s="25" t="str">
        <f>LOWER(SUBSTITUTE(SUBSTITUTE(SUBSTITUTE(SUBSTITUTE(SUBSTITUTE(SUBSTITUTE(SUBSTITUTE(SUBSTITUTE(SUBSTITUTE(NOTA[[#This Row],[NAMA BARANG]]," ",),".",""),"-",""),"(",""),")",""),",",""),"/",""),"""",""),"+",""))</f>
        <v>mektizog9005a</v>
      </c>
      <c r="AQ1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mektizog9005a1908000</v>
      </c>
      <c r="AR1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mektizog9005a1908000</v>
      </c>
      <c r="AS1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7" s="25"/>
      <c r="AU177" s="25">
        <f>IF(NOTA[[#This Row],[CONCAT1]]="","",MATCH(NOTA[[#This Row],[CONCAT1]],[3]!db[NB NOTA_C],0))</f>
        <v>3388</v>
      </c>
      <c r="AV177" s="25" t="str">
        <f>IF(NOTA[[#This Row],[QTY/ CTN]]="","",TRUE)</f>
        <v/>
      </c>
      <c r="AW177" s="25" t="str">
        <f ca="1">IF(NOTA[[#This Row],[ID_H]]="","",IF(NOTA[[#This Row],[Column3]]=TRUE,NOTA[[#This Row],[QTY/ CTN]],INDEX([3]!db[QTY/ CTN],NOTA[[#This Row],[//DB]])))</f>
        <v>144 LSN</v>
      </c>
      <c r="AX1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mektizog9005a144lsnuntana</v>
      </c>
      <c r="AY177" s="25">
        <f ca="1">IF(NOTA[[#This Row],[ID_H]]="","",MATCH(NOTA[[#This Row],[NB NOTA_C_QTY]],[3]!db[NB NOTA_C_QTY+F],0))</f>
        <v>3388</v>
      </c>
      <c r="AZ177" s="38">
        <f ca="1">IF(NOTA[[#This Row],[NB NOTA_C_QTY]]="","",ROW()-2)</f>
        <v>175</v>
      </c>
    </row>
    <row r="178" spans="1:52" ht="20.100000000000001" customHeight="1">
      <c r="A1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78" s="25">
        <f ca="1">IF(NOTA[[#This Row],[NAMA BARANG]]="","",INDEX(NOTA[ID],MATCH(,INDIRECT(ADDRESS(ROW(NOTA[ID]),COLUMN(NOTA[ID]))&amp;":"&amp;ADDRESS(ROW(),COLUMN(NOTA[ID]))),-1)))</f>
        <v>38</v>
      </c>
      <c r="E178" s="33"/>
      <c r="H178" s="34"/>
      <c r="L178" s="25" t="s">
        <v>394</v>
      </c>
      <c r="M178" s="27">
        <v>2</v>
      </c>
      <c r="N178" s="25">
        <v>288</v>
      </c>
      <c r="O178" s="25" t="s">
        <v>110</v>
      </c>
      <c r="P178" s="28">
        <v>13250</v>
      </c>
      <c r="Q178" s="29"/>
      <c r="R178" s="35"/>
      <c r="S178" s="36"/>
      <c r="V178" s="37"/>
      <c r="W178" s="32"/>
      <c r="X178" s="37">
        <f>IF(NOTA[[#This Row],[HARGA/ CTN]]="",NOTA[[#This Row],[JUMLAH_H]],NOTA[[#This Row],[HARGA/ CTN]]*IF(NOTA[[#This Row],[C]]="",0,NOTA[[#This Row],[C]]))</f>
        <v>3816000</v>
      </c>
      <c r="Y178" s="37">
        <f>IF(NOTA[[#This Row],[JUMLAH]]="","",NOTA[[#This Row],[JUMLAH]]*NOTA[[#This Row],[DISC 1]])</f>
        <v>0</v>
      </c>
      <c r="Z178" s="37">
        <f>IF(NOTA[[#This Row],[JUMLAH]]="","",(NOTA[[#This Row],[JUMLAH]]-NOTA[[#This Row],[DISC 1-]])*NOTA[[#This Row],[DISC 2]])</f>
        <v>0</v>
      </c>
      <c r="AA178" s="37">
        <f>IF(NOTA[[#This Row],[JUMLAH]]="","",(NOTA[[#This Row],[JUMLAH]]-NOTA[[#This Row],[DISC 1-]]-NOTA[[#This Row],[DISC 2-]])*NOTA[[#This Row],[DISC 3]])</f>
        <v>0</v>
      </c>
      <c r="AB178" s="37">
        <f>IF(NOTA[[#This Row],[JUMLAH]]="","",NOTA[[#This Row],[DISC 1-]]+NOTA[[#This Row],[DISC 2-]]+NOTA[[#This Row],[DISC 3-]])</f>
        <v>0</v>
      </c>
      <c r="AC178" s="37">
        <f>IF(NOTA[[#This Row],[JUMLAH]]="","",NOTA[[#This Row],[JUMLAH]]-NOTA[[#This Row],[DISC]])</f>
        <v>3816000</v>
      </c>
      <c r="AD178" s="37"/>
      <c r="AE1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8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78" s="37">
        <f>IF(OR(NOTA[[#This Row],[QTY]]="",NOTA[[#This Row],[HARGA SATUAN]]="",),"",NOTA[[#This Row],[QTY]]*NOTA[[#This Row],[HARGA SATUAN]])</f>
        <v>3816000</v>
      </c>
      <c r="AI178" s="26">
        <f ca="1">IF(NOTA[[#This Row],[ID_H]]="","",INDEX(NOTA[TANGGAL],MATCH(,INDIRECT(ADDRESS(ROW(NOTA[TANGGAL]),COLUMN(NOTA[TANGGAL]))&amp;":"&amp;ADDRESS(ROW(),COLUMN(NOTA[TANGGAL]))),-1)))</f>
        <v>45461</v>
      </c>
      <c r="AJ178" s="26">
        <f ca="1">IF(NOTA[[#This Row],[ID_H]]="","",INDEX(NOTA[TGL.NOTA],MATCH(,INDIRECT(ADDRESS(ROW(NOTA[TGL.NOTA]),COLUMN(NOTA[TGL.NOTA]))&amp;":"&amp;ADDRESS(ROW(),COLUMN(NOTA[TGL.NOTA]))),-1)))</f>
        <v>45456</v>
      </c>
      <c r="AK178" s="26" t="str">
        <f ca="1">IF(NOTA[[#This Row],[ID_H]]="","",INDEX(NOTA[NO.NOTA],MATCH(NOTA[[#This Row],[ID_H]],NOTA[ID_H],0)))</f>
        <v>JUF309/24</v>
      </c>
      <c r="AL178" s="28" t="str">
        <f ca="1">IF(NOTA[[#This Row],[NAMA BARANG]]="","",INDEX(NOTA[SUPPLIER],MATCH(,INDIRECT(ADDRESS(ROW(NOTA[ID]),COLUMN(NOTA[ID]))&amp;":"&amp;ADDRESS(ROW(),COLUMN(NOTA[ID]))),-1)))</f>
        <v>DB STATIONERY</v>
      </c>
      <c r="AM178" s="28" t="str">
        <f ca="1">IF(NOTA[[#This Row],[ID_H]]="","",IF(NOTA[[#This Row],[FAKTUR]]="",INDIRECT(ADDRESS(ROW()-1,COLUMN())),NOTA[[#This Row],[FAKTUR]]))</f>
        <v>UNTANA</v>
      </c>
      <c r="AN178" s="25" t="str">
        <f ca="1">IF(NOTA[[#This Row],[ID]]="","",COUNTIF(NOTA[ID_H],NOTA[[#This Row],[ID_H]]))</f>
        <v/>
      </c>
      <c r="AO178" s="25">
        <f ca="1">IF(NOTA[[#This Row],[TGL.NOTA]]="",IF(NOTA[[#This Row],[SUPPLIER_H]]="","",AO177),MONTH(NOTA[[#This Row],[TGL.NOTA]]))</f>
        <v>6</v>
      </c>
      <c r="AP178" s="25" t="str">
        <f>LOWER(SUBSTITUTE(SUBSTITUTE(SUBSTITUTE(SUBSTITUTE(SUBSTITUTE(SUBSTITUTE(SUBSTITUTE(SUBSTITUTE(SUBSTITUTE(NOTA[[#This Row],[NAMA BARANG]]," ",),".",""),"-",""),"(",""),")",""),",",""),"/",""),"""",""),"+",""))</f>
        <v>mekpensiltizog9006a</v>
      </c>
      <c r="AQ1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mekpensiltizog9006a1908000</v>
      </c>
      <c r="AR1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mekpensiltizog9006a1908000</v>
      </c>
      <c r="AS1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8" s="25"/>
      <c r="AU178" s="25">
        <f>IF(NOTA[[#This Row],[CONCAT1]]="","",MATCH(NOTA[[#This Row],[CONCAT1]],[3]!db[NB NOTA_C],0))</f>
        <v>3389</v>
      </c>
      <c r="AV178" s="25" t="str">
        <f>IF(NOTA[[#This Row],[QTY/ CTN]]="","",TRUE)</f>
        <v/>
      </c>
      <c r="AW178" s="25" t="str">
        <f ca="1">IF(NOTA[[#This Row],[ID_H]]="","",IF(NOTA[[#This Row],[Column3]]=TRUE,NOTA[[#This Row],[QTY/ CTN]],INDEX([3]!db[QTY/ CTN],NOTA[[#This Row],[//DB]])))</f>
        <v>144 LSN</v>
      </c>
      <c r="AX1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mekpensiltizog9006a144lsnuntana</v>
      </c>
      <c r="AY178" s="25">
        <f ca="1">IF(NOTA[[#This Row],[ID_H]]="","",MATCH(NOTA[[#This Row],[NB NOTA_C_QTY]],[3]!db[NB NOTA_C_QTY+F],0))</f>
        <v>3389</v>
      </c>
      <c r="AZ178" s="38">
        <f ca="1">IF(NOTA[[#This Row],[NB NOTA_C_QTY]]="","",ROW()-2)</f>
        <v>176</v>
      </c>
    </row>
    <row r="179" spans="1:52" ht="20.100000000000001" customHeight="1">
      <c r="A1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79" s="25">
        <f ca="1">IF(NOTA[[#This Row],[NAMA BARANG]]="","",INDEX(NOTA[ID],MATCH(,INDIRECT(ADDRESS(ROW(NOTA[ID]),COLUMN(NOTA[ID]))&amp;":"&amp;ADDRESS(ROW(),COLUMN(NOTA[ID]))),-1)))</f>
        <v>38</v>
      </c>
      <c r="E179" s="33"/>
      <c r="H179" s="34"/>
      <c r="L179" s="25" t="s">
        <v>395</v>
      </c>
      <c r="M179" s="27">
        <v>2</v>
      </c>
      <c r="N179" s="25">
        <v>288</v>
      </c>
      <c r="O179" s="25" t="s">
        <v>110</v>
      </c>
      <c r="P179" s="28">
        <v>13250</v>
      </c>
      <c r="Q179" s="29"/>
      <c r="R179" s="35"/>
      <c r="S179" s="36"/>
      <c r="V179" s="37"/>
      <c r="W179" s="32"/>
      <c r="X179" s="37">
        <f>IF(NOTA[[#This Row],[HARGA/ CTN]]="",NOTA[[#This Row],[JUMLAH_H]],NOTA[[#This Row],[HARGA/ CTN]]*IF(NOTA[[#This Row],[C]]="",0,NOTA[[#This Row],[C]]))</f>
        <v>3816000</v>
      </c>
      <c r="Y179" s="37">
        <f>IF(NOTA[[#This Row],[JUMLAH]]="","",NOTA[[#This Row],[JUMLAH]]*NOTA[[#This Row],[DISC 1]])</f>
        <v>0</v>
      </c>
      <c r="Z179" s="37">
        <f>IF(NOTA[[#This Row],[JUMLAH]]="","",(NOTA[[#This Row],[JUMLAH]]-NOTA[[#This Row],[DISC 1-]])*NOTA[[#This Row],[DISC 2]])</f>
        <v>0</v>
      </c>
      <c r="AA179" s="37">
        <f>IF(NOTA[[#This Row],[JUMLAH]]="","",(NOTA[[#This Row],[JUMLAH]]-NOTA[[#This Row],[DISC 1-]]-NOTA[[#This Row],[DISC 2-]])*NOTA[[#This Row],[DISC 3]])</f>
        <v>0</v>
      </c>
      <c r="AB179" s="37">
        <f>IF(NOTA[[#This Row],[JUMLAH]]="","",NOTA[[#This Row],[DISC 1-]]+NOTA[[#This Row],[DISC 2-]]+NOTA[[#This Row],[DISC 3-]])</f>
        <v>0</v>
      </c>
      <c r="AC179" s="37">
        <f>IF(NOTA[[#This Row],[JUMLAH]]="","",NOTA[[#This Row],[JUMLAH]]-NOTA[[#This Row],[DISC]])</f>
        <v>3816000</v>
      </c>
      <c r="AD179" s="37"/>
      <c r="AE1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9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79" s="37">
        <f>IF(OR(NOTA[[#This Row],[QTY]]="",NOTA[[#This Row],[HARGA SATUAN]]="",),"",NOTA[[#This Row],[QTY]]*NOTA[[#This Row],[HARGA SATUAN]])</f>
        <v>3816000</v>
      </c>
      <c r="AI179" s="26">
        <f ca="1">IF(NOTA[[#This Row],[ID_H]]="","",INDEX(NOTA[TANGGAL],MATCH(,INDIRECT(ADDRESS(ROW(NOTA[TANGGAL]),COLUMN(NOTA[TANGGAL]))&amp;":"&amp;ADDRESS(ROW(),COLUMN(NOTA[TANGGAL]))),-1)))</f>
        <v>45461</v>
      </c>
      <c r="AJ179" s="26">
        <f ca="1">IF(NOTA[[#This Row],[ID_H]]="","",INDEX(NOTA[TGL.NOTA],MATCH(,INDIRECT(ADDRESS(ROW(NOTA[TGL.NOTA]),COLUMN(NOTA[TGL.NOTA]))&amp;":"&amp;ADDRESS(ROW(),COLUMN(NOTA[TGL.NOTA]))),-1)))</f>
        <v>45456</v>
      </c>
      <c r="AK179" s="26" t="str">
        <f ca="1">IF(NOTA[[#This Row],[ID_H]]="","",INDEX(NOTA[NO.NOTA],MATCH(NOTA[[#This Row],[ID_H]],NOTA[ID_H],0)))</f>
        <v>JUF309/24</v>
      </c>
      <c r="AL179" s="28" t="str">
        <f ca="1">IF(NOTA[[#This Row],[NAMA BARANG]]="","",INDEX(NOTA[SUPPLIER],MATCH(,INDIRECT(ADDRESS(ROW(NOTA[ID]),COLUMN(NOTA[ID]))&amp;":"&amp;ADDRESS(ROW(),COLUMN(NOTA[ID]))),-1)))</f>
        <v>DB STATIONERY</v>
      </c>
      <c r="AM179" s="28" t="str">
        <f ca="1">IF(NOTA[[#This Row],[ID_H]]="","",IF(NOTA[[#This Row],[FAKTUR]]="",INDIRECT(ADDRESS(ROW()-1,COLUMN())),NOTA[[#This Row],[FAKTUR]]))</f>
        <v>UNTANA</v>
      </c>
      <c r="AN179" s="25" t="str">
        <f ca="1">IF(NOTA[[#This Row],[ID]]="","",COUNTIF(NOTA[ID_H],NOTA[[#This Row],[ID_H]]))</f>
        <v/>
      </c>
      <c r="AO179" s="25">
        <f ca="1">IF(NOTA[[#This Row],[TGL.NOTA]]="",IF(NOTA[[#This Row],[SUPPLIER_H]]="","",AO178),MONTH(NOTA[[#This Row],[TGL.NOTA]]))</f>
        <v>6</v>
      </c>
      <c r="AP179" s="25" t="str">
        <f>LOWER(SUBSTITUTE(SUBSTITUTE(SUBSTITUTE(SUBSTITUTE(SUBSTITUTE(SUBSTITUTE(SUBSTITUTE(SUBSTITUTE(SUBSTITUTE(NOTA[[#This Row],[NAMA BARANG]]," ",),".",""),"-",""),"(",""),")",""),",",""),"/",""),"""",""),"+",""))</f>
        <v>mekpensiltizog9007a</v>
      </c>
      <c r="AQ1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mekpensiltizog9007a1908000</v>
      </c>
      <c r="AR1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mekpensiltizog9007a1908000</v>
      </c>
      <c r="AS1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9" s="25"/>
      <c r="AU179" s="25">
        <f>IF(NOTA[[#This Row],[CONCAT1]]="","",MATCH(NOTA[[#This Row],[CONCAT1]],[3]!db[NB NOTA_C],0))</f>
        <v>3390</v>
      </c>
      <c r="AV179" s="25" t="str">
        <f>IF(NOTA[[#This Row],[QTY/ CTN]]="","",TRUE)</f>
        <v/>
      </c>
      <c r="AW179" s="25" t="str">
        <f ca="1">IF(NOTA[[#This Row],[ID_H]]="","",IF(NOTA[[#This Row],[Column3]]=TRUE,NOTA[[#This Row],[QTY/ CTN]],INDEX([3]!db[QTY/ CTN],NOTA[[#This Row],[//DB]])))</f>
        <v>144 LSN</v>
      </c>
      <c r="AX1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mekpensiltizog9007a144lsnuntana</v>
      </c>
      <c r="AY179" s="25">
        <f ca="1">IF(NOTA[[#This Row],[ID_H]]="","",MATCH(NOTA[[#This Row],[NB NOTA_C_QTY]],[3]!db[NB NOTA_C_QTY+F],0))</f>
        <v>3390</v>
      </c>
      <c r="AZ179" s="38">
        <f ca="1">IF(NOTA[[#This Row],[NB NOTA_C_QTY]]="","",ROW()-2)</f>
        <v>177</v>
      </c>
    </row>
    <row r="180" spans="1:52" ht="20.100000000000001" customHeight="1">
      <c r="A1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0" s="25">
        <f ca="1">IF(NOTA[[#This Row],[NAMA BARANG]]="","",INDEX(NOTA[ID],MATCH(,INDIRECT(ADDRESS(ROW(NOTA[ID]),COLUMN(NOTA[ID]))&amp;":"&amp;ADDRESS(ROW(),COLUMN(NOTA[ID]))),-1)))</f>
        <v>38</v>
      </c>
      <c r="E180" s="33"/>
      <c r="H180" s="34"/>
      <c r="L180" s="25" t="s">
        <v>396</v>
      </c>
      <c r="M180" s="27">
        <v>2</v>
      </c>
      <c r="N180" s="25">
        <v>288</v>
      </c>
      <c r="O180" s="25" t="s">
        <v>110</v>
      </c>
      <c r="P180" s="28">
        <v>13250</v>
      </c>
      <c r="Q180" s="29"/>
      <c r="R180" s="35"/>
      <c r="S180" s="36"/>
      <c r="V180" s="37"/>
      <c r="W180" s="32"/>
      <c r="X180" s="37">
        <f>IF(NOTA[[#This Row],[HARGA/ CTN]]="",NOTA[[#This Row],[JUMLAH_H]],NOTA[[#This Row],[HARGA/ CTN]]*IF(NOTA[[#This Row],[C]]="",0,NOTA[[#This Row],[C]]))</f>
        <v>3816000</v>
      </c>
      <c r="Y180" s="37">
        <f>IF(NOTA[[#This Row],[JUMLAH]]="","",NOTA[[#This Row],[JUMLAH]]*NOTA[[#This Row],[DISC 1]])</f>
        <v>0</v>
      </c>
      <c r="Z180" s="37">
        <f>IF(NOTA[[#This Row],[JUMLAH]]="","",(NOTA[[#This Row],[JUMLAH]]-NOTA[[#This Row],[DISC 1-]])*NOTA[[#This Row],[DISC 2]])</f>
        <v>0</v>
      </c>
      <c r="AA180" s="37">
        <f>IF(NOTA[[#This Row],[JUMLAH]]="","",(NOTA[[#This Row],[JUMLAH]]-NOTA[[#This Row],[DISC 1-]]-NOTA[[#This Row],[DISC 2-]])*NOTA[[#This Row],[DISC 3]])</f>
        <v>0</v>
      </c>
      <c r="AB180" s="37">
        <f>IF(NOTA[[#This Row],[JUMLAH]]="","",NOTA[[#This Row],[DISC 1-]]+NOTA[[#This Row],[DISC 2-]]+NOTA[[#This Row],[DISC 3-]])</f>
        <v>0</v>
      </c>
      <c r="AC180" s="37">
        <f>IF(NOTA[[#This Row],[JUMLAH]]="","",NOTA[[#This Row],[JUMLAH]]-NOTA[[#This Row],[DISC]])</f>
        <v>3816000</v>
      </c>
      <c r="AD180" s="37"/>
      <c r="AE1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0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0" s="37">
        <f>IF(OR(NOTA[[#This Row],[QTY]]="",NOTA[[#This Row],[HARGA SATUAN]]="",),"",NOTA[[#This Row],[QTY]]*NOTA[[#This Row],[HARGA SATUAN]])</f>
        <v>3816000</v>
      </c>
      <c r="AI180" s="26">
        <f ca="1">IF(NOTA[[#This Row],[ID_H]]="","",INDEX(NOTA[TANGGAL],MATCH(,INDIRECT(ADDRESS(ROW(NOTA[TANGGAL]),COLUMN(NOTA[TANGGAL]))&amp;":"&amp;ADDRESS(ROW(),COLUMN(NOTA[TANGGAL]))),-1)))</f>
        <v>45461</v>
      </c>
      <c r="AJ180" s="26">
        <f ca="1">IF(NOTA[[#This Row],[ID_H]]="","",INDEX(NOTA[TGL.NOTA],MATCH(,INDIRECT(ADDRESS(ROW(NOTA[TGL.NOTA]),COLUMN(NOTA[TGL.NOTA]))&amp;":"&amp;ADDRESS(ROW(),COLUMN(NOTA[TGL.NOTA]))),-1)))</f>
        <v>45456</v>
      </c>
      <c r="AK180" s="26" t="str">
        <f ca="1">IF(NOTA[[#This Row],[ID_H]]="","",INDEX(NOTA[NO.NOTA],MATCH(NOTA[[#This Row],[ID_H]],NOTA[ID_H],0)))</f>
        <v>JUF309/24</v>
      </c>
      <c r="AL180" s="28" t="str">
        <f ca="1">IF(NOTA[[#This Row],[NAMA BARANG]]="","",INDEX(NOTA[SUPPLIER],MATCH(,INDIRECT(ADDRESS(ROW(NOTA[ID]),COLUMN(NOTA[ID]))&amp;":"&amp;ADDRESS(ROW(),COLUMN(NOTA[ID]))),-1)))</f>
        <v>DB STATIONERY</v>
      </c>
      <c r="AM180" s="28" t="str">
        <f ca="1">IF(NOTA[[#This Row],[ID_H]]="","",IF(NOTA[[#This Row],[FAKTUR]]="",INDIRECT(ADDRESS(ROW()-1,COLUMN())),NOTA[[#This Row],[FAKTUR]]))</f>
        <v>UNTANA</v>
      </c>
      <c r="AN180" s="25" t="str">
        <f ca="1">IF(NOTA[[#This Row],[ID]]="","",COUNTIF(NOTA[ID_H],NOTA[[#This Row],[ID_H]]))</f>
        <v/>
      </c>
      <c r="AO180" s="25">
        <f ca="1">IF(NOTA[[#This Row],[TGL.NOTA]]="",IF(NOTA[[#This Row],[SUPPLIER_H]]="","",AO179),MONTH(NOTA[[#This Row],[TGL.NOTA]]))</f>
        <v>6</v>
      </c>
      <c r="AP180" s="25" t="str">
        <f>LOWER(SUBSTITUTE(SUBSTITUTE(SUBSTITUTE(SUBSTITUTE(SUBSTITUTE(SUBSTITUTE(SUBSTITUTE(SUBSTITUTE(SUBSTITUTE(NOTA[[#This Row],[NAMA BARANG]]," ",),".",""),"-",""),"(",""),")",""),",",""),"/",""),"""",""),"+",""))</f>
        <v>mekpensiltizog9008a</v>
      </c>
      <c r="AQ1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mekpensiltizog9008a1908000</v>
      </c>
      <c r="AR1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mekpensiltizog9008a1908000</v>
      </c>
      <c r="AS1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0" s="25"/>
      <c r="AU180" s="25">
        <f>IF(NOTA[[#This Row],[CONCAT1]]="","",MATCH(NOTA[[#This Row],[CONCAT1]],[3]!db[NB NOTA_C],0))</f>
        <v>3391</v>
      </c>
      <c r="AV180" s="25" t="str">
        <f>IF(NOTA[[#This Row],[QTY/ CTN]]="","",TRUE)</f>
        <v/>
      </c>
      <c r="AW180" s="25" t="str">
        <f ca="1">IF(NOTA[[#This Row],[ID_H]]="","",IF(NOTA[[#This Row],[Column3]]=TRUE,NOTA[[#This Row],[QTY/ CTN]],INDEX([3]!db[QTY/ CTN],NOTA[[#This Row],[//DB]])))</f>
        <v>144 LSN</v>
      </c>
      <c r="AX1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mekpensiltizog9008a144lsnuntana</v>
      </c>
      <c r="AY180" s="25">
        <f ca="1">IF(NOTA[[#This Row],[ID_H]]="","",MATCH(NOTA[[#This Row],[NB NOTA_C_QTY]],[3]!db[NB NOTA_C_QTY+F],0))</f>
        <v>3391</v>
      </c>
      <c r="AZ180" s="38">
        <f ca="1">IF(NOTA[[#This Row],[NB NOTA_C_QTY]]="","",ROW()-2)</f>
        <v>178</v>
      </c>
    </row>
    <row r="181" spans="1:52" ht="20.100000000000001" customHeight="1">
      <c r="A1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1" s="25">
        <f ca="1">IF(NOTA[[#This Row],[NAMA BARANG]]="","",INDEX(NOTA[ID],MATCH(,INDIRECT(ADDRESS(ROW(NOTA[ID]),COLUMN(NOTA[ID]))&amp;":"&amp;ADDRESS(ROW(),COLUMN(NOTA[ID]))),-1)))</f>
        <v>38</v>
      </c>
      <c r="E181" s="33"/>
      <c r="H181" s="34"/>
      <c r="L181" s="25" t="s">
        <v>397</v>
      </c>
      <c r="M181" s="27">
        <v>2</v>
      </c>
      <c r="N181" s="25">
        <v>288</v>
      </c>
      <c r="O181" s="25" t="s">
        <v>110</v>
      </c>
      <c r="P181" s="28">
        <v>13250</v>
      </c>
      <c r="Q181" s="29"/>
      <c r="R181" s="35"/>
      <c r="S181" s="36"/>
      <c r="V181" s="37"/>
      <c r="W181" s="32"/>
      <c r="X181" s="37">
        <f>IF(NOTA[[#This Row],[HARGA/ CTN]]="",NOTA[[#This Row],[JUMLAH_H]],NOTA[[#This Row],[HARGA/ CTN]]*IF(NOTA[[#This Row],[C]]="",0,NOTA[[#This Row],[C]]))</f>
        <v>3816000</v>
      </c>
      <c r="Y181" s="37">
        <f>IF(NOTA[[#This Row],[JUMLAH]]="","",NOTA[[#This Row],[JUMLAH]]*NOTA[[#This Row],[DISC 1]])</f>
        <v>0</v>
      </c>
      <c r="Z181" s="37">
        <f>IF(NOTA[[#This Row],[JUMLAH]]="","",(NOTA[[#This Row],[JUMLAH]]-NOTA[[#This Row],[DISC 1-]])*NOTA[[#This Row],[DISC 2]])</f>
        <v>0</v>
      </c>
      <c r="AA181" s="37">
        <f>IF(NOTA[[#This Row],[JUMLAH]]="","",(NOTA[[#This Row],[JUMLAH]]-NOTA[[#This Row],[DISC 1-]]-NOTA[[#This Row],[DISC 2-]])*NOTA[[#This Row],[DISC 3]])</f>
        <v>0</v>
      </c>
      <c r="AB181" s="37">
        <f>IF(NOTA[[#This Row],[JUMLAH]]="","",NOTA[[#This Row],[DISC 1-]]+NOTA[[#This Row],[DISC 2-]]+NOTA[[#This Row],[DISC 3-]])</f>
        <v>0</v>
      </c>
      <c r="AC181" s="37">
        <f>IF(NOTA[[#This Row],[JUMLAH]]="","",NOTA[[#This Row],[JUMLAH]]-NOTA[[#This Row],[DISC]])</f>
        <v>3816000</v>
      </c>
      <c r="AD181" s="37"/>
      <c r="AE1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1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1" s="37">
        <f>IF(OR(NOTA[[#This Row],[QTY]]="",NOTA[[#This Row],[HARGA SATUAN]]="",),"",NOTA[[#This Row],[QTY]]*NOTA[[#This Row],[HARGA SATUAN]])</f>
        <v>3816000</v>
      </c>
      <c r="AI181" s="26">
        <f ca="1">IF(NOTA[[#This Row],[ID_H]]="","",INDEX(NOTA[TANGGAL],MATCH(,INDIRECT(ADDRESS(ROW(NOTA[TANGGAL]),COLUMN(NOTA[TANGGAL]))&amp;":"&amp;ADDRESS(ROW(),COLUMN(NOTA[TANGGAL]))),-1)))</f>
        <v>45461</v>
      </c>
      <c r="AJ181" s="26">
        <f ca="1">IF(NOTA[[#This Row],[ID_H]]="","",INDEX(NOTA[TGL.NOTA],MATCH(,INDIRECT(ADDRESS(ROW(NOTA[TGL.NOTA]),COLUMN(NOTA[TGL.NOTA]))&amp;":"&amp;ADDRESS(ROW(),COLUMN(NOTA[TGL.NOTA]))),-1)))</f>
        <v>45456</v>
      </c>
      <c r="AK181" s="26" t="str">
        <f ca="1">IF(NOTA[[#This Row],[ID_H]]="","",INDEX(NOTA[NO.NOTA],MATCH(NOTA[[#This Row],[ID_H]],NOTA[ID_H],0)))</f>
        <v>JUF309/24</v>
      </c>
      <c r="AL181" s="28" t="str">
        <f ca="1">IF(NOTA[[#This Row],[NAMA BARANG]]="","",INDEX(NOTA[SUPPLIER],MATCH(,INDIRECT(ADDRESS(ROW(NOTA[ID]),COLUMN(NOTA[ID]))&amp;":"&amp;ADDRESS(ROW(),COLUMN(NOTA[ID]))),-1)))</f>
        <v>DB STATIONERY</v>
      </c>
      <c r="AM181" s="28" t="str">
        <f ca="1">IF(NOTA[[#This Row],[ID_H]]="","",IF(NOTA[[#This Row],[FAKTUR]]="",INDIRECT(ADDRESS(ROW()-1,COLUMN())),NOTA[[#This Row],[FAKTUR]]))</f>
        <v>UNTANA</v>
      </c>
      <c r="AN181" s="25" t="str">
        <f ca="1">IF(NOTA[[#This Row],[ID]]="","",COUNTIF(NOTA[ID_H],NOTA[[#This Row],[ID_H]]))</f>
        <v/>
      </c>
      <c r="AO181" s="25">
        <f ca="1">IF(NOTA[[#This Row],[TGL.NOTA]]="",IF(NOTA[[#This Row],[SUPPLIER_H]]="","",AO180),MONTH(NOTA[[#This Row],[TGL.NOTA]]))</f>
        <v>6</v>
      </c>
      <c r="AP181" s="25" t="str">
        <f>LOWER(SUBSTITUTE(SUBSTITUTE(SUBSTITUTE(SUBSTITUTE(SUBSTITUTE(SUBSTITUTE(SUBSTITUTE(SUBSTITUTE(SUBSTITUTE(NOTA[[#This Row],[NAMA BARANG]]," ",),".",""),"-",""),"(",""),")",""),",",""),"/",""),"""",""),"+",""))</f>
        <v>mekpensiltizog9009a</v>
      </c>
      <c r="AQ1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mekpensiltizog9009a1908000</v>
      </c>
      <c r="AR1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mekpensiltizog9009a1908000</v>
      </c>
      <c r="AS1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1" s="25"/>
      <c r="AU181" s="25">
        <f>IF(NOTA[[#This Row],[CONCAT1]]="","",MATCH(NOTA[[#This Row],[CONCAT1]],[3]!db[NB NOTA_C],0))</f>
        <v>3392</v>
      </c>
      <c r="AV181" s="25" t="str">
        <f>IF(NOTA[[#This Row],[QTY/ CTN]]="","",TRUE)</f>
        <v/>
      </c>
      <c r="AW181" s="25" t="str">
        <f ca="1">IF(NOTA[[#This Row],[ID_H]]="","",IF(NOTA[[#This Row],[Column3]]=TRUE,NOTA[[#This Row],[QTY/ CTN]],INDEX([3]!db[QTY/ CTN],NOTA[[#This Row],[//DB]])))</f>
        <v>144 LSN</v>
      </c>
      <c r="AX1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mekpensiltizog9009a144lsnuntana</v>
      </c>
      <c r="AY181" s="25">
        <f ca="1">IF(NOTA[[#This Row],[ID_H]]="","",MATCH(NOTA[[#This Row],[NB NOTA_C_QTY]],[3]!db[NB NOTA_C_QTY+F],0))</f>
        <v>3392</v>
      </c>
      <c r="AZ181" s="38">
        <f ca="1">IF(NOTA[[#This Row],[NB NOTA_C_QTY]]="","",ROW()-2)</f>
        <v>179</v>
      </c>
    </row>
    <row r="182" spans="1:52" ht="20.100000000000001" customHeight="1">
      <c r="A1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2" s="25">
        <f ca="1">IF(NOTA[[#This Row],[NAMA BARANG]]="","",INDEX(NOTA[ID],MATCH(,INDIRECT(ADDRESS(ROW(NOTA[ID]),COLUMN(NOTA[ID]))&amp;":"&amp;ADDRESS(ROW(),COLUMN(NOTA[ID]))),-1)))</f>
        <v>38</v>
      </c>
      <c r="E182" s="33"/>
      <c r="H182" s="34"/>
      <c r="L182" s="25" t="s">
        <v>398</v>
      </c>
      <c r="M182" s="27">
        <v>1</v>
      </c>
      <c r="N182" s="25">
        <v>72</v>
      </c>
      <c r="O182" s="25" t="s">
        <v>222</v>
      </c>
      <c r="P182" s="28">
        <v>26500</v>
      </c>
      <c r="Q182" s="29"/>
      <c r="R182" s="35"/>
      <c r="S182" s="36"/>
      <c r="V182" s="37"/>
      <c r="W182" s="32"/>
      <c r="X182" s="37">
        <f>IF(NOTA[[#This Row],[HARGA/ CTN]]="",NOTA[[#This Row],[JUMLAH_H]],NOTA[[#This Row],[HARGA/ CTN]]*IF(NOTA[[#This Row],[C]]="",0,NOTA[[#This Row],[C]]))</f>
        <v>1908000</v>
      </c>
      <c r="Y182" s="37">
        <f>IF(NOTA[[#This Row],[JUMLAH]]="","",NOTA[[#This Row],[JUMLAH]]*NOTA[[#This Row],[DISC 1]])</f>
        <v>0</v>
      </c>
      <c r="Z182" s="37">
        <f>IF(NOTA[[#This Row],[JUMLAH]]="","",(NOTA[[#This Row],[JUMLAH]]-NOTA[[#This Row],[DISC 1-]])*NOTA[[#This Row],[DISC 2]])</f>
        <v>0</v>
      </c>
      <c r="AA182" s="37">
        <f>IF(NOTA[[#This Row],[JUMLAH]]="","",(NOTA[[#This Row],[JUMLAH]]-NOTA[[#This Row],[DISC 1-]]-NOTA[[#This Row],[DISC 2-]])*NOTA[[#This Row],[DISC 3]])</f>
        <v>0</v>
      </c>
      <c r="AB182" s="37">
        <f>IF(NOTA[[#This Row],[JUMLAH]]="","",NOTA[[#This Row],[DISC 1-]]+NOTA[[#This Row],[DISC 2-]]+NOTA[[#This Row],[DISC 3-]])</f>
        <v>0</v>
      </c>
      <c r="AC182" s="37">
        <f>IF(NOTA[[#This Row],[JUMLAH]]="","",NOTA[[#This Row],[JUMLAH]]-NOTA[[#This Row],[DISC]])</f>
        <v>1908000</v>
      </c>
      <c r="AD182" s="37"/>
      <c r="AE1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2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2" s="37">
        <f>IF(OR(NOTA[[#This Row],[QTY]]="",NOTA[[#This Row],[HARGA SATUAN]]="",),"",NOTA[[#This Row],[QTY]]*NOTA[[#This Row],[HARGA SATUAN]])</f>
        <v>1908000</v>
      </c>
      <c r="AI182" s="26">
        <f ca="1">IF(NOTA[[#This Row],[ID_H]]="","",INDEX(NOTA[TANGGAL],MATCH(,INDIRECT(ADDRESS(ROW(NOTA[TANGGAL]),COLUMN(NOTA[TANGGAL]))&amp;":"&amp;ADDRESS(ROW(),COLUMN(NOTA[TANGGAL]))),-1)))</f>
        <v>45461</v>
      </c>
      <c r="AJ182" s="26">
        <f ca="1">IF(NOTA[[#This Row],[ID_H]]="","",INDEX(NOTA[TGL.NOTA],MATCH(,INDIRECT(ADDRESS(ROW(NOTA[TGL.NOTA]),COLUMN(NOTA[TGL.NOTA]))&amp;":"&amp;ADDRESS(ROW(),COLUMN(NOTA[TGL.NOTA]))),-1)))</f>
        <v>45456</v>
      </c>
      <c r="AK182" s="26" t="str">
        <f ca="1">IF(NOTA[[#This Row],[ID_H]]="","",INDEX(NOTA[NO.NOTA],MATCH(NOTA[[#This Row],[ID_H]],NOTA[ID_H],0)))</f>
        <v>JUF309/24</v>
      </c>
      <c r="AL182" s="28" t="str">
        <f ca="1">IF(NOTA[[#This Row],[NAMA BARANG]]="","",INDEX(NOTA[SUPPLIER],MATCH(,INDIRECT(ADDRESS(ROW(NOTA[ID]),COLUMN(NOTA[ID]))&amp;":"&amp;ADDRESS(ROW(),COLUMN(NOTA[ID]))),-1)))</f>
        <v>DB STATIONERY</v>
      </c>
      <c r="AM182" s="28" t="str">
        <f ca="1">IF(NOTA[[#This Row],[ID_H]]="","",IF(NOTA[[#This Row],[FAKTUR]]="",INDIRECT(ADDRESS(ROW()-1,COLUMN())),NOTA[[#This Row],[FAKTUR]]))</f>
        <v>UNTANA</v>
      </c>
      <c r="AN182" s="25" t="str">
        <f ca="1">IF(NOTA[[#This Row],[ID]]="","",COUNTIF(NOTA[ID_H],NOTA[[#This Row],[ID_H]]))</f>
        <v/>
      </c>
      <c r="AO182" s="25">
        <f ca="1">IF(NOTA[[#This Row],[TGL.NOTA]]="",IF(NOTA[[#This Row],[SUPPLIER_H]]="","",AO181),MONTH(NOTA[[#This Row],[TGL.NOTA]]))</f>
        <v>6</v>
      </c>
      <c r="AP182" s="25" t="str">
        <f>LOWER(SUBSTITUTE(SUBSTITUTE(SUBSTITUTE(SUBSTITUTE(SUBSTITUTE(SUBSTITUTE(SUBSTITUTE(SUBSTITUTE(SUBSTITUTE(NOTA[[#This Row],[NAMA BARANG]]," ",),".",""),"-",""),"(",""),")",""),",",""),"/",""),"""",""),"+",""))</f>
        <v>mekaniktizi24pcsg09261</v>
      </c>
      <c r="AQ1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mekaniktizi24pcsg092611908000</v>
      </c>
      <c r="AR1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mekaniktizi24pcsg092611908000</v>
      </c>
      <c r="AS1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2" s="25"/>
      <c r="AU182" s="25" t="e">
        <f>IF(NOTA[[#This Row],[CONCAT1]]="","",MATCH(NOTA[[#This Row],[CONCAT1]],[3]!db[NB NOTA_C],0))</f>
        <v>#N/A</v>
      </c>
      <c r="AV182" s="25" t="str">
        <f>IF(NOTA[[#This Row],[QTY/ CTN]]="","",TRUE)</f>
        <v/>
      </c>
      <c r="AW182" s="25" t="e">
        <f ca="1">IF(NOTA[[#This Row],[ID_H]]="","",IF(NOTA[[#This Row],[Column3]]=TRUE,NOTA[[#This Row],[QTY/ CTN]],INDEX([3]!db[QTY/ CTN],NOTA[[#This Row],[//DB]])))</f>
        <v>#N/A</v>
      </c>
      <c r="AX182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182" s="25" t="e">
        <f ca="1">IF(NOTA[[#This Row],[ID_H]]="","",MATCH(NOTA[[#This Row],[NB NOTA_C_QTY]],[3]!db[NB NOTA_C_QTY+F],0))</f>
        <v>#N/A</v>
      </c>
      <c r="AZ182" s="38" t="e">
        <f ca="1">IF(NOTA[[#This Row],[NB NOTA_C_QTY]]="","",ROW()-2)</f>
        <v>#N/A</v>
      </c>
    </row>
    <row r="183" spans="1:52" ht="20.100000000000001" customHeight="1">
      <c r="A1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3" s="25">
        <f ca="1">IF(NOTA[[#This Row],[NAMA BARANG]]="","",INDEX(NOTA[ID],MATCH(,INDIRECT(ADDRESS(ROW(NOTA[ID]),COLUMN(NOTA[ID]))&amp;":"&amp;ADDRESS(ROW(),COLUMN(NOTA[ID]))),-1)))</f>
        <v>38</v>
      </c>
      <c r="E183" s="33"/>
      <c r="H183" s="34"/>
      <c r="L183" s="25" t="s">
        <v>399</v>
      </c>
      <c r="M183" s="27">
        <v>1</v>
      </c>
      <c r="N183" s="25">
        <v>72</v>
      </c>
      <c r="O183" s="25" t="s">
        <v>222</v>
      </c>
      <c r="P183" s="28">
        <v>26500</v>
      </c>
      <c r="Q183" s="29"/>
      <c r="R183" s="35"/>
      <c r="S183" s="36"/>
      <c r="V183" s="37"/>
      <c r="W183" s="32"/>
      <c r="X183" s="37">
        <f>IF(NOTA[[#This Row],[HARGA/ CTN]]="",NOTA[[#This Row],[JUMLAH_H]],NOTA[[#This Row],[HARGA/ CTN]]*IF(NOTA[[#This Row],[C]]="",0,NOTA[[#This Row],[C]]))</f>
        <v>1908000</v>
      </c>
      <c r="Y183" s="37">
        <f>IF(NOTA[[#This Row],[JUMLAH]]="","",NOTA[[#This Row],[JUMLAH]]*NOTA[[#This Row],[DISC 1]])</f>
        <v>0</v>
      </c>
      <c r="Z183" s="37">
        <f>IF(NOTA[[#This Row],[JUMLAH]]="","",(NOTA[[#This Row],[JUMLAH]]-NOTA[[#This Row],[DISC 1-]])*NOTA[[#This Row],[DISC 2]])</f>
        <v>0</v>
      </c>
      <c r="AA183" s="37">
        <f>IF(NOTA[[#This Row],[JUMLAH]]="","",(NOTA[[#This Row],[JUMLAH]]-NOTA[[#This Row],[DISC 1-]]-NOTA[[#This Row],[DISC 2-]])*NOTA[[#This Row],[DISC 3]])</f>
        <v>0</v>
      </c>
      <c r="AB183" s="37">
        <f>IF(NOTA[[#This Row],[JUMLAH]]="","",NOTA[[#This Row],[DISC 1-]]+NOTA[[#This Row],[DISC 2-]]+NOTA[[#This Row],[DISC 3-]])</f>
        <v>0</v>
      </c>
      <c r="AC183" s="37">
        <f>IF(NOTA[[#This Row],[JUMLAH]]="","",NOTA[[#This Row],[JUMLAH]]-NOTA[[#This Row],[DISC]])</f>
        <v>1908000</v>
      </c>
      <c r="AD183" s="37"/>
      <c r="AE1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3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3" s="37">
        <f>IF(OR(NOTA[[#This Row],[QTY]]="",NOTA[[#This Row],[HARGA SATUAN]]="",),"",NOTA[[#This Row],[QTY]]*NOTA[[#This Row],[HARGA SATUAN]])</f>
        <v>1908000</v>
      </c>
      <c r="AI183" s="26">
        <f ca="1">IF(NOTA[[#This Row],[ID_H]]="","",INDEX(NOTA[TANGGAL],MATCH(,INDIRECT(ADDRESS(ROW(NOTA[TANGGAL]),COLUMN(NOTA[TANGGAL]))&amp;":"&amp;ADDRESS(ROW(),COLUMN(NOTA[TANGGAL]))),-1)))</f>
        <v>45461</v>
      </c>
      <c r="AJ183" s="26">
        <f ca="1">IF(NOTA[[#This Row],[ID_H]]="","",INDEX(NOTA[TGL.NOTA],MATCH(,INDIRECT(ADDRESS(ROW(NOTA[TGL.NOTA]),COLUMN(NOTA[TGL.NOTA]))&amp;":"&amp;ADDRESS(ROW(),COLUMN(NOTA[TGL.NOTA]))),-1)))</f>
        <v>45456</v>
      </c>
      <c r="AK183" s="26" t="str">
        <f ca="1">IF(NOTA[[#This Row],[ID_H]]="","",INDEX(NOTA[NO.NOTA],MATCH(NOTA[[#This Row],[ID_H]],NOTA[ID_H],0)))</f>
        <v>JUF309/24</v>
      </c>
      <c r="AL183" s="28" t="str">
        <f ca="1">IF(NOTA[[#This Row],[NAMA BARANG]]="","",INDEX(NOTA[SUPPLIER],MATCH(,INDIRECT(ADDRESS(ROW(NOTA[ID]),COLUMN(NOTA[ID]))&amp;":"&amp;ADDRESS(ROW(),COLUMN(NOTA[ID]))),-1)))</f>
        <v>DB STATIONERY</v>
      </c>
      <c r="AM183" s="28" t="str">
        <f ca="1">IF(NOTA[[#This Row],[ID_H]]="","",IF(NOTA[[#This Row],[FAKTUR]]="",INDIRECT(ADDRESS(ROW()-1,COLUMN())),NOTA[[#This Row],[FAKTUR]]))</f>
        <v>UNTANA</v>
      </c>
      <c r="AN183" s="25" t="str">
        <f ca="1">IF(NOTA[[#This Row],[ID]]="","",COUNTIF(NOTA[ID_H],NOTA[[#This Row],[ID_H]]))</f>
        <v/>
      </c>
      <c r="AO183" s="25">
        <f ca="1">IF(NOTA[[#This Row],[TGL.NOTA]]="",IF(NOTA[[#This Row],[SUPPLIER_H]]="","",AO182),MONTH(NOTA[[#This Row],[TGL.NOTA]]))</f>
        <v>6</v>
      </c>
      <c r="AP183" s="25" t="str">
        <f>LOWER(SUBSTITUTE(SUBSTITUTE(SUBSTITUTE(SUBSTITUTE(SUBSTITUTE(SUBSTITUTE(SUBSTITUTE(SUBSTITUTE(SUBSTITUTE(NOTA[[#This Row],[NAMA BARANG]]," ",),".",""),"-",""),"(",""),")",""),",",""),"/",""),"""",""),"+",""))</f>
        <v>pmektizi24pcsg09302</v>
      </c>
      <c r="AQ1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pmektizi24pcsg093021908000</v>
      </c>
      <c r="AR1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pmektizi24pcsg093021908000</v>
      </c>
      <c r="AS1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3" s="25"/>
      <c r="AU183" s="25">
        <f>IF(NOTA[[#This Row],[CONCAT1]]="","",MATCH(NOTA[[#This Row],[CONCAT1]],[3]!db[NB NOTA_C],0))</f>
        <v>2188</v>
      </c>
      <c r="AV183" s="25" t="str">
        <f>IF(NOTA[[#This Row],[QTY/ CTN]]="","",TRUE)</f>
        <v/>
      </c>
      <c r="AW183" s="25" t="str">
        <f ca="1">IF(NOTA[[#This Row],[ID_H]]="","",IF(NOTA[[#This Row],[Column3]]=TRUE,NOTA[[#This Row],[QTY/ CTN]],INDEX([3]!db[QTY/ CTN],NOTA[[#This Row],[//DB]])))</f>
        <v>72 PAK</v>
      </c>
      <c r="AX1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pmektizi24pcsg0930272pakuntana</v>
      </c>
      <c r="AY183" s="25">
        <f ca="1">IF(NOTA[[#This Row],[ID_H]]="","",MATCH(NOTA[[#This Row],[NB NOTA_C_QTY]],[3]!db[NB NOTA_C_QTY+F],0))</f>
        <v>2188</v>
      </c>
      <c r="AZ183" s="38">
        <f ca="1">IF(NOTA[[#This Row],[NB NOTA_C_QTY]]="","",ROW()-2)</f>
        <v>181</v>
      </c>
    </row>
    <row r="184" spans="1:52" ht="20.100000000000001" customHeight="1">
      <c r="A1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4" s="25">
        <f ca="1">IF(NOTA[[#This Row],[NAMA BARANG]]="","",INDEX(NOTA[ID],MATCH(,INDIRECT(ADDRESS(ROW(NOTA[ID]),COLUMN(NOTA[ID]))&amp;":"&amp;ADDRESS(ROW(),COLUMN(NOTA[ID]))),-1)))</f>
        <v>38</v>
      </c>
      <c r="E184" s="33"/>
      <c r="H184" s="34"/>
      <c r="L184" s="25" t="s">
        <v>400</v>
      </c>
      <c r="M184" s="27">
        <v>1</v>
      </c>
      <c r="N184" s="25">
        <v>72</v>
      </c>
      <c r="O184" s="25" t="s">
        <v>222</v>
      </c>
      <c r="P184" s="28">
        <v>26500</v>
      </c>
      <c r="Q184" s="29"/>
      <c r="R184" s="35"/>
      <c r="S184" s="36"/>
      <c r="V184" s="37"/>
      <c r="W184" s="32"/>
      <c r="X184" s="37">
        <f>IF(NOTA[[#This Row],[HARGA/ CTN]]="",NOTA[[#This Row],[JUMLAH_H]],NOTA[[#This Row],[HARGA/ CTN]]*IF(NOTA[[#This Row],[C]]="",0,NOTA[[#This Row],[C]]))</f>
        <v>1908000</v>
      </c>
      <c r="Y184" s="37">
        <f>IF(NOTA[[#This Row],[JUMLAH]]="","",NOTA[[#This Row],[JUMLAH]]*NOTA[[#This Row],[DISC 1]])</f>
        <v>0</v>
      </c>
      <c r="Z184" s="37">
        <f>IF(NOTA[[#This Row],[JUMLAH]]="","",(NOTA[[#This Row],[JUMLAH]]-NOTA[[#This Row],[DISC 1-]])*NOTA[[#This Row],[DISC 2]])</f>
        <v>0</v>
      </c>
      <c r="AA184" s="37">
        <f>IF(NOTA[[#This Row],[JUMLAH]]="","",(NOTA[[#This Row],[JUMLAH]]-NOTA[[#This Row],[DISC 1-]]-NOTA[[#This Row],[DISC 2-]])*NOTA[[#This Row],[DISC 3]])</f>
        <v>0</v>
      </c>
      <c r="AB184" s="37">
        <f>IF(NOTA[[#This Row],[JUMLAH]]="","",NOTA[[#This Row],[DISC 1-]]+NOTA[[#This Row],[DISC 2-]]+NOTA[[#This Row],[DISC 3-]])</f>
        <v>0</v>
      </c>
      <c r="AC184" s="37">
        <f>IF(NOTA[[#This Row],[JUMLAH]]="","",NOTA[[#This Row],[JUMLAH]]-NOTA[[#This Row],[DISC]])</f>
        <v>1908000</v>
      </c>
      <c r="AD184" s="37"/>
      <c r="AE1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4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4" s="37">
        <f>IF(OR(NOTA[[#This Row],[QTY]]="",NOTA[[#This Row],[HARGA SATUAN]]="",),"",NOTA[[#This Row],[QTY]]*NOTA[[#This Row],[HARGA SATUAN]])</f>
        <v>1908000</v>
      </c>
      <c r="AI184" s="26">
        <f ca="1">IF(NOTA[[#This Row],[ID_H]]="","",INDEX(NOTA[TANGGAL],MATCH(,INDIRECT(ADDRESS(ROW(NOTA[TANGGAL]),COLUMN(NOTA[TANGGAL]))&amp;":"&amp;ADDRESS(ROW(),COLUMN(NOTA[TANGGAL]))),-1)))</f>
        <v>45461</v>
      </c>
      <c r="AJ184" s="26">
        <f ca="1">IF(NOTA[[#This Row],[ID_H]]="","",INDEX(NOTA[TGL.NOTA],MATCH(,INDIRECT(ADDRESS(ROW(NOTA[TGL.NOTA]),COLUMN(NOTA[TGL.NOTA]))&amp;":"&amp;ADDRESS(ROW(),COLUMN(NOTA[TGL.NOTA]))),-1)))</f>
        <v>45456</v>
      </c>
      <c r="AK184" s="26" t="str">
        <f ca="1">IF(NOTA[[#This Row],[ID_H]]="","",INDEX(NOTA[NO.NOTA],MATCH(NOTA[[#This Row],[ID_H]],NOTA[ID_H],0)))</f>
        <v>JUF309/24</v>
      </c>
      <c r="AL184" s="28" t="str">
        <f ca="1">IF(NOTA[[#This Row],[NAMA BARANG]]="","",INDEX(NOTA[SUPPLIER],MATCH(,INDIRECT(ADDRESS(ROW(NOTA[ID]),COLUMN(NOTA[ID]))&amp;":"&amp;ADDRESS(ROW(),COLUMN(NOTA[ID]))),-1)))</f>
        <v>DB STATIONERY</v>
      </c>
      <c r="AM184" s="28" t="str">
        <f ca="1">IF(NOTA[[#This Row],[ID_H]]="","",IF(NOTA[[#This Row],[FAKTUR]]="",INDIRECT(ADDRESS(ROW()-1,COLUMN())),NOTA[[#This Row],[FAKTUR]]))</f>
        <v>UNTANA</v>
      </c>
      <c r="AN184" s="25" t="str">
        <f ca="1">IF(NOTA[[#This Row],[ID]]="","",COUNTIF(NOTA[ID_H],NOTA[[#This Row],[ID_H]]))</f>
        <v/>
      </c>
      <c r="AO184" s="25">
        <f ca="1">IF(NOTA[[#This Row],[TGL.NOTA]]="",IF(NOTA[[#This Row],[SUPPLIER_H]]="","",AO183),MONTH(NOTA[[#This Row],[TGL.NOTA]]))</f>
        <v>6</v>
      </c>
      <c r="AP184" s="25" t="str">
        <f>LOWER(SUBSTITUTE(SUBSTITUTE(SUBSTITUTE(SUBSTITUTE(SUBSTITUTE(SUBSTITUTE(SUBSTITUTE(SUBSTITUTE(SUBSTITUTE(NOTA[[#This Row],[NAMA BARANG]]," ",),".",""),"-",""),"(",""),")",""),",",""),"/",""),"""",""),"+",""))</f>
        <v>mekpensiltizi24pcsg09305</v>
      </c>
      <c r="AQ1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mekpensiltizi24pcsg093051908000</v>
      </c>
      <c r="AR1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mekpensiltizi24pcsg093051908000</v>
      </c>
      <c r="AS1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4" s="25"/>
      <c r="AU184" s="25">
        <f>IF(NOTA[[#This Row],[CONCAT1]]="","",MATCH(NOTA[[#This Row],[CONCAT1]],[3]!db[NB NOTA_C],0))</f>
        <v>3396</v>
      </c>
      <c r="AV184" s="25" t="str">
        <f>IF(NOTA[[#This Row],[QTY/ CTN]]="","",TRUE)</f>
        <v/>
      </c>
      <c r="AW184" s="25" t="str">
        <f ca="1">IF(NOTA[[#This Row],[ID_H]]="","",IF(NOTA[[#This Row],[Column3]]=TRUE,NOTA[[#This Row],[QTY/ CTN]],INDEX([3]!db[QTY/ CTN],NOTA[[#This Row],[//DB]])))</f>
        <v>72 PCS</v>
      </c>
      <c r="AX1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mekpensiltizi24pcsg0930572pcsuntana</v>
      </c>
      <c r="AY184" s="25">
        <f ca="1">IF(NOTA[[#This Row],[ID_H]]="","",MATCH(NOTA[[#This Row],[NB NOTA_C_QTY]],[3]!db[NB NOTA_C_QTY+F],0))</f>
        <v>3396</v>
      </c>
      <c r="AZ184" s="38">
        <f ca="1">IF(NOTA[[#This Row],[NB NOTA_C_QTY]]="","",ROW()-2)</f>
        <v>182</v>
      </c>
    </row>
    <row r="185" spans="1:52" ht="20.100000000000001" customHeight="1">
      <c r="A1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5" s="25">
        <f ca="1">IF(NOTA[[#This Row],[NAMA BARANG]]="","",INDEX(NOTA[ID],MATCH(,INDIRECT(ADDRESS(ROW(NOTA[ID]),COLUMN(NOTA[ID]))&amp;":"&amp;ADDRESS(ROW(),COLUMN(NOTA[ID]))),-1)))</f>
        <v>38</v>
      </c>
      <c r="E185" s="33"/>
      <c r="H185" s="34"/>
      <c r="L185" s="25" t="s">
        <v>401</v>
      </c>
      <c r="M185" s="27">
        <v>1</v>
      </c>
      <c r="N185" s="25">
        <v>72</v>
      </c>
      <c r="O185" s="25" t="s">
        <v>222</v>
      </c>
      <c r="P185" s="28">
        <v>26500</v>
      </c>
      <c r="Q185" s="29"/>
      <c r="R185" s="35"/>
      <c r="S185" s="36"/>
      <c r="V185" s="37"/>
      <c r="W185" s="32"/>
      <c r="X185" s="37">
        <f>IF(NOTA[[#This Row],[HARGA/ CTN]]="",NOTA[[#This Row],[JUMLAH_H]],NOTA[[#This Row],[HARGA/ CTN]]*IF(NOTA[[#This Row],[C]]="",0,NOTA[[#This Row],[C]]))</f>
        <v>1908000</v>
      </c>
      <c r="Y185" s="37">
        <f>IF(NOTA[[#This Row],[JUMLAH]]="","",NOTA[[#This Row],[JUMLAH]]*NOTA[[#This Row],[DISC 1]])</f>
        <v>0</v>
      </c>
      <c r="Z185" s="37">
        <f>IF(NOTA[[#This Row],[JUMLAH]]="","",(NOTA[[#This Row],[JUMLAH]]-NOTA[[#This Row],[DISC 1-]])*NOTA[[#This Row],[DISC 2]])</f>
        <v>0</v>
      </c>
      <c r="AA185" s="37">
        <f>IF(NOTA[[#This Row],[JUMLAH]]="","",(NOTA[[#This Row],[JUMLAH]]-NOTA[[#This Row],[DISC 1-]]-NOTA[[#This Row],[DISC 2-]])*NOTA[[#This Row],[DISC 3]])</f>
        <v>0</v>
      </c>
      <c r="AB185" s="37">
        <f>IF(NOTA[[#This Row],[JUMLAH]]="","",NOTA[[#This Row],[DISC 1-]]+NOTA[[#This Row],[DISC 2-]]+NOTA[[#This Row],[DISC 3-]])</f>
        <v>0</v>
      </c>
      <c r="AC185" s="37">
        <f>IF(NOTA[[#This Row],[JUMLAH]]="","",NOTA[[#This Row],[JUMLAH]]-NOTA[[#This Row],[DISC]])</f>
        <v>1908000</v>
      </c>
      <c r="AD185" s="37"/>
      <c r="AE1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5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5" s="37">
        <f>IF(OR(NOTA[[#This Row],[QTY]]="",NOTA[[#This Row],[HARGA SATUAN]]="",),"",NOTA[[#This Row],[QTY]]*NOTA[[#This Row],[HARGA SATUAN]])</f>
        <v>1908000</v>
      </c>
      <c r="AI185" s="26">
        <f ca="1">IF(NOTA[[#This Row],[ID_H]]="","",INDEX(NOTA[TANGGAL],MATCH(,INDIRECT(ADDRESS(ROW(NOTA[TANGGAL]),COLUMN(NOTA[TANGGAL]))&amp;":"&amp;ADDRESS(ROW(),COLUMN(NOTA[TANGGAL]))),-1)))</f>
        <v>45461</v>
      </c>
      <c r="AJ185" s="26">
        <f ca="1">IF(NOTA[[#This Row],[ID_H]]="","",INDEX(NOTA[TGL.NOTA],MATCH(,INDIRECT(ADDRESS(ROW(NOTA[TGL.NOTA]),COLUMN(NOTA[TGL.NOTA]))&amp;":"&amp;ADDRESS(ROW(),COLUMN(NOTA[TGL.NOTA]))),-1)))</f>
        <v>45456</v>
      </c>
      <c r="AK185" s="26" t="str">
        <f ca="1">IF(NOTA[[#This Row],[ID_H]]="","",INDEX(NOTA[NO.NOTA],MATCH(NOTA[[#This Row],[ID_H]],NOTA[ID_H],0)))</f>
        <v>JUF309/24</v>
      </c>
      <c r="AL185" s="28" t="str">
        <f ca="1">IF(NOTA[[#This Row],[NAMA BARANG]]="","",INDEX(NOTA[SUPPLIER],MATCH(,INDIRECT(ADDRESS(ROW(NOTA[ID]),COLUMN(NOTA[ID]))&amp;":"&amp;ADDRESS(ROW(),COLUMN(NOTA[ID]))),-1)))</f>
        <v>DB STATIONERY</v>
      </c>
      <c r="AM185" s="28" t="str">
        <f ca="1">IF(NOTA[[#This Row],[ID_H]]="","",IF(NOTA[[#This Row],[FAKTUR]]="",INDIRECT(ADDRESS(ROW()-1,COLUMN())),NOTA[[#This Row],[FAKTUR]]))</f>
        <v>UNTANA</v>
      </c>
      <c r="AN185" s="25" t="str">
        <f ca="1">IF(NOTA[[#This Row],[ID]]="","",COUNTIF(NOTA[ID_H],NOTA[[#This Row],[ID_H]]))</f>
        <v/>
      </c>
      <c r="AO185" s="25">
        <f ca="1">IF(NOTA[[#This Row],[TGL.NOTA]]="",IF(NOTA[[#This Row],[SUPPLIER_H]]="","",AO184),MONTH(NOTA[[#This Row],[TGL.NOTA]]))</f>
        <v>6</v>
      </c>
      <c r="AP185" s="25" t="str">
        <f>LOWER(SUBSTITUTE(SUBSTITUTE(SUBSTITUTE(SUBSTITUTE(SUBSTITUTE(SUBSTITUTE(SUBSTITUTE(SUBSTITUTE(SUBSTITUTE(NOTA[[#This Row],[NAMA BARANG]]," ",),".",""),"-",""),"(",""),")",""),",",""),"/",""),"""",""),"+",""))</f>
        <v>mekpensil24pcsg09308</v>
      </c>
      <c r="AQ1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mekpensil24pcsg093081908000</v>
      </c>
      <c r="AR1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mekpensil24pcsg093081908000</v>
      </c>
      <c r="AS1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5" s="25"/>
      <c r="AU185" s="25">
        <f>IF(NOTA[[#This Row],[CONCAT1]]="","",MATCH(NOTA[[#This Row],[CONCAT1]],[3]!db[NB NOTA_C],0))</f>
        <v>2165</v>
      </c>
      <c r="AV185" s="25" t="str">
        <f>IF(NOTA[[#This Row],[QTY/ CTN]]="","",TRUE)</f>
        <v/>
      </c>
      <c r="AW185" s="25" t="str">
        <f ca="1">IF(NOTA[[#This Row],[ID_H]]="","",IF(NOTA[[#This Row],[Column3]]=TRUE,NOTA[[#This Row],[QTY/ CTN]],INDEX([3]!db[QTY/ CTN],NOTA[[#This Row],[//DB]])))</f>
        <v>72 PCS</v>
      </c>
      <c r="AX1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mekpensil24pcsg0930872pcsuntana</v>
      </c>
      <c r="AY185" s="25">
        <f ca="1">IF(NOTA[[#This Row],[ID_H]]="","",MATCH(NOTA[[#This Row],[NB NOTA_C_QTY]],[3]!db[NB NOTA_C_QTY+F],0))</f>
        <v>2165</v>
      </c>
      <c r="AZ185" s="38">
        <f ca="1">IF(NOTA[[#This Row],[NB NOTA_C_QTY]]="","",ROW()-2)</f>
        <v>183</v>
      </c>
    </row>
    <row r="186" spans="1:52" ht="20.100000000000001" customHeight="1">
      <c r="A1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6" s="25">
        <f ca="1">IF(NOTA[[#This Row],[NAMA BARANG]]="","",INDEX(NOTA[ID],MATCH(,INDIRECT(ADDRESS(ROW(NOTA[ID]),COLUMN(NOTA[ID]))&amp;":"&amp;ADDRESS(ROW(),COLUMN(NOTA[ID]))),-1)))</f>
        <v>38</v>
      </c>
      <c r="E186" s="33"/>
      <c r="H186" s="34"/>
      <c r="L186" s="25" t="s">
        <v>402</v>
      </c>
      <c r="M186" s="27">
        <v>1</v>
      </c>
      <c r="N186" s="25">
        <v>72</v>
      </c>
      <c r="O186" s="25" t="s">
        <v>222</v>
      </c>
      <c r="P186" s="28">
        <v>26500</v>
      </c>
      <c r="Q186" s="29"/>
      <c r="R186" s="35"/>
      <c r="S186" s="36"/>
      <c r="V186" s="37"/>
      <c r="W186" s="32"/>
      <c r="X186" s="37">
        <f>IF(NOTA[[#This Row],[HARGA/ CTN]]="",NOTA[[#This Row],[JUMLAH_H]],NOTA[[#This Row],[HARGA/ CTN]]*IF(NOTA[[#This Row],[C]]="",0,NOTA[[#This Row],[C]]))</f>
        <v>1908000</v>
      </c>
      <c r="Y186" s="37">
        <f>IF(NOTA[[#This Row],[JUMLAH]]="","",NOTA[[#This Row],[JUMLAH]]*NOTA[[#This Row],[DISC 1]])</f>
        <v>0</v>
      </c>
      <c r="Z186" s="37">
        <f>IF(NOTA[[#This Row],[JUMLAH]]="","",(NOTA[[#This Row],[JUMLAH]]-NOTA[[#This Row],[DISC 1-]])*NOTA[[#This Row],[DISC 2]])</f>
        <v>0</v>
      </c>
      <c r="AA186" s="37">
        <f>IF(NOTA[[#This Row],[JUMLAH]]="","",(NOTA[[#This Row],[JUMLAH]]-NOTA[[#This Row],[DISC 1-]]-NOTA[[#This Row],[DISC 2-]])*NOTA[[#This Row],[DISC 3]])</f>
        <v>0</v>
      </c>
      <c r="AB186" s="37">
        <f>IF(NOTA[[#This Row],[JUMLAH]]="","",NOTA[[#This Row],[DISC 1-]]+NOTA[[#This Row],[DISC 2-]]+NOTA[[#This Row],[DISC 3-]])</f>
        <v>0</v>
      </c>
      <c r="AC186" s="37">
        <f>IF(NOTA[[#This Row],[JUMLAH]]="","",NOTA[[#This Row],[JUMLAH]]-NOTA[[#This Row],[DISC]])</f>
        <v>1908000</v>
      </c>
      <c r="AD186" s="37"/>
      <c r="AE1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6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6" s="37">
        <f>IF(OR(NOTA[[#This Row],[QTY]]="",NOTA[[#This Row],[HARGA SATUAN]]="",),"",NOTA[[#This Row],[QTY]]*NOTA[[#This Row],[HARGA SATUAN]])</f>
        <v>1908000</v>
      </c>
      <c r="AI186" s="26">
        <f ca="1">IF(NOTA[[#This Row],[ID_H]]="","",INDEX(NOTA[TANGGAL],MATCH(,INDIRECT(ADDRESS(ROW(NOTA[TANGGAL]),COLUMN(NOTA[TANGGAL]))&amp;":"&amp;ADDRESS(ROW(),COLUMN(NOTA[TANGGAL]))),-1)))</f>
        <v>45461</v>
      </c>
      <c r="AJ186" s="26">
        <f ca="1">IF(NOTA[[#This Row],[ID_H]]="","",INDEX(NOTA[TGL.NOTA],MATCH(,INDIRECT(ADDRESS(ROW(NOTA[TGL.NOTA]),COLUMN(NOTA[TGL.NOTA]))&amp;":"&amp;ADDRESS(ROW(),COLUMN(NOTA[TGL.NOTA]))),-1)))</f>
        <v>45456</v>
      </c>
      <c r="AK186" s="26" t="str">
        <f ca="1">IF(NOTA[[#This Row],[ID_H]]="","",INDEX(NOTA[NO.NOTA],MATCH(NOTA[[#This Row],[ID_H]],NOTA[ID_H],0)))</f>
        <v>JUF309/24</v>
      </c>
      <c r="AL186" s="28" t="str">
        <f ca="1">IF(NOTA[[#This Row],[NAMA BARANG]]="","",INDEX(NOTA[SUPPLIER],MATCH(,INDIRECT(ADDRESS(ROW(NOTA[ID]),COLUMN(NOTA[ID]))&amp;":"&amp;ADDRESS(ROW(),COLUMN(NOTA[ID]))),-1)))</f>
        <v>DB STATIONERY</v>
      </c>
      <c r="AM186" s="28" t="str">
        <f ca="1">IF(NOTA[[#This Row],[ID_H]]="","",IF(NOTA[[#This Row],[FAKTUR]]="",INDIRECT(ADDRESS(ROW()-1,COLUMN())),NOTA[[#This Row],[FAKTUR]]))</f>
        <v>UNTANA</v>
      </c>
      <c r="AN186" s="25" t="str">
        <f ca="1">IF(NOTA[[#This Row],[ID]]="","",COUNTIF(NOTA[ID_H],NOTA[[#This Row],[ID_H]]))</f>
        <v/>
      </c>
      <c r="AO186" s="25">
        <f ca="1">IF(NOTA[[#This Row],[TGL.NOTA]]="",IF(NOTA[[#This Row],[SUPPLIER_H]]="","",AO185),MONTH(NOTA[[#This Row],[TGL.NOTA]]))</f>
        <v>6</v>
      </c>
      <c r="AP186" s="25" t="str">
        <f>LOWER(SUBSTITUTE(SUBSTITUTE(SUBSTITUTE(SUBSTITUTE(SUBSTITUTE(SUBSTITUTE(SUBSTITUTE(SUBSTITUTE(SUBSTITUTE(NOTA[[#This Row],[NAMA BARANG]]," ",),".",""),"-",""),"(",""),")",""),",",""),"/",""),"""",""),"+",""))</f>
        <v>mekpensiltizi24pcsg09310</v>
      </c>
      <c r="AQ1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mekpensiltizi24pcsg093101908000</v>
      </c>
      <c r="AR1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mekpensiltizi24pcsg093101908000</v>
      </c>
      <c r="AS1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6" s="25"/>
      <c r="AU186" s="25">
        <f>IF(NOTA[[#This Row],[CONCAT1]]="","",MATCH(NOTA[[#This Row],[CONCAT1]],[3]!db[NB NOTA_C],0))</f>
        <v>3397</v>
      </c>
      <c r="AV186" s="25" t="str">
        <f>IF(NOTA[[#This Row],[QTY/ CTN]]="","",TRUE)</f>
        <v/>
      </c>
      <c r="AW186" s="25" t="str">
        <f ca="1">IF(NOTA[[#This Row],[ID_H]]="","",IF(NOTA[[#This Row],[Column3]]=TRUE,NOTA[[#This Row],[QTY/ CTN]],INDEX([3]!db[QTY/ CTN],NOTA[[#This Row],[//DB]])))</f>
        <v>72 PCS</v>
      </c>
      <c r="AX1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mekpensiltizi24pcsg0931072pcsuntana</v>
      </c>
      <c r="AY186" s="25">
        <f ca="1">IF(NOTA[[#This Row],[ID_H]]="","",MATCH(NOTA[[#This Row],[NB NOTA_C_QTY]],[3]!db[NB NOTA_C_QTY+F],0))</f>
        <v>3397</v>
      </c>
      <c r="AZ186" s="38">
        <f ca="1">IF(NOTA[[#This Row],[NB NOTA_C_QTY]]="","",ROW()-2)</f>
        <v>184</v>
      </c>
    </row>
    <row r="187" spans="1:52" ht="20.100000000000001" customHeight="1">
      <c r="A1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7" s="25">
        <f ca="1">IF(NOTA[[#This Row],[NAMA BARANG]]="","",INDEX(NOTA[ID],MATCH(,INDIRECT(ADDRESS(ROW(NOTA[ID]),COLUMN(NOTA[ID]))&amp;":"&amp;ADDRESS(ROW(),COLUMN(NOTA[ID]))),-1)))</f>
        <v>38</v>
      </c>
      <c r="E187" s="33"/>
      <c r="H187" s="34"/>
      <c r="L187" s="25" t="s">
        <v>403</v>
      </c>
      <c r="M187" s="27">
        <v>1</v>
      </c>
      <c r="N187" s="25">
        <v>72</v>
      </c>
      <c r="O187" s="25" t="s">
        <v>222</v>
      </c>
      <c r="P187" s="28">
        <v>26500</v>
      </c>
      <c r="Q187" s="29"/>
      <c r="R187" s="35"/>
      <c r="S187" s="36"/>
      <c r="V187" s="37"/>
      <c r="W187" s="32"/>
      <c r="X187" s="37">
        <f>IF(NOTA[[#This Row],[HARGA/ CTN]]="",NOTA[[#This Row],[JUMLAH_H]],NOTA[[#This Row],[HARGA/ CTN]]*IF(NOTA[[#This Row],[C]]="",0,NOTA[[#This Row],[C]]))</f>
        <v>1908000</v>
      </c>
      <c r="Y187" s="37">
        <f>IF(NOTA[[#This Row],[JUMLAH]]="","",NOTA[[#This Row],[JUMLAH]]*NOTA[[#This Row],[DISC 1]])</f>
        <v>0</v>
      </c>
      <c r="Z187" s="37">
        <f>IF(NOTA[[#This Row],[JUMLAH]]="","",(NOTA[[#This Row],[JUMLAH]]-NOTA[[#This Row],[DISC 1-]])*NOTA[[#This Row],[DISC 2]])</f>
        <v>0</v>
      </c>
      <c r="AA187" s="37">
        <f>IF(NOTA[[#This Row],[JUMLAH]]="","",(NOTA[[#This Row],[JUMLAH]]-NOTA[[#This Row],[DISC 1-]]-NOTA[[#This Row],[DISC 2-]])*NOTA[[#This Row],[DISC 3]])</f>
        <v>0</v>
      </c>
      <c r="AB187" s="37">
        <f>IF(NOTA[[#This Row],[JUMLAH]]="","",NOTA[[#This Row],[DISC 1-]]+NOTA[[#This Row],[DISC 2-]]+NOTA[[#This Row],[DISC 3-]])</f>
        <v>0</v>
      </c>
      <c r="AC187" s="37">
        <f>IF(NOTA[[#This Row],[JUMLAH]]="","",NOTA[[#This Row],[JUMLAH]]-NOTA[[#This Row],[DISC]])</f>
        <v>1908000</v>
      </c>
      <c r="AD187" s="37"/>
      <c r="AE1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7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7" s="37">
        <f>IF(OR(NOTA[[#This Row],[QTY]]="",NOTA[[#This Row],[HARGA SATUAN]]="",),"",NOTA[[#This Row],[QTY]]*NOTA[[#This Row],[HARGA SATUAN]])</f>
        <v>1908000</v>
      </c>
      <c r="AI187" s="26">
        <f ca="1">IF(NOTA[[#This Row],[ID_H]]="","",INDEX(NOTA[TANGGAL],MATCH(,INDIRECT(ADDRESS(ROW(NOTA[TANGGAL]),COLUMN(NOTA[TANGGAL]))&amp;":"&amp;ADDRESS(ROW(),COLUMN(NOTA[TANGGAL]))),-1)))</f>
        <v>45461</v>
      </c>
      <c r="AJ187" s="26">
        <f ca="1">IF(NOTA[[#This Row],[ID_H]]="","",INDEX(NOTA[TGL.NOTA],MATCH(,INDIRECT(ADDRESS(ROW(NOTA[TGL.NOTA]),COLUMN(NOTA[TGL.NOTA]))&amp;":"&amp;ADDRESS(ROW(),COLUMN(NOTA[TGL.NOTA]))),-1)))</f>
        <v>45456</v>
      </c>
      <c r="AK187" s="26" t="str">
        <f ca="1">IF(NOTA[[#This Row],[ID_H]]="","",INDEX(NOTA[NO.NOTA],MATCH(NOTA[[#This Row],[ID_H]],NOTA[ID_H],0)))</f>
        <v>JUF309/24</v>
      </c>
      <c r="AL187" s="28" t="str">
        <f ca="1">IF(NOTA[[#This Row],[NAMA BARANG]]="","",INDEX(NOTA[SUPPLIER],MATCH(,INDIRECT(ADDRESS(ROW(NOTA[ID]),COLUMN(NOTA[ID]))&amp;":"&amp;ADDRESS(ROW(),COLUMN(NOTA[ID]))),-1)))</f>
        <v>DB STATIONERY</v>
      </c>
      <c r="AM187" s="28" t="str">
        <f ca="1">IF(NOTA[[#This Row],[ID_H]]="","",IF(NOTA[[#This Row],[FAKTUR]]="",INDIRECT(ADDRESS(ROW()-1,COLUMN())),NOTA[[#This Row],[FAKTUR]]))</f>
        <v>UNTANA</v>
      </c>
      <c r="AN187" s="25" t="str">
        <f ca="1">IF(NOTA[[#This Row],[ID]]="","",COUNTIF(NOTA[ID_H],NOTA[[#This Row],[ID_H]]))</f>
        <v/>
      </c>
      <c r="AO187" s="25">
        <f ca="1">IF(NOTA[[#This Row],[TGL.NOTA]]="",IF(NOTA[[#This Row],[SUPPLIER_H]]="","",AO186),MONTH(NOTA[[#This Row],[TGL.NOTA]]))</f>
        <v>6</v>
      </c>
      <c r="AP187" s="25" t="str">
        <f>LOWER(SUBSTITUTE(SUBSTITUTE(SUBSTITUTE(SUBSTITUTE(SUBSTITUTE(SUBSTITUTE(SUBSTITUTE(SUBSTITUTE(SUBSTITUTE(NOTA[[#This Row],[NAMA BARANG]]," ",),".",""),"-",""),"(",""),")",""),",",""),"/",""),"""",""),"+",""))</f>
        <v>meppensiltizi24pcsg09312</v>
      </c>
      <c r="AQ1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meppensiltizi24pcsg093121908000</v>
      </c>
      <c r="AR1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meppensiltizi24pcsg093121908000</v>
      </c>
      <c r="AS1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7" s="25"/>
      <c r="AU187" s="25">
        <f>IF(NOTA[[#This Row],[CONCAT1]]="","",MATCH(NOTA[[#This Row],[CONCAT1]],[3]!db[NB NOTA_C],0))</f>
        <v>2189</v>
      </c>
      <c r="AV187" s="25" t="str">
        <f>IF(NOTA[[#This Row],[QTY/ CTN]]="","",TRUE)</f>
        <v/>
      </c>
      <c r="AW187" s="25" t="str">
        <f ca="1">IF(NOTA[[#This Row],[ID_H]]="","",IF(NOTA[[#This Row],[Column3]]=TRUE,NOTA[[#This Row],[QTY/ CTN]],INDEX([3]!db[QTY/ CTN],NOTA[[#This Row],[//DB]])))</f>
        <v>72 PAK</v>
      </c>
      <c r="AX1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meppensiltizi24pcsg0931272pakuntana</v>
      </c>
      <c r="AY187" s="25">
        <f ca="1">IF(NOTA[[#This Row],[ID_H]]="","",MATCH(NOTA[[#This Row],[NB NOTA_C_QTY]],[3]!db[NB NOTA_C_QTY+F],0))</f>
        <v>2189</v>
      </c>
      <c r="AZ187" s="38">
        <f ca="1">IF(NOTA[[#This Row],[NB NOTA_C_QTY]]="","",ROW()-2)</f>
        <v>185</v>
      </c>
    </row>
    <row r="188" spans="1:52" ht="20.100000000000001" customHeight="1">
      <c r="A1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8" s="25">
        <f ca="1">IF(NOTA[[#This Row],[NAMA BARANG]]="","",INDEX(NOTA[ID],MATCH(,INDIRECT(ADDRESS(ROW(NOTA[ID]),COLUMN(NOTA[ID]))&amp;":"&amp;ADDRESS(ROW(),COLUMN(NOTA[ID]))),-1)))</f>
        <v>38</v>
      </c>
      <c r="E188" s="33"/>
      <c r="H188" s="34"/>
      <c r="L188" s="25" t="s">
        <v>404</v>
      </c>
      <c r="M188" s="27">
        <v>1</v>
      </c>
      <c r="N188" s="25">
        <v>72</v>
      </c>
      <c r="O188" s="25" t="s">
        <v>222</v>
      </c>
      <c r="P188" s="28">
        <v>26500</v>
      </c>
      <c r="Q188" s="29"/>
      <c r="R188" s="35"/>
      <c r="S188" s="36"/>
      <c r="V188" s="37"/>
      <c r="W188" s="32"/>
      <c r="X188" s="37">
        <f>IF(NOTA[[#This Row],[HARGA/ CTN]]="",NOTA[[#This Row],[JUMLAH_H]],NOTA[[#This Row],[HARGA/ CTN]]*IF(NOTA[[#This Row],[C]]="",0,NOTA[[#This Row],[C]]))</f>
        <v>1908000</v>
      </c>
      <c r="Y188" s="37">
        <f>IF(NOTA[[#This Row],[JUMLAH]]="","",NOTA[[#This Row],[JUMLAH]]*NOTA[[#This Row],[DISC 1]])</f>
        <v>0</v>
      </c>
      <c r="Z188" s="37">
        <f>IF(NOTA[[#This Row],[JUMLAH]]="","",(NOTA[[#This Row],[JUMLAH]]-NOTA[[#This Row],[DISC 1-]])*NOTA[[#This Row],[DISC 2]])</f>
        <v>0</v>
      </c>
      <c r="AA188" s="37">
        <f>IF(NOTA[[#This Row],[JUMLAH]]="","",(NOTA[[#This Row],[JUMLAH]]-NOTA[[#This Row],[DISC 1-]]-NOTA[[#This Row],[DISC 2-]])*NOTA[[#This Row],[DISC 3]])</f>
        <v>0</v>
      </c>
      <c r="AB188" s="37">
        <f>IF(NOTA[[#This Row],[JUMLAH]]="","",NOTA[[#This Row],[DISC 1-]]+NOTA[[#This Row],[DISC 2-]]+NOTA[[#This Row],[DISC 3-]])</f>
        <v>0</v>
      </c>
      <c r="AC188" s="37">
        <f>IF(NOTA[[#This Row],[JUMLAH]]="","",NOTA[[#This Row],[JUMLAH]]-NOTA[[#This Row],[DISC]])</f>
        <v>1908000</v>
      </c>
      <c r="AD188" s="37"/>
      <c r="AE1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8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8" s="37">
        <f>IF(OR(NOTA[[#This Row],[QTY]]="",NOTA[[#This Row],[HARGA SATUAN]]="",),"",NOTA[[#This Row],[QTY]]*NOTA[[#This Row],[HARGA SATUAN]])</f>
        <v>1908000</v>
      </c>
      <c r="AI188" s="26">
        <f ca="1">IF(NOTA[[#This Row],[ID_H]]="","",INDEX(NOTA[TANGGAL],MATCH(,INDIRECT(ADDRESS(ROW(NOTA[TANGGAL]),COLUMN(NOTA[TANGGAL]))&amp;":"&amp;ADDRESS(ROW(),COLUMN(NOTA[TANGGAL]))),-1)))</f>
        <v>45461</v>
      </c>
      <c r="AJ188" s="26">
        <f ca="1">IF(NOTA[[#This Row],[ID_H]]="","",INDEX(NOTA[TGL.NOTA],MATCH(,INDIRECT(ADDRESS(ROW(NOTA[TGL.NOTA]),COLUMN(NOTA[TGL.NOTA]))&amp;":"&amp;ADDRESS(ROW(),COLUMN(NOTA[TGL.NOTA]))),-1)))</f>
        <v>45456</v>
      </c>
      <c r="AK188" s="26" t="str">
        <f ca="1">IF(NOTA[[#This Row],[ID_H]]="","",INDEX(NOTA[NO.NOTA],MATCH(NOTA[[#This Row],[ID_H]],NOTA[ID_H],0)))</f>
        <v>JUF309/24</v>
      </c>
      <c r="AL188" s="28" t="str">
        <f ca="1">IF(NOTA[[#This Row],[NAMA BARANG]]="","",INDEX(NOTA[SUPPLIER],MATCH(,INDIRECT(ADDRESS(ROW(NOTA[ID]),COLUMN(NOTA[ID]))&amp;":"&amp;ADDRESS(ROW(),COLUMN(NOTA[ID]))),-1)))</f>
        <v>DB STATIONERY</v>
      </c>
      <c r="AM188" s="28" t="str">
        <f ca="1">IF(NOTA[[#This Row],[ID_H]]="","",IF(NOTA[[#This Row],[FAKTUR]]="",INDIRECT(ADDRESS(ROW()-1,COLUMN())),NOTA[[#This Row],[FAKTUR]]))</f>
        <v>UNTANA</v>
      </c>
      <c r="AN188" s="25" t="str">
        <f ca="1">IF(NOTA[[#This Row],[ID]]="","",COUNTIF(NOTA[ID_H],NOTA[[#This Row],[ID_H]]))</f>
        <v/>
      </c>
      <c r="AO188" s="25">
        <f ca="1">IF(NOTA[[#This Row],[TGL.NOTA]]="",IF(NOTA[[#This Row],[SUPPLIER_H]]="","",AO187),MONTH(NOTA[[#This Row],[TGL.NOTA]]))</f>
        <v>6</v>
      </c>
      <c r="AP188" s="25" t="str">
        <f>LOWER(SUBSTITUTE(SUBSTITUTE(SUBSTITUTE(SUBSTITUTE(SUBSTITUTE(SUBSTITUTE(SUBSTITUTE(SUBSTITUTE(SUBSTITUTE(NOTA[[#This Row],[NAMA BARANG]]," ",),".",""),"-",""),"(",""),")",""),",",""),"/",""),"""",""),"+",""))</f>
        <v>mekpensil24pcsg09301</v>
      </c>
      <c r="AQ1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mekpensil24pcsg093011908000</v>
      </c>
      <c r="AR1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mekpensil24pcsg093011908000</v>
      </c>
      <c r="AS1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8" s="25"/>
      <c r="AU188" s="25">
        <f>IF(NOTA[[#This Row],[CONCAT1]]="","",MATCH(NOTA[[#This Row],[CONCAT1]],[3]!db[NB NOTA_C],0))</f>
        <v>2190</v>
      </c>
      <c r="AV188" s="25" t="str">
        <f>IF(NOTA[[#This Row],[QTY/ CTN]]="","",TRUE)</f>
        <v/>
      </c>
      <c r="AW188" s="25" t="str">
        <f ca="1">IF(NOTA[[#This Row],[ID_H]]="","",IF(NOTA[[#This Row],[Column3]]=TRUE,NOTA[[#This Row],[QTY/ CTN]],INDEX([3]!db[QTY/ CTN],NOTA[[#This Row],[//DB]])))</f>
        <v>72 PAK</v>
      </c>
      <c r="AX1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mekpensil24pcsg0930172pakuntana</v>
      </c>
      <c r="AY188" s="25">
        <f ca="1">IF(NOTA[[#This Row],[ID_H]]="","",MATCH(NOTA[[#This Row],[NB NOTA_C_QTY]],[3]!db[NB NOTA_C_QTY+F],0))</f>
        <v>2190</v>
      </c>
      <c r="AZ188" s="38">
        <f ca="1">IF(NOTA[[#This Row],[NB NOTA_C_QTY]]="","",ROW()-2)</f>
        <v>186</v>
      </c>
    </row>
    <row r="189" spans="1:52" ht="20.100000000000001" customHeight="1">
      <c r="A1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9" s="25">
        <f ca="1">IF(NOTA[[#This Row],[NAMA BARANG]]="","",INDEX(NOTA[ID],MATCH(,INDIRECT(ADDRESS(ROW(NOTA[ID]),COLUMN(NOTA[ID]))&amp;":"&amp;ADDRESS(ROW(),COLUMN(NOTA[ID]))),-1)))</f>
        <v>38</v>
      </c>
      <c r="E189" s="33"/>
      <c r="H189" s="34"/>
      <c r="L189" s="25" t="s">
        <v>405</v>
      </c>
      <c r="M189" s="27">
        <v>1</v>
      </c>
      <c r="N189" s="25">
        <v>72</v>
      </c>
      <c r="O189" s="25" t="s">
        <v>222</v>
      </c>
      <c r="P189" s="28">
        <v>26500</v>
      </c>
      <c r="Q189" s="29"/>
      <c r="R189" s="35"/>
      <c r="S189" s="36"/>
      <c r="V189" s="37"/>
      <c r="W189" s="32"/>
      <c r="X189" s="37">
        <f>IF(NOTA[[#This Row],[HARGA/ CTN]]="",NOTA[[#This Row],[JUMLAH_H]],NOTA[[#This Row],[HARGA/ CTN]]*IF(NOTA[[#This Row],[C]]="",0,NOTA[[#This Row],[C]]))</f>
        <v>1908000</v>
      </c>
      <c r="Y189" s="37">
        <f>IF(NOTA[[#This Row],[JUMLAH]]="","",NOTA[[#This Row],[JUMLAH]]*NOTA[[#This Row],[DISC 1]])</f>
        <v>0</v>
      </c>
      <c r="Z189" s="37">
        <f>IF(NOTA[[#This Row],[JUMLAH]]="","",(NOTA[[#This Row],[JUMLAH]]-NOTA[[#This Row],[DISC 1-]])*NOTA[[#This Row],[DISC 2]])</f>
        <v>0</v>
      </c>
      <c r="AA189" s="37">
        <f>IF(NOTA[[#This Row],[JUMLAH]]="","",(NOTA[[#This Row],[JUMLAH]]-NOTA[[#This Row],[DISC 1-]]-NOTA[[#This Row],[DISC 2-]])*NOTA[[#This Row],[DISC 3]])</f>
        <v>0</v>
      </c>
      <c r="AB189" s="37">
        <f>IF(NOTA[[#This Row],[JUMLAH]]="","",NOTA[[#This Row],[DISC 1-]]+NOTA[[#This Row],[DISC 2-]]+NOTA[[#This Row],[DISC 3-]])</f>
        <v>0</v>
      </c>
      <c r="AC189" s="37">
        <f>IF(NOTA[[#This Row],[JUMLAH]]="","",NOTA[[#This Row],[JUMLAH]]-NOTA[[#This Row],[DISC]])</f>
        <v>1908000</v>
      </c>
      <c r="AD189" s="37"/>
      <c r="AE1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9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9" s="37">
        <f>IF(OR(NOTA[[#This Row],[QTY]]="",NOTA[[#This Row],[HARGA SATUAN]]="",),"",NOTA[[#This Row],[QTY]]*NOTA[[#This Row],[HARGA SATUAN]])</f>
        <v>1908000</v>
      </c>
      <c r="AI189" s="26">
        <f ca="1">IF(NOTA[[#This Row],[ID_H]]="","",INDEX(NOTA[TANGGAL],MATCH(,INDIRECT(ADDRESS(ROW(NOTA[TANGGAL]),COLUMN(NOTA[TANGGAL]))&amp;":"&amp;ADDRESS(ROW(),COLUMN(NOTA[TANGGAL]))),-1)))</f>
        <v>45461</v>
      </c>
      <c r="AJ189" s="26">
        <f ca="1">IF(NOTA[[#This Row],[ID_H]]="","",INDEX(NOTA[TGL.NOTA],MATCH(,INDIRECT(ADDRESS(ROW(NOTA[TGL.NOTA]),COLUMN(NOTA[TGL.NOTA]))&amp;":"&amp;ADDRESS(ROW(),COLUMN(NOTA[TGL.NOTA]))),-1)))</f>
        <v>45456</v>
      </c>
      <c r="AK189" s="26" t="str">
        <f ca="1">IF(NOTA[[#This Row],[ID_H]]="","",INDEX(NOTA[NO.NOTA],MATCH(NOTA[[#This Row],[ID_H]],NOTA[ID_H],0)))</f>
        <v>JUF309/24</v>
      </c>
      <c r="AL189" s="28" t="str">
        <f ca="1">IF(NOTA[[#This Row],[NAMA BARANG]]="","",INDEX(NOTA[SUPPLIER],MATCH(,INDIRECT(ADDRESS(ROW(NOTA[ID]),COLUMN(NOTA[ID]))&amp;":"&amp;ADDRESS(ROW(),COLUMN(NOTA[ID]))),-1)))</f>
        <v>DB STATIONERY</v>
      </c>
      <c r="AM189" s="28" t="str">
        <f ca="1">IF(NOTA[[#This Row],[ID_H]]="","",IF(NOTA[[#This Row],[FAKTUR]]="",INDIRECT(ADDRESS(ROW()-1,COLUMN())),NOTA[[#This Row],[FAKTUR]]))</f>
        <v>UNTANA</v>
      </c>
      <c r="AN189" s="25" t="str">
        <f ca="1">IF(NOTA[[#This Row],[ID]]="","",COUNTIF(NOTA[ID_H],NOTA[[#This Row],[ID_H]]))</f>
        <v/>
      </c>
      <c r="AO189" s="25">
        <f ca="1">IF(NOTA[[#This Row],[TGL.NOTA]]="",IF(NOTA[[#This Row],[SUPPLIER_H]]="","",AO188),MONTH(NOTA[[#This Row],[TGL.NOTA]]))</f>
        <v>6</v>
      </c>
      <c r="AP189" s="25" t="str">
        <f>LOWER(SUBSTITUTE(SUBSTITUTE(SUBSTITUTE(SUBSTITUTE(SUBSTITUTE(SUBSTITUTE(SUBSTITUTE(SUBSTITUTE(SUBSTITUTE(NOTA[[#This Row],[NAMA BARANG]]," ",),".",""),"-",""),"(",""),")",""),",",""),"/",""),"""",""),"+",""))</f>
        <v>mekprnsil24pcsg09309</v>
      </c>
      <c r="AQ1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mekprnsil24pcsg093091908000</v>
      </c>
      <c r="AR1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mekprnsil24pcsg093091908000</v>
      </c>
      <c r="AS1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9" s="25"/>
      <c r="AU189" s="25">
        <f>IF(NOTA[[#This Row],[CONCAT1]]="","",MATCH(NOTA[[#This Row],[CONCAT1]],[3]!db[NB NOTA_C],0))</f>
        <v>2191</v>
      </c>
      <c r="AV189" s="25" t="str">
        <f>IF(NOTA[[#This Row],[QTY/ CTN]]="","",TRUE)</f>
        <v/>
      </c>
      <c r="AW189" s="25" t="str">
        <f ca="1">IF(NOTA[[#This Row],[ID_H]]="","",IF(NOTA[[#This Row],[Column3]]=TRUE,NOTA[[#This Row],[QTY/ CTN]],INDEX([3]!db[QTY/ CTN],NOTA[[#This Row],[//DB]])))</f>
        <v>72 PAK</v>
      </c>
      <c r="AX1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mekprnsil24pcsg0930972pakuntana</v>
      </c>
      <c r="AY189" s="25">
        <f ca="1">IF(NOTA[[#This Row],[ID_H]]="","",MATCH(NOTA[[#This Row],[NB NOTA_C_QTY]],[3]!db[NB NOTA_C_QTY+F],0))</f>
        <v>2191</v>
      </c>
      <c r="AZ189" s="38">
        <f ca="1">IF(NOTA[[#This Row],[NB NOTA_C_QTY]]="","",ROW()-2)</f>
        <v>187</v>
      </c>
    </row>
    <row r="190" spans="1:52" ht="20.100000000000001" customHeight="1">
      <c r="A1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0" s="25">
        <f ca="1">IF(NOTA[[#This Row],[NAMA BARANG]]="","",INDEX(NOTA[ID],MATCH(,INDIRECT(ADDRESS(ROW(NOTA[ID]),COLUMN(NOTA[ID]))&amp;":"&amp;ADDRESS(ROW(),COLUMN(NOTA[ID]))),-1)))</f>
        <v>38</v>
      </c>
      <c r="E190" s="33"/>
      <c r="H190" s="34"/>
      <c r="L190" s="25" t="s">
        <v>406</v>
      </c>
      <c r="M190" s="27">
        <v>2</v>
      </c>
      <c r="N190" s="25">
        <v>288</v>
      </c>
      <c r="O190" s="25" t="s">
        <v>110</v>
      </c>
      <c r="P190" s="28">
        <v>13250</v>
      </c>
      <c r="Q190" s="29"/>
      <c r="R190" s="35"/>
      <c r="S190" s="36"/>
      <c r="V190" s="37"/>
      <c r="W190" s="32"/>
      <c r="X190" s="37">
        <f>IF(NOTA[[#This Row],[HARGA/ CTN]]="",NOTA[[#This Row],[JUMLAH_H]],NOTA[[#This Row],[HARGA/ CTN]]*IF(NOTA[[#This Row],[C]]="",0,NOTA[[#This Row],[C]]))</f>
        <v>3816000</v>
      </c>
      <c r="Y190" s="37">
        <f>IF(NOTA[[#This Row],[JUMLAH]]="","",NOTA[[#This Row],[JUMLAH]]*NOTA[[#This Row],[DISC 1]])</f>
        <v>0</v>
      </c>
      <c r="Z190" s="37">
        <f>IF(NOTA[[#This Row],[JUMLAH]]="","",(NOTA[[#This Row],[JUMLAH]]-NOTA[[#This Row],[DISC 1-]])*NOTA[[#This Row],[DISC 2]])</f>
        <v>0</v>
      </c>
      <c r="AA190" s="37">
        <f>IF(NOTA[[#This Row],[JUMLAH]]="","",(NOTA[[#This Row],[JUMLAH]]-NOTA[[#This Row],[DISC 1-]]-NOTA[[#This Row],[DISC 2-]])*NOTA[[#This Row],[DISC 3]])</f>
        <v>0</v>
      </c>
      <c r="AB190" s="37">
        <f>IF(NOTA[[#This Row],[JUMLAH]]="","",NOTA[[#This Row],[DISC 1-]]+NOTA[[#This Row],[DISC 2-]]+NOTA[[#This Row],[DISC 3-]])</f>
        <v>0</v>
      </c>
      <c r="AC190" s="37">
        <f>IF(NOTA[[#This Row],[JUMLAH]]="","",NOTA[[#This Row],[JUMLAH]]-NOTA[[#This Row],[DISC]])</f>
        <v>3816000</v>
      </c>
      <c r="AD190" s="37"/>
      <c r="AE1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41976000</v>
      </c>
      <c r="AG190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90" s="37">
        <f>IF(OR(NOTA[[#This Row],[QTY]]="",NOTA[[#This Row],[HARGA SATUAN]]="",),"",NOTA[[#This Row],[QTY]]*NOTA[[#This Row],[HARGA SATUAN]])</f>
        <v>3816000</v>
      </c>
      <c r="AI190" s="26">
        <f ca="1">IF(NOTA[[#This Row],[ID_H]]="","",INDEX(NOTA[TANGGAL],MATCH(,INDIRECT(ADDRESS(ROW(NOTA[TANGGAL]),COLUMN(NOTA[TANGGAL]))&amp;":"&amp;ADDRESS(ROW(),COLUMN(NOTA[TANGGAL]))),-1)))</f>
        <v>45461</v>
      </c>
      <c r="AJ190" s="26">
        <f ca="1">IF(NOTA[[#This Row],[ID_H]]="","",INDEX(NOTA[TGL.NOTA],MATCH(,INDIRECT(ADDRESS(ROW(NOTA[TGL.NOTA]),COLUMN(NOTA[TGL.NOTA]))&amp;":"&amp;ADDRESS(ROW(),COLUMN(NOTA[TGL.NOTA]))),-1)))</f>
        <v>45456</v>
      </c>
      <c r="AK190" s="26" t="str">
        <f ca="1">IF(NOTA[[#This Row],[ID_H]]="","",INDEX(NOTA[NO.NOTA],MATCH(NOTA[[#This Row],[ID_H]],NOTA[ID_H],0)))</f>
        <v>JUF309/24</v>
      </c>
      <c r="AL190" s="28" t="str">
        <f ca="1">IF(NOTA[[#This Row],[NAMA BARANG]]="","",INDEX(NOTA[SUPPLIER],MATCH(,INDIRECT(ADDRESS(ROW(NOTA[ID]),COLUMN(NOTA[ID]))&amp;":"&amp;ADDRESS(ROW(),COLUMN(NOTA[ID]))),-1)))</f>
        <v>DB STATIONERY</v>
      </c>
      <c r="AM190" s="28" t="str">
        <f ca="1">IF(NOTA[[#This Row],[ID_H]]="","",IF(NOTA[[#This Row],[FAKTUR]]="",INDIRECT(ADDRESS(ROW()-1,COLUMN())),NOTA[[#This Row],[FAKTUR]]))</f>
        <v>UNTANA</v>
      </c>
      <c r="AN190" s="25" t="str">
        <f ca="1">IF(NOTA[[#This Row],[ID]]="","",COUNTIF(NOTA[ID_H],NOTA[[#This Row],[ID_H]]))</f>
        <v/>
      </c>
      <c r="AO190" s="25">
        <f ca="1">IF(NOTA[[#This Row],[TGL.NOTA]]="",IF(NOTA[[#This Row],[SUPPLIER_H]]="","",AO189),MONTH(NOTA[[#This Row],[TGL.NOTA]]))</f>
        <v>6</v>
      </c>
      <c r="AP190" s="25" t="str">
        <f>LOWER(SUBSTITUTE(SUBSTITUTE(SUBSTITUTE(SUBSTITUTE(SUBSTITUTE(SUBSTITUTE(SUBSTITUTE(SUBSTITUTE(SUBSTITUTE(NOTA[[#This Row],[NAMA BARANG]]," ",),".",""),"-",""),"(",""),")",""),",",""),"/",""),"""",""),"+",""))</f>
        <v>mekpensiltizog9000a</v>
      </c>
      <c r="AQ1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mekpensiltizog9000a1908000</v>
      </c>
      <c r="AR1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mekpensiltizog9000a1908000</v>
      </c>
      <c r="AS1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0" s="25"/>
      <c r="AU190" s="25">
        <f>IF(NOTA[[#This Row],[CONCAT1]]="","",MATCH(NOTA[[#This Row],[CONCAT1]],[3]!db[NB NOTA_C],0))</f>
        <v>2172</v>
      </c>
      <c r="AV190" s="25" t="str">
        <f>IF(NOTA[[#This Row],[QTY/ CTN]]="","",TRUE)</f>
        <v/>
      </c>
      <c r="AW190" s="25" t="str">
        <f ca="1">IF(NOTA[[#This Row],[ID_H]]="","",IF(NOTA[[#This Row],[Column3]]=TRUE,NOTA[[#This Row],[QTY/ CTN]],INDEX([3]!db[QTY/ CTN],NOTA[[#This Row],[//DB]])))</f>
        <v>144 LSN</v>
      </c>
      <c r="AX1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mekpensiltizog9000a144lsnuntana</v>
      </c>
      <c r="AY190" s="25">
        <f ca="1">IF(NOTA[[#This Row],[ID_H]]="","",MATCH(NOTA[[#This Row],[NB NOTA_C_QTY]],[3]!db[NB NOTA_C_QTY+F],0))</f>
        <v>2172</v>
      </c>
      <c r="AZ190" s="38">
        <f ca="1">IF(NOTA[[#This Row],[NB NOTA_C_QTY]]="","",ROW()-2)</f>
        <v>188</v>
      </c>
    </row>
    <row r="191" spans="1:52" ht="20.100000000000001" customHeight="1">
      <c r="A1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1" s="25" t="str">
        <f ca="1">IF(NOTA[[#This Row],[NAMA BARANG]]="","",INDEX(NOTA[ID],MATCH(,INDIRECT(ADDRESS(ROW(NOTA[ID]),COLUMN(NOTA[ID]))&amp;":"&amp;ADDRESS(ROW(),COLUMN(NOTA[ID]))),-1)))</f>
        <v/>
      </c>
      <c r="E191" s="33"/>
      <c r="H191" s="34"/>
      <c r="Q191" s="29"/>
      <c r="R191" s="35"/>
      <c r="S191" s="36"/>
      <c r="V191" s="37"/>
      <c r="W191" s="32"/>
      <c r="X191" s="37" t="str">
        <f>IF(NOTA[[#This Row],[HARGA/ CTN]]="",NOTA[[#This Row],[JUMLAH_H]],NOTA[[#This Row],[HARGA/ CTN]]*IF(NOTA[[#This Row],[C]]="",0,NOTA[[#This Row],[C]]))</f>
        <v/>
      </c>
      <c r="Y191" s="37" t="str">
        <f>IF(NOTA[[#This Row],[JUMLAH]]="","",NOTA[[#This Row],[JUMLAH]]*NOTA[[#This Row],[DISC 1]])</f>
        <v/>
      </c>
      <c r="Z191" s="37" t="str">
        <f>IF(NOTA[[#This Row],[JUMLAH]]="","",(NOTA[[#This Row],[JUMLAH]]-NOTA[[#This Row],[DISC 1-]])*NOTA[[#This Row],[DISC 2]])</f>
        <v/>
      </c>
      <c r="AA191" s="37" t="str">
        <f>IF(NOTA[[#This Row],[JUMLAH]]="","",(NOTA[[#This Row],[JUMLAH]]-NOTA[[#This Row],[DISC 1-]]-NOTA[[#This Row],[DISC 2-]])*NOTA[[#This Row],[DISC 3]])</f>
        <v/>
      </c>
      <c r="AB191" s="37" t="str">
        <f>IF(NOTA[[#This Row],[JUMLAH]]="","",NOTA[[#This Row],[DISC 1-]]+NOTA[[#This Row],[DISC 2-]]+NOTA[[#This Row],[DISC 3-]])</f>
        <v/>
      </c>
      <c r="AC191" s="37" t="str">
        <f>IF(NOTA[[#This Row],[JUMLAH]]="","",NOTA[[#This Row],[JUMLAH]]-NOTA[[#This Row],[DISC]])</f>
        <v/>
      </c>
      <c r="AD191" s="37"/>
      <c r="AE1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1" s="37" t="str">
        <f>IF(OR(NOTA[[#This Row],[QTY]]="",NOTA[[#This Row],[HARGA SATUAN]]="",),"",NOTA[[#This Row],[QTY]]*NOTA[[#This Row],[HARGA SATUAN]])</f>
        <v/>
      </c>
      <c r="AI191" s="26" t="str">
        <f ca="1">IF(NOTA[[#This Row],[ID_H]]="","",INDEX(NOTA[TANGGAL],MATCH(,INDIRECT(ADDRESS(ROW(NOTA[TANGGAL]),COLUMN(NOTA[TANGGAL]))&amp;":"&amp;ADDRESS(ROW(),COLUMN(NOTA[TANGGAL]))),-1)))</f>
        <v/>
      </c>
      <c r="AJ191" s="26" t="str">
        <f ca="1">IF(NOTA[[#This Row],[ID_H]]="","",INDEX(NOTA[TGL.NOTA],MATCH(,INDIRECT(ADDRESS(ROW(NOTA[TGL.NOTA]),COLUMN(NOTA[TGL.NOTA]))&amp;":"&amp;ADDRESS(ROW(),COLUMN(NOTA[TGL.NOTA]))),-1)))</f>
        <v/>
      </c>
      <c r="AK191" s="26" t="str">
        <f ca="1">IF(NOTA[[#This Row],[ID_H]]="","",INDEX(NOTA[NO.NOTA],MATCH(NOTA[[#This Row],[ID_H]],NOTA[ID_H],0)))</f>
        <v/>
      </c>
      <c r="AL191" s="28" t="str">
        <f ca="1">IF(NOTA[[#This Row],[NAMA BARANG]]="","",INDEX(NOTA[SUPPLIER],MATCH(,INDIRECT(ADDRESS(ROW(NOTA[ID]),COLUMN(NOTA[ID]))&amp;":"&amp;ADDRESS(ROW(),COLUMN(NOTA[ID]))),-1)))</f>
        <v/>
      </c>
      <c r="AM191" s="28" t="str">
        <f ca="1">IF(NOTA[[#This Row],[ID_H]]="","",IF(NOTA[[#This Row],[FAKTUR]]="",INDIRECT(ADDRESS(ROW()-1,COLUMN())),NOTA[[#This Row],[FAKTUR]]))</f>
        <v/>
      </c>
      <c r="AN191" s="25" t="str">
        <f ca="1">IF(NOTA[[#This Row],[ID]]="","",COUNTIF(NOTA[ID_H],NOTA[[#This Row],[ID_H]]))</f>
        <v/>
      </c>
      <c r="AO191" s="25" t="str">
        <f ca="1">IF(NOTA[[#This Row],[TGL.NOTA]]="",IF(NOTA[[#This Row],[SUPPLIER_H]]="","",AO190),MONTH(NOTA[[#This Row],[TGL.NOTA]]))</f>
        <v/>
      </c>
      <c r="AP1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1" s="25"/>
      <c r="AU191" s="25" t="str">
        <f>IF(NOTA[[#This Row],[CONCAT1]]="","",MATCH(NOTA[[#This Row],[CONCAT1]],[3]!db[NB NOTA_C],0))</f>
        <v/>
      </c>
      <c r="AV191" s="25" t="str">
        <f>IF(NOTA[[#This Row],[QTY/ CTN]]="","",TRUE)</f>
        <v/>
      </c>
      <c r="AW191" s="25" t="str">
        <f ca="1">IF(NOTA[[#This Row],[ID_H]]="","",IF(NOTA[[#This Row],[Column3]]=TRUE,NOTA[[#This Row],[QTY/ CTN]],INDEX([3]!db[QTY/ CTN],NOTA[[#This Row],[//DB]])))</f>
        <v/>
      </c>
      <c r="AX1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1" s="25" t="str">
        <f ca="1">IF(NOTA[[#This Row],[ID_H]]="","",MATCH(NOTA[[#This Row],[NB NOTA_C_QTY]],[3]!db[NB NOTA_C_QTY+F],0))</f>
        <v/>
      </c>
      <c r="AZ191" s="38" t="str">
        <f ca="1">IF(NOTA[[#This Row],[NB NOTA_C_QTY]]="","",ROW()-2)</f>
        <v/>
      </c>
    </row>
    <row r="192" spans="1:52" ht="20.100000000000001" customHeight="1">
      <c r="A192" s="28">
        <f ca="1">IF(INDIRECT(ADDRESS(ROW()-1,COLUMN(NOTA[[#Headers],[ID]])))="ID",1,IF(NOTA[[#This Row],[FAKTUR]]="","",COUNT(INDIRECT(ADDRESS(ROW(NOTA[ID]),COLUMN(NOTA[ID]))&amp;":"&amp;ADDRESS(ROW()-1,COLUMN(NOTA[ID]))))+1))</f>
        <v>39</v>
      </c>
      <c r="B19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DBS_1806_824-16</v>
      </c>
      <c r="D192" s="25">
        <f ca="1">IF(NOTA[[#This Row],[NAMA BARANG]]="","",INDEX(NOTA[ID],MATCH(,INDIRECT(ADDRESS(ROW(NOTA[ID]),COLUMN(NOTA[ID]))&amp;":"&amp;ADDRESS(ROW(),COLUMN(NOTA[ID]))),-1)))</f>
        <v>39</v>
      </c>
      <c r="E192" s="33"/>
      <c r="F192" s="25" t="s">
        <v>165</v>
      </c>
      <c r="G192" s="25" t="s">
        <v>109</v>
      </c>
      <c r="H192" s="34" t="s">
        <v>407</v>
      </c>
      <c r="J192" s="26">
        <v>45456</v>
      </c>
      <c r="L192" s="25" t="s">
        <v>408</v>
      </c>
      <c r="M192" s="27">
        <v>5</v>
      </c>
      <c r="N192" s="25">
        <v>720</v>
      </c>
      <c r="O192" s="25" t="s">
        <v>110</v>
      </c>
      <c r="P192" s="28">
        <v>22500</v>
      </c>
      <c r="Q192" s="29"/>
      <c r="R192" s="35"/>
      <c r="S192" s="36"/>
      <c r="V192" s="37"/>
      <c r="W192" s="32"/>
      <c r="X192" s="37">
        <f>IF(NOTA[[#This Row],[HARGA/ CTN]]="",NOTA[[#This Row],[JUMLAH_H]],NOTA[[#This Row],[HARGA/ CTN]]*IF(NOTA[[#This Row],[C]]="",0,NOTA[[#This Row],[C]]))</f>
        <v>16200000</v>
      </c>
      <c r="Y192" s="37">
        <f>IF(NOTA[[#This Row],[JUMLAH]]="","",NOTA[[#This Row],[JUMLAH]]*NOTA[[#This Row],[DISC 1]])</f>
        <v>0</v>
      </c>
      <c r="Z192" s="37">
        <f>IF(NOTA[[#This Row],[JUMLAH]]="","",(NOTA[[#This Row],[JUMLAH]]-NOTA[[#This Row],[DISC 1-]])*NOTA[[#This Row],[DISC 2]])</f>
        <v>0</v>
      </c>
      <c r="AA192" s="37">
        <f>IF(NOTA[[#This Row],[JUMLAH]]="","",(NOTA[[#This Row],[JUMLAH]]-NOTA[[#This Row],[DISC 1-]]-NOTA[[#This Row],[DISC 2-]])*NOTA[[#This Row],[DISC 3]])</f>
        <v>0</v>
      </c>
      <c r="AB192" s="37">
        <f>IF(NOTA[[#This Row],[JUMLAH]]="","",NOTA[[#This Row],[DISC 1-]]+NOTA[[#This Row],[DISC 2-]]+NOTA[[#This Row],[DISC 3-]])</f>
        <v>0</v>
      </c>
      <c r="AC192" s="37">
        <f>IF(NOTA[[#This Row],[JUMLAH]]="","",NOTA[[#This Row],[JUMLAH]]-NOTA[[#This Row],[DISC]])</f>
        <v>16200000</v>
      </c>
      <c r="AD192" s="37"/>
      <c r="AE1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2" s="28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H192" s="37">
        <f>IF(OR(NOTA[[#This Row],[QTY]]="",NOTA[[#This Row],[HARGA SATUAN]]="",),"",NOTA[[#This Row],[QTY]]*NOTA[[#This Row],[HARGA SATUAN]])</f>
        <v>16200000</v>
      </c>
      <c r="AI192" s="26">
        <f ca="1">IF(NOTA[[#This Row],[ID_H]]="","",INDEX(NOTA[TANGGAL],MATCH(,INDIRECT(ADDRESS(ROW(NOTA[TANGGAL]),COLUMN(NOTA[TANGGAL]))&amp;":"&amp;ADDRESS(ROW(),COLUMN(NOTA[TANGGAL]))),-1)))</f>
        <v>45461</v>
      </c>
      <c r="AJ192" s="26">
        <f ca="1">IF(NOTA[[#This Row],[ID_H]]="","",INDEX(NOTA[TGL.NOTA],MATCH(,INDIRECT(ADDRESS(ROW(NOTA[TGL.NOTA]),COLUMN(NOTA[TGL.NOTA]))&amp;":"&amp;ADDRESS(ROW(),COLUMN(NOTA[TGL.NOTA]))),-1)))</f>
        <v>45456</v>
      </c>
      <c r="AK192" s="26" t="str">
        <f ca="1">IF(NOTA[[#This Row],[ID_H]]="","",INDEX(NOTA[NO.NOTA],MATCH(NOTA[[#This Row],[ID_H]],NOTA[ID_H],0)))</f>
        <v>JUF308/24</v>
      </c>
      <c r="AL192" s="28" t="str">
        <f ca="1">IF(NOTA[[#This Row],[NAMA BARANG]]="","",INDEX(NOTA[SUPPLIER],MATCH(,INDIRECT(ADDRESS(ROW(NOTA[ID]),COLUMN(NOTA[ID]))&amp;":"&amp;ADDRESS(ROW(),COLUMN(NOTA[ID]))),-1)))</f>
        <v>DB STATIONERY</v>
      </c>
      <c r="AM192" s="28" t="str">
        <f ca="1">IF(NOTA[[#This Row],[ID_H]]="","",IF(NOTA[[#This Row],[FAKTUR]]="",INDIRECT(ADDRESS(ROW()-1,COLUMN())),NOTA[[#This Row],[FAKTUR]]))</f>
        <v>UNTANA</v>
      </c>
      <c r="AN192" s="25">
        <f ca="1">IF(NOTA[[#This Row],[ID]]="","",COUNTIF(NOTA[ID_H],NOTA[[#This Row],[ID_H]]))</f>
        <v>16</v>
      </c>
      <c r="AO192" s="25">
        <f>IF(NOTA[[#This Row],[TGL.NOTA]]="",IF(NOTA[[#This Row],[SUPPLIER_H]]="","",AO191),MONTH(NOTA[[#This Row],[TGL.NOTA]]))</f>
        <v>6</v>
      </c>
      <c r="AP192" s="25" t="str">
        <f>LOWER(SUBSTITUTE(SUBSTITUTE(SUBSTITUTE(SUBSTITUTE(SUBSTITUTE(SUBSTITUTE(SUBSTITUTE(SUBSTITUTE(SUBSTITUTE(NOTA[[#This Row],[NAMA BARANG]]," ",),".",""),"-",""),"(",""),")",""),",",""),"/",""),"""",""),"+",""))</f>
        <v>gelinktianjiaobirutz501b</v>
      </c>
      <c r="AQ1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gelinktianjiaobirutz501b3240000</v>
      </c>
      <c r="AR1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gelinktianjiaobirutz501b3240000</v>
      </c>
      <c r="AS192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STATIONERYUNTANAJUF308/2445456gelinktianjiaobirutz501b</v>
      </c>
      <c r="AT192" s="25"/>
      <c r="AU192" s="25">
        <f>IF(NOTA[[#This Row],[CONCAT1]]="","",MATCH(NOTA[[#This Row],[CONCAT1]],[3]!db[NB NOTA_C],0))</f>
        <v>1058</v>
      </c>
      <c r="AV192" s="25" t="str">
        <f>IF(NOTA[[#This Row],[QTY/ CTN]]="","",TRUE)</f>
        <v/>
      </c>
      <c r="AW192" s="25" t="str">
        <f ca="1">IF(NOTA[[#This Row],[ID_H]]="","",IF(NOTA[[#This Row],[Column3]]=TRUE,NOTA[[#This Row],[QTY/ CTN]],INDEX([3]!db[QTY/ CTN],NOTA[[#This Row],[//DB]])))</f>
        <v>144 LSN</v>
      </c>
      <c r="AX1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gelinktianjiaobirutz501b144lsnuntana</v>
      </c>
      <c r="AY192" s="25">
        <f ca="1">IF(NOTA[[#This Row],[ID_H]]="","",MATCH(NOTA[[#This Row],[NB NOTA_C_QTY]],[3]!db[NB NOTA_C_QTY+F],0))</f>
        <v>1058</v>
      </c>
      <c r="AZ192" s="38">
        <f ca="1">IF(NOTA[[#This Row],[NB NOTA_C_QTY]]="","",ROW()-2)</f>
        <v>190</v>
      </c>
    </row>
    <row r="193" spans="1:52" ht="20.100000000000001" customHeight="1">
      <c r="A1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3" s="25">
        <f ca="1">IF(NOTA[[#This Row],[NAMA BARANG]]="","",INDEX(NOTA[ID],MATCH(,INDIRECT(ADDRESS(ROW(NOTA[ID]),COLUMN(NOTA[ID]))&amp;":"&amp;ADDRESS(ROW(),COLUMN(NOTA[ID]))),-1)))</f>
        <v>39</v>
      </c>
      <c r="E193" s="33"/>
      <c r="H193" s="34"/>
      <c r="L193" s="25" t="s">
        <v>409</v>
      </c>
      <c r="M193" s="27">
        <v>1</v>
      </c>
      <c r="N193" s="25">
        <v>72</v>
      </c>
      <c r="O193" s="25" t="s">
        <v>110</v>
      </c>
      <c r="P193" s="28">
        <v>41000</v>
      </c>
      <c r="Q193" s="29"/>
      <c r="R193" s="35"/>
      <c r="S193" s="36"/>
      <c r="V193" s="37"/>
      <c r="W193" s="32"/>
      <c r="X193" s="37">
        <f>IF(NOTA[[#This Row],[HARGA/ CTN]]="",NOTA[[#This Row],[JUMLAH_H]],NOTA[[#This Row],[HARGA/ CTN]]*IF(NOTA[[#This Row],[C]]="",0,NOTA[[#This Row],[C]]))</f>
        <v>2952000</v>
      </c>
      <c r="Y193" s="37">
        <f>IF(NOTA[[#This Row],[JUMLAH]]="","",NOTA[[#This Row],[JUMLAH]]*NOTA[[#This Row],[DISC 1]])</f>
        <v>0</v>
      </c>
      <c r="Z193" s="37">
        <f>IF(NOTA[[#This Row],[JUMLAH]]="","",(NOTA[[#This Row],[JUMLAH]]-NOTA[[#This Row],[DISC 1-]])*NOTA[[#This Row],[DISC 2]])</f>
        <v>0</v>
      </c>
      <c r="AA193" s="37">
        <f>IF(NOTA[[#This Row],[JUMLAH]]="","",(NOTA[[#This Row],[JUMLAH]]-NOTA[[#This Row],[DISC 1-]]-NOTA[[#This Row],[DISC 2-]])*NOTA[[#This Row],[DISC 3]])</f>
        <v>0</v>
      </c>
      <c r="AB193" s="37">
        <f>IF(NOTA[[#This Row],[JUMLAH]]="","",NOTA[[#This Row],[DISC 1-]]+NOTA[[#This Row],[DISC 2-]]+NOTA[[#This Row],[DISC 3-]])</f>
        <v>0</v>
      </c>
      <c r="AC193" s="37">
        <f>IF(NOTA[[#This Row],[JUMLAH]]="","",NOTA[[#This Row],[JUMLAH]]-NOTA[[#This Row],[DISC]])</f>
        <v>2952000</v>
      </c>
      <c r="AD193" s="37"/>
      <c r="AE1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3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193" s="37">
        <f>IF(OR(NOTA[[#This Row],[QTY]]="",NOTA[[#This Row],[HARGA SATUAN]]="",),"",NOTA[[#This Row],[QTY]]*NOTA[[#This Row],[HARGA SATUAN]])</f>
        <v>2952000</v>
      </c>
      <c r="AI193" s="26">
        <f ca="1">IF(NOTA[[#This Row],[ID_H]]="","",INDEX(NOTA[TANGGAL],MATCH(,INDIRECT(ADDRESS(ROW(NOTA[TANGGAL]),COLUMN(NOTA[TANGGAL]))&amp;":"&amp;ADDRESS(ROW(),COLUMN(NOTA[TANGGAL]))),-1)))</f>
        <v>45461</v>
      </c>
      <c r="AJ193" s="26">
        <f ca="1">IF(NOTA[[#This Row],[ID_H]]="","",INDEX(NOTA[TGL.NOTA],MATCH(,INDIRECT(ADDRESS(ROW(NOTA[TGL.NOTA]),COLUMN(NOTA[TGL.NOTA]))&amp;":"&amp;ADDRESS(ROW(),COLUMN(NOTA[TGL.NOTA]))),-1)))</f>
        <v>45456</v>
      </c>
      <c r="AK193" s="26" t="str">
        <f ca="1">IF(NOTA[[#This Row],[ID_H]]="","",INDEX(NOTA[NO.NOTA],MATCH(NOTA[[#This Row],[ID_H]],NOTA[ID_H],0)))</f>
        <v>JUF308/24</v>
      </c>
      <c r="AL193" s="28" t="str">
        <f ca="1">IF(NOTA[[#This Row],[NAMA BARANG]]="","",INDEX(NOTA[SUPPLIER],MATCH(,INDIRECT(ADDRESS(ROW(NOTA[ID]),COLUMN(NOTA[ID]))&amp;":"&amp;ADDRESS(ROW(),COLUMN(NOTA[ID]))),-1)))</f>
        <v>DB STATIONERY</v>
      </c>
      <c r="AM193" s="28" t="str">
        <f ca="1">IF(NOTA[[#This Row],[ID_H]]="","",IF(NOTA[[#This Row],[FAKTUR]]="",INDIRECT(ADDRESS(ROW()-1,COLUMN())),NOTA[[#This Row],[FAKTUR]]))</f>
        <v>UNTANA</v>
      </c>
      <c r="AN193" s="25" t="str">
        <f ca="1">IF(NOTA[[#This Row],[ID]]="","",COUNTIF(NOTA[ID_H],NOTA[[#This Row],[ID_H]]))</f>
        <v/>
      </c>
      <c r="AO193" s="25">
        <f ca="1">IF(NOTA[[#This Row],[TGL.NOTA]]="",IF(NOTA[[#This Row],[SUPPLIER_H]]="","",AO192),MONTH(NOTA[[#This Row],[TGL.NOTA]]))</f>
        <v>6</v>
      </c>
      <c r="AP193" s="25" t="str">
        <f>LOWER(SUBSTITUTE(SUBSTITUTE(SUBSTITUTE(SUBSTITUTE(SUBSTITUTE(SUBSTITUTE(SUBSTITUTE(SUBSTITUTE(SUBSTITUTE(NOTA[[#This Row],[NAMA BARANG]]," ",),".",""),"-",""),"(",""),")",""),",",""),"/",""),"""",""),"+",""))</f>
        <v>geltizoretrc05tg690</v>
      </c>
      <c r="AQ1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geltizoretrc05tg6902952000</v>
      </c>
      <c r="AR1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geltizoretrc05tg6902952000</v>
      </c>
      <c r="AS1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3" s="25"/>
      <c r="AU193" s="25">
        <f>IF(NOTA[[#This Row],[CONCAT1]]="","",MATCH(NOTA[[#This Row],[CONCAT1]],[3]!db[NB NOTA_C],0))</f>
        <v>1250</v>
      </c>
      <c r="AV193" s="25" t="str">
        <f>IF(NOTA[[#This Row],[QTY/ CTN]]="","",TRUE)</f>
        <v/>
      </c>
      <c r="AW193" s="25" t="str">
        <f ca="1">IF(NOTA[[#This Row],[ID_H]]="","",IF(NOTA[[#This Row],[Column3]]=TRUE,NOTA[[#This Row],[QTY/ CTN]],INDEX([3]!db[QTY/ CTN],NOTA[[#This Row],[//DB]])))</f>
        <v>72 LSN</v>
      </c>
      <c r="AX1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geltizoretrc05tg69072lsnuntana</v>
      </c>
      <c r="AY193" s="25">
        <f ca="1">IF(NOTA[[#This Row],[ID_H]]="","",MATCH(NOTA[[#This Row],[NB NOTA_C_QTY]],[3]!db[NB NOTA_C_QTY+F],0))</f>
        <v>1250</v>
      </c>
      <c r="AZ193" s="38">
        <f ca="1">IF(NOTA[[#This Row],[NB NOTA_C_QTY]]="","",ROW()-2)</f>
        <v>191</v>
      </c>
    </row>
    <row r="194" spans="1:52" ht="20.100000000000001" customHeight="1">
      <c r="A1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4" s="25">
        <f ca="1">IF(NOTA[[#This Row],[NAMA BARANG]]="","",INDEX(NOTA[ID],MATCH(,INDIRECT(ADDRESS(ROW(NOTA[ID]),COLUMN(NOTA[ID]))&amp;":"&amp;ADDRESS(ROW(),COLUMN(NOTA[ID]))),-1)))</f>
        <v>39</v>
      </c>
      <c r="E194" s="33"/>
      <c r="H194" s="34"/>
      <c r="L194" s="25" t="s">
        <v>410</v>
      </c>
      <c r="M194" s="27">
        <v>1</v>
      </c>
      <c r="N194" s="25">
        <v>72</v>
      </c>
      <c r="O194" s="25" t="s">
        <v>110</v>
      </c>
      <c r="P194" s="28">
        <v>43500</v>
      </c>
      <c r="Q194" s="29"/>
      <c r="R194" s="35"/>
      <c r="S194" s="36"/>
      <c r="V194" s="37"/>
      <c r="W194" s="32"/>
      <c r="X194" s="37">
        <f>IF(NOTA[[#This Row],[HARGA/ CTN]]="",NOTA[[#This Row],[JUMLAH_H]],NOTA[[#This Row],[HARGA/ CTN]]*IF(NOTA[[#This Row],[C]]="",0,NOTA[[#This Row],[C]]))</f>
        <v>3132000</v>
      </c>
      <c r="Y194" s="37">
        <f>IF(NOTA[[#This Row],[JUMLAH]]="","",NOTA[[#This Row],[JUMLAH]]*NOTA[[#This Row],[DISC 1]])</f>
        <v>0</v>
      </c>
      <c r="Z194" s="37">
        <f>IF(NOTA[[#This Row],[JUMLAH]]="","",(NOTA[[#This Row],[JUMLAH]]-NOTA[[#This Row],[DISC 1-]])*NOTA[[#This Row],[DISC 2]])</f>
        <v>0</v>
      </c>
      <c r="AA194" s="37">
        <f>IF(NOTA[[#This Row],[JUMLAH]]="","",(NOTA[[#This Row],[JUMLAH]]-NOTA[[#This Row],[DISC 1-]]-NOTA[[#This Row],[DISC 2-]])*NOTA[[#This Row],[DISC 3]])</f>
        <v>0</v>
      </c>
      <c r="AB194" s="37">
        <f>IF(NOTA[[#This Row],[JUMLAH]]="","",NOTA[[#This Row],[DISC 1-]]+NOTA[[#This Row],[DISC 2-]]+NOTA[[#This Row],[DISC 3-]])</f>
        <v>0</v>
      </c>
      <c r="AC194" s="37">
        <f>IF(NOTA[[#This Row],[JUMLAH]]="","",NOTA[[#This Row],[JUMLAH]]-NOTA[[#This Row],[DISC]])</f>
        <v>3132000</v>
      </c>
      <c r="AD194" s="37"/>
      <c r="AE1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4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194" s="37">
        <f>IF(OR(NOTA[[#This Row],[QTY]]="",NOTA[[#This Row],[HARGA SATUAN]]="",),"",NOTA[[#This Row],[QTY]]*NOTA[[#This Row],[HARGA SATUAN]])</f>
        <v>3132000</v>
      </c>
      <c r="AI194" s="26">
        <f ca="1">IF(NOTA[[#This Row],[ID_H]]="","",INDEX(NOTA[TANGGAL],MATCH(,INDIRECT(ADDRESS(ROW(NOTA[TANGGAL]),COLUMN(NOTA[TANGGAL]))&amp;":"&amp;ADDRESS(ROW(),COLUMN(NOTA[TANGGAL]))),-1)))</f>
        <v>45461</v>
      </c>
      <c r="AJ194" s="26">
        <f ca="1">IF(NOTA[[#This Row],[ID_H]]="","",INDEX(NOTA[TGL.NOTA],MATCH(,INDIRECT(ADDRESS(ROW(NOTA[TGL.NOTA]),COLUMN(NOTA[TGL.NOTA]))&amp;":"&amp;ADDRESS(ROW(),COLUMN(NOTA[TGL.NOTA]))),-1)))</f>
        <v>45456</v>
      </c>
      <c r="AK194" s="26" t="str">
        <f ca="1">IF(NOTA[[#This Row],[ID_H]]="","",INDEX(NOTA[NO.NOTA],MATCH(NOTA[[#This Row],[ID_H]],NOTA[ID_H],0)))</f>
        <v>JUF308/24</v>
      </c>
      <c r="AL194" s="28" t="str">
        <f ca="1">IF(NOTA[[#This Row],[NAMA BARANG]]="","",INDEX(NOTA[SUPPLIER],MATCH(,INDIRECT(ADDRESS(ROW(NOTA[ID]),COLUMN(NOTA[ID]))&amp;":"&amp;ADDRESS(ROW(),COLUMN(NOTA[ID]))),-1)))</f>
        <v>DB STATIONERY</v>
      </c>
      <c r="AM194" s="28" t="str">
        <f ca="1">IF(NOTA[[#This Row],[ID_H]]="","",IF(NOTA[[#This Row],[FAKTUR]]="",INDIRECT(ADDRESS(ROW()-1,COLUMN())),NOTA[[#This Row],[FAKTUR]]))</f>
        <v>UNTANA</v>
      </c>
      <c r="AN194" s="25" t="str">
        <f ca="1">IF(NOTA[[#This Row],[ID]]="","",COUNTIF(NOTA[ID_H],NOTA[[#This Row],[ID_H]]))</f>
        <v/>
      </c>
      <c r="AO194" s="25">
        <f ca="1">IF(NOTA[[#This Row],[TGL.NOTA]]="",IF(NOTA[[#This Row],[SUPPLIER_H]]="","",AO193),MONTH(NOTA[[#This Row],[TGL.NOTA]]))</f>
        <v>6</v>
      </c>
      <c r="AP194" s="25" t="str">
        <f>LOWER(SUBSTITUTE(SUBSTITUTE(SUBSTITUTE(SUBSTITUTE(SUBSTITUTE(SUBSTITUTE(SUBSTITUTE(SUBSTITUTE(SUBSTITUTE(NOTA[[#This Row],[NAMA BARANG]]," ",),".",""),"-",""),"(",""),")",""),",",""),"/",""),"""",""),"+",""))</f>
        <v>geltizo10tg630a</v>
      </c>
      <c r="AQ1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geltizo10tg630a3132000</v>
      </c>
      <c r="AR1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geltizo10tg630a3132000</v>
      </c>
      <c r="AS1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4" s="25"/>
      <c r="AU194" s="25">
        <f>IF(NOTA[[#This Row],[CONCAT1]]="","",MATCH(NOTA[[#This Row],[CONCAT1]],[3]!db[NB NOTA_C],0))</f>
        <v>1252</v>
      </c>
      <c r="AV194" s="25" t="str">
        <f>IF(NOTA[[#This Row],[QTY/ CTN]]="","",TRUE)</f>
        <v/>
      </c>
      <c r="AW194" s="25" t="str">
        <f ca="1">IF(NOTA[[#This Row],[ID_H]]="","",IF(NOTA[[#This Row],[Column3]]=TRUE,NOTA[[#This Row],[QTY/ CTN]],INDEX([3]!db[QTY/ CTN],NOTA[[#This Row],[//DB]])))</f>
        <v>72 LSN</v>
      </c>
      <c r="AX1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geltizo10tg630a72lsnuntana</v>
      </c>
      <c r="AY194" s="25">
        <f ca="1">IF(NOTA[[#This Row],[ID_H]]="","",MATCH(NOTA[[#This Row],[NB NOTA_C_QTY]],[3]!db[NB NOTA_C_QTY+F],0))</f>
        <v>1252</v>
      </c>
      <c r="AZ194" s="38">
        <f ca="1">IF(NOTA[[#This Row],[NB NOTA_C_QTY]]="","",ROW()-2)</f>
        <v>192</v>
      </c>
    </row>
    <row r="195" spans="1:52" ht="20.100000000000001" customHeight="1">
      <c r="A1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5" s="25">
        <f ca="1">IF(NOTA[[#This Row],[NAMA BARANG]]="","",INDEX(NOTA[ID],MATCH(,INDIRECT(ADDRESS(ROW(NOTA[ID]),COLUMN(NOTA[ID]))&amp;":"&amp;ADDRESS(ROW(),COLUMN(NOTA[ID]))),-1)))</f>
        <v>39</v>
      </c>
      <c r="E195" s="33"/>
      <c r="H195" s="34"/>
      <c r="L195" s="25" t="s">
        <v>411</v>
      </c>
      <c r="M195" s="27">
        <v>2</v>
      </c>
      <c r="N195" s="25">
        <v>288</v>
      </c>
      <c r="O195" s="25" t="s">
        <v>110</v>
      </c>
      <c r="P195" s="28">
        <v>29500</v>
      </c>
      <c r="Q195" s="29"/>
      <c r="R195" s="35"/>
      <c r="S195" s="36"/>
      <c r="V195" s="37"/>
      <c r="W195" s="32"/>
      <c r="X195" s="37">
        <f>IF(NOTA[[#This Row],[HARGA/ CTN]]="",NOTA[[#This Row],[JUMLAH_H]],NOTA[[#This Row],[HARGA/ CTN]]*IF(NOTA[[#This Row],[C]]="",0,NOTA[[#This Row],[C]]))</f>
        <v>8496000</v>
      </c>
      <c r="Y195" s="37">
        <f>IF(NOTA[[#This Row],[JUMLAH]]="","",NOTA[[#This Row],[JUMLAH]]*NOTA[[#This Row],[DISC 1]])</f>
        <v>0</v>
      </c>
      <c r="Z195" s="37">
        <f>IF(NOTA[[#This Row],[JUMLAH]]="","",(NOTA[[#This Row],[JUMLAH]]-NOTA[[#This Row],[DISC 1-]])*NOTA[[#This Row],[DISC 2]])</f>
        <v>0</v>
      </c>
      <c r="AA195" s="37">
        <f>IF(NOTA[[#This Row],[JUMLAH]]="","",(NOTA[[#This Row],[JUMLAH]]-NOTA[[#This Row],[DISC 1-]]-NOTA[[#This Row],[DISC 2-]])*NOTA[[#This Row],[DISC 3]])</f>
        <v>0</v>
      </c>
      <c r="AB195" s="37">
        <f>IF(NOTA[[#This Row],[JUMLAH]]="","",NOTA[[#This Row],[DISC 1-]]+NOTA[[#This Row],[DISC 2-]]+NOTA[[#This Row],[DISC 3-]])</f>
        <v>0</v>
      </c>
      <c r="AC195" s="37">
        <f>IF(NOTA[[#This Row],[JUMLAH]]="","",NOTA[[#This Row],[JUMLAH]]-NOTA[[#This Row],[DISC]])</f>
        <v>8496000</v>
      </c>
      <c r="AD195" s="37"/>
      <c r="AE1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5" s="28">
        <f>IF(NOTA[[#This Row],[NAMA BARANG]]="","",IF(NOTA[[#This Row],[JUMLAH_H]]="",NOTA[[#This Row],[HARGA/ CTN]],NOTA[[#This Row],[QTY]]*NOTA[[#This Row],[HARGA SATUAN]]/IF(ISNUMBER(NOTA[[#This Row],[C]]),NOTA[[#This Row],[C]],1)))</f>
        <v>4248000</v>
      </c>
      <c r="AH195" s="37">
        <f>IF(OR(NOTA[[#This Row],[QTY]]="",NOTA[[#This Row],[HARGA SATUAN]]="",),"",NOTA[[#This Row],[QTY]]*NOTA[[#This Row],[HARGA SATUAN]])</f>
        <v>8496000</v>
      </c>
      <c r="AI195" s="26">
        <f ca="1">IF(NOTA[[#This Row],[ID_H]]="","",INDEX(NOTA[TANGGAL],MATCH(,INDIRECT(ADDRESS(ROW(NOTA[TANGGAL]),COLUMN(NOTA[TANGGAL]))&amp;":"&amp;ADDRESS(ROW(),COLUMN(NOTA[TANGGAL]))),-1)))</f>
        <v>45461</v>
      </c>
      <c r="AJ195" s="26">
        <f ca="1">IF(NOTA[[#This Row],[ID_H]]="","",INDEX(NOTA[TGL.NOTA],MATCH(,INDIRECT(ADDRESS(ROW(NOTA[TGL.NOTA]),COLUMN(NOTA[TGL.NOTA]))&amp;":"&amp;ADDRESS(ROW(),COLUMN(NOTA[TGL.NOTA]))),-1)))</f>
        <v>45456</v>
      </c>
      <c r="AK195" s="26" t="str">
        <f ca="1">IF(NOTA[[#This Row],[ID_H]]="","",INDEX(NOTA[NO.NOTA],MATCH(NOTA[[#This Row],[ID_H]],NOTA[ID_H],0)))</f>
        <v>JUF308/24</v>
      </c>
      <c r="AL195" s="28" t="str">
        <f ca="1">IF(NOTA[[#This Row],[NAMA BARANG]]="","",INDEX(NOTA[SUPPLIER],MATCH(,INDIRECT(ADDRESS(ROW(NOTA[ID]),COLUMN(NOTA[ID]))&amp;":"&amp;ADDRESS(ROW(),COLUMN(NOTA[ID]))),-1)))</f>
        <v>DB STATIONERY</v>
      </c>
      <c r="AM195" s="28" t="str">
        <f ca="1">IF(NOTA[[#This Row],[ID_H]]="","",IF(NOTA[[#This Row],[FAKTUR]]="",INDIRECT(ADDRESS(ROW()-1,COLUMN())),NOTA[[#This Row],[FAKTUR]]))</f>
        <v>UNTANA</v>
      </c>
      <c r="AN195" s="25" t="str">
        <f ca="1">IF(NOTA[[#This Row],[ID]]="","",COUNTIF(NOTA[ID_H],NOTA[[#This Row],[ID_H]]))</f>
        <v/>
      </c>
      <c r="AO195" s="25">
        <f ca="1">IF(NOTA[[#This Row],[TGL.NOTA]]="",IF(NOTA[[#This Row],[SUPPLIER_H]]="","",AO194),MONTH(NOTA[[#This Row],[TGL.NOTA]]))</f>
        <v>6</v>
      </c>
      <c r="AP195" s="25" t="str">
        <f>LOWER(SUBSTITUTE(SUBSTITUTE(SUBSTITUTE(SUBSTITUTE(SUBSTITUTE(SUBSTITUTE(SUBSTITUTE(SUBSTITUTE(SUBSTITUTE(NOTA[[#This Row],[NAMA BARANG]]," ",),".",""),"-",""),"(",""),")",""),",",""),"/",""),"""",""),"+",""))</f>
        <v>geltizotg31060</v>
      </c>
      <c r="AQ1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geltizotg310604248000</v>
      </c>
      <c r="AR1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geltizotg310604248000</v>
      </c>
      <c r="AS1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5" s="25"/>
      <c r="AU195" s="25">
        <f>IF(NOTA[[#This Row],[CONCAT1]]="","",MATCH(NOTA[[#This Row],[CONCAT1]],[3]!db[NB NOTA_C],0))</f>
        <v>1258</v>
      </c>
      <c r="AV195" s="25" t="str">
        <f>IF(NOTA[[#This Row],[QTY/ CTN]]="","",TRUE)</f>
        <v/>
      </c>
      <c r="AW195" s="25" t="str">
        <f ca="1">IF(NOTA[[#This Row],[ID_H]]="","",IF(NOTA[[#This Row],[Column3]]=TRUE,NOTA[[#This Row],[QTY/ CTN]],INDEX([3]!db[QTY/ CTN],NOTA[[#This Row],[//DB]])))</f>
        <v>144 LSN</v>
      </c>
      <c r="AX1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geltizotg31060144lsnuntana</v>
      </c>
      <c r="AY195" s="25" t="e">
        <f ca="1">IF(NOTA[[#This Row],[ID_H]]="","",MATCH(NOTA[[#This Row],[NB NOTA_C_QTY]],[3]!db[NB NOTA_C_QTY+F],0))</f>
        <v>#N/A</v>
      </c>
      <c r="AZ195" s="38">
        <f ca="1">IF(NOTA[[#This Row],[NB NOTA_C_QTY]]="","",ROW()-2)</f>
        <v>193</v>
      </c>
    </row>
    <row r="196" spans="1:52" ht="20.100000000000001" customHeight="1">
      <c r="A1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6" s="25">
        <f ca="1">IF(NOTA[[#This Row],[NAMA BARANG]]="","",INDEX(NOTA[ID],MATCH(,INDIRECT(ADDRESS(ROW(NOTA[ID]),COLUMN(NOTA[ID]))&amp;":"&amp;ADDRESS(ROW(),COLUMN(NOTA[ID]))),-1)))</f>
        <v>39</v>
      </c>
      <c r="E196" s="33"/>
      <c r="H196" s="34"/>
      <c r="L196" s="25" t="s">
        <v>412</v>
      </c>
      <c r="M196" s="27">
        <v>2</v>
      </c>
      <c r="N196" s="25">
        <v>288</v>
      </c>
      <c r="O196" s="25" t="s">
        <v>110</v>
      </c>
      <c r="P196" s="28">
        <v>10000</v>
      </c>
      <c r="Q196" s="29"/>
      <c r="R196" s="35"/>
      <c r="S196" s="36"/>
      <c r="V196" s="37"/>
      <c r="W196" s="32"/>
      <c r="X196" s="37">
        <f>IF(NOTA[[#This Row],[HARGA/ CTN]]="",NOTA[[#This Row],[JUMLAH_H]],NOTA[[#This Row],[HARGA/ CTN]]*IF(NOTA[[#This Row],[C]]="",0,NOTA[[#This Row],[C]]))</f>
        <v>2880000</v>
      </c>
      <c r="Y196" s="37">
        <f>IF(NOTA[[#This Row],[JUMLAH]]="","",NOTA[[#This Row],[JUMLAH]]*NOTA[[#This Row],[DISC 1]])</f>
        <v>0</v>
      </c>
      <c r="Z196" s="37">
        <f>IF(NOTA[[#This Row],[JUMLAH]]="","",(NOTA[[#This Row],[JUMLAH]]-NOTA[[#This Row],[DISC 1-]])*NOTA[[#This Row],[DISC 2]])</f>
        <v>0</v>
      </c>
      <c r="AA196" s="37">
        <f>IF(NOTA[[#This Row],[JUMLAH]]="","",(NOTA[[#This Row],[JUMLAH]]-NOTA[[#This Row],[DISC 1-]]-NOTA[[#This Row],[DISC 2-]])*NOTA[[#This Row],[DISC 3]])</f>
        <v>0</v>
      </c>
      <c r="AB196" s="37">
        <f>IF(NOTA[[#This Row],[JUMLAH]]="","",NOTA[[#This Row],[DISC 1-]]+NOTA[[#This Row],[DISC 2-]]+NOTA[[#This Row],[DISC 3-]])</f>
        <v>0</v>
      </c>
      <c r="AC196" s="37">
        <f>IF(NOTA[[#This Row],[JUMLAH]]="","",NOTA[[#This Row],[JUMLAH]]-NOTA[[#This Row],[DISC]])</f>
        <v>2880000</v>
      </c>
      <c r="AD196" s="37"/>
      <c r="AE1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6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196" s="37">
        <f>IF(OR(NOTA[[#This Row],[QTY]]="",NOTA[[#This Row],[HARGA SATUAN]]="",),"",NOTA[[#This Row],[QTY]]*NOTA[[#This Row],[HARGA SATUAN]])</f>
        <v>2880000</v>
      </c>
      <c r="AI196" s="26">
        <f ca="1">IF(NOTA[[#This Row],[ID_H]]="","",INDEX(NOTA[TANGGAL],MATCH(,INDIRECT(ADDRESS(ROW(NOTA[TANGGAL]),COLUMN(NOTA[TANGGAL]))&amp;":"&amp;ADDRESS(ROW(),COLUMN(NOTA[TANGGAL]))),-1)))</f>
        <v>45461</v>
      </c>
      <c r="AJ196" s="26">
        <f ca="1">IF(NOTA[[#This Row],[ID_H]]="","",INDEX(NOTA[TGL.NOTA],MATCH(,INDIRECT(ADDRESS(ROW(NOTA[TGL.NOTA]),COLUMN(NOTA[TGL.NOTA]))&amp;":"&amp;ADDRESS(ROW(),COLUMN(NOTA[TGL.NOTA]))),-1)))</f>
        <v>45456</v>
      </c>
      <c r="AK196" s="26" t="str">
        <f ca="1">IF(NOTA[[#This Row],[ID_H]]="","",INDEX(NOTA[NO.NOTA],MATCH(NOTA[[#This Row],[ID_H]],NOTA[ID_H],0)))</f>
        <v>JUF308/24</v>
      </c>
      <c r="AL196" s="28" t="str">
        <f ca="1">IF(NOTA[[#This Row],[NAMA BARANG]]="","",INDEX(NOTA[SUPPLIER],MATCH(,INDIRECT(ADDRESS(ROW(NOTA[ID]),COLUMN(NOTA[ID]))&amp;":"&amp;ADDRESS(ROW(),COLUMN(NOTA[ID]))),-1)))</f>
        <v>DB STATIONERY</v>
      </c>
      <c r="AM196" s="28" t="str">
        <f ca="1">IF(NOTA[[#This Row],[ID_H]]="","",IF(NOTA[[#This Row],[FAKTUR]]="",INDIRECT(ADDRESS(ROW()-1,COLUMN())),NOTA[[#This Row],[FAKTUR]]))</f>
        <v>UNTANA</v>
      </c>
      <c r="AN196" s="25" t="str">
        <f ca="1">IF(NOTA[[#This Row],[ID]]="","",COUNTIF(NOTA[ID_H],NOTA[[#This Row],[ID_H]]))</f>
        <v/>
      </c>
      <c r="AO196" s="25">
        <f ca="1">IF(NOTA[[#This Row],[TGL.NOTA]]="",IF(NOTA[[#This Row],[SUPPLIER_H]]="","",AO195),MONTH(NOTA[[#This Row],[TGL.NOTA]]))</f>
        <v>6</v>
      </c>
      <c r="AP196" s="25" t="str">
        <f>LOWER(SUBSTITUTE(SUBSTITUTE(SUBSTITUTE(SUBSTITUTE(SUBSTITUTE(SUBSTITUTE(SUBSTITUTE(SUBSTITUTE(SUBSTITUTE(NOTA[[#This Row],[NAMA BARANG]]," ",),".",""),"-",""),"(",""),")",""),",",""),"/",""),"""",""),"+",""))</f>
        <v>semigeltizotbsg09</v>
      </c>
      <c r="AQ1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semigeltizotbsg091440000</v>
      </c>
      <c r="AR1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semigeltizotbsg091440000</v>
      </c>
      <c r="AS1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6" s="25"/>
      <c r="AU196" s="25">
        <f>IF(NOTA[[#This Row],[CONCAT1]]="","",MATCH(NOTA[[#This Row],[CONCAT1]],[3]!db[NB NOTA_C],0))</f>
        <v>2867</v>
      </c>
      <c r="AV196" s="25" t="str">
        <f>IF(NOTA[[#This Row],[QTY/ CTN]]="","",TRUE)</f>
        <v/>
      </c>
      <c r="AW196" s="25" t="str">
        <f ca="1">IF(NOTA[[#This Row],[ID_H]]="","",IF(NOTA[[#This Row],[Column3]]=TRUE,NOTA[[#This Row],[QTY/ CTN]],INDEX([3]!db[QTY/ CTN],NOTA[[#This Row],[//DB]])))</f>
        <v>144 LSN</v>
      </c>
      <c r="AX1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semigeltizotbsg09144lsnuntana</v>
      </c>
      <c r="AY196" s="25">
        <f ca="1">IF(NOTA[[#This Row],[ID_H]]="","",MATCH(NOTA[[#This Row],[NB NOTA_C_QTY]],[3]!db[NB NOTA_C_QTY+F],0))</f>
        <v>2867</v>
      </c>
      <c r="AZ196" s="38">
        <f ca="1">IF(NOTA[[#This Row],[NB NOTA_C_QTY]]="","",ROW()-2)</f>
        <v>194</v>
      </c>
    </row>
    <row r="197" spans="1:52" ht="20.100000000000001" customHeight="1">
      <c r="A1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7" s="25">
        <f ca="1">IF(NOTA[[#This Row],[NAMA BARANG]]="","",INDEX(NOTA[ID],MATCH(,INDIRECT(ADDRESS(ROW(NOTA[ID]),COLUMN(NOTA[ID]))&amp;":"&amp;ADDRESS(ROW(),COLUMN(NOTA[ID]))),-1)))</f>
        <v>39</v>
      </c>
      <c r="E197" s="33"/>
      <c r="H197" s="34"/>
      <c r="L197" s="25" t="s">
        <v>422</v>
      </c>
      <c r="M197" s="27">
        <v>2</v>
      </c>
      <c r="N197" s="25">
        <v>192</v>
      </c>
      <c r="O197" s="25" t="s">
        <v>110</v>
      </c>
      <c r="P197" s="28">
        <v>37500</v>
      </c>
      <c r="Q197" s="29"/>
      <c r="R197" s="35"/>
      <c r="S197" s="36"/>
      <c r="V197" s="37"/>
      <c r="W197" s="32"/>
      <c r="X197" s="37">
        <f>IF(NOTA[[#This Row],[HARGA/ CTN]]="",NOTA[[#This Row],[JUMLAH_H]],NOTA[[#This Row],[HARGA/ CTN]]*IF(NOTA[[#This Row],[C]]="",0,NOTA[[#This Row],[C]]))</f>
        <v>7200000</v>
      </c>
      <c r="Y197" s="37">
        <f>IF(NOTA[[#This Row],[JUMLAH]]="","",NOTA[[#This Row],[JUMLAH]]*NOTA[[#This Row],[DISC 1]])</f>
        <v>0</v>
      </c>
      <c r="Z197" s="37">
        <f>IF(NOTA[[#This Row],[JUMLAH]]="","",(NOTA[[#This Row],[JUMLAH]]-NOTA[[#This Row],[DISC 1-]])*NOTA[[#This Row],[DISC 2]])</f>
        <v>0</v>
      </c>
      <c r="AA197" s="37">
        <f>IF(NOTA[[#This Row],[JUMLAH]]="","",(NOTA[[#This Row],[JUMLAH]]-NOTA[[#This Row],[DISC 1-]]-NOTA[[#This Row],[DISC 2-]])*NOTA[[#This Row],[DISC 3]])</f>
        <v>0</v>
      </c>
      <c r="AB197" s="37">
        <f>IF(NOTA[[#This Row],[JUMLAH]]="","",NOTA[[#This Row],[DISC 1-]]+NOTA[[#This Row],[DISC 2-]]+NOTA[[#This Row],[DISC 3-]])</f>
        <v>0</v>
      </c>
      <c r="AC197" s="37">
        <f>IF(NOTA[[#This Row],[JUMLAH]]="","",NOTA[[#This Row],[JUMLAH]]-NOTA[[#This Row],[DISC]])</f>
        <v>7200000</v>
      </c>
      <c r="AD197" s="37"/>
      <c r="AE1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7" s="28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H197" s="37">
        <f>IF(OR(NOTA[[#This Row],[QTY]]="",NOTA[[#This Row],[HARGA SATUAN]]="",),"",NOTA[[#This Row],[QTY]]*NOTA[[#This Row],[HARGA SATUAN]])</f>
        <v>7200000</v>
      </c>
      <c r="AI197" s="26">
        <f ca="1">IF(NOTA[[#This Row],[ID_H]]="","",INDEX(NOTA[TANGGAL],MATCH(,INDIRECT(ADDRESS(ROW(NOTA[TANGGAL]),COLUMN(NOTA[TANGGAL]))&amp;":"&amp;ADDRESS(ROW(),COLUMN(NOTA[TANGGAL]))),-1)))</f>
        <v>45461</v>
      </c>
      <c r="AJ197" s="26">
        <f ca="1">IF(NOTA[[#This Row],[ID_H]]="","",INDEX(NOTA[TGL.NOTA],MATCH(,INDIRECT(ADDRESS(ROW(NOTA[TGL.NOTA]),COLUMN(NOTA[TGL.NOTA]))&amp;":"&amp;ADDRESS(ROW(),COLUMN(NOTA[TGL.NOTA]))),-1)))</f>
        <v>45456</v>
      </c>
      <c r="AK197" s="26" t="str">
        <f ca="1">IF(NOTA[[#This Row],[ID_H]]="","",INDEX(NOTA[NO.NOTA],MATCH(NOTA[[#This Row],[ID_H]],NOTA[ID_H],0)))</f>
        <v>JUF308/24</v>
      </c>
      <c r="AL197" s="28" t="str">
        <f ca="1">IF(NOTA[[#This Row],[NAMA BARANG]]="","",INDEX(NOTA[SUPPLIER],MATCH(,INDIRECT(ADDRESS(ROW(NOTA[ID]),COLUMN(NOTA[ID]))&amp;":"&amp;ADDRESS(ROW(),COLUMN(NOTA[ID]))),-1)))</f>
        <v>DB STATIONERY</v>
      </c>
      <c r="AM197" s="28" t="str">
        <f ca="1">IF(NOTA[[#This Row],[ID_H]]="","",IF(NOTA[[#This Row],[FAKTUR]]="",INDIRECT(ADDRESS(ROW()-1,COLUMN())),NOTA[[#This Row],[FAKTUR]]))</f>
        <v>UNTANA</v>
      </c>
      <c r="AN197" s="25" t="str">
        <f ca="1">IF(NOTA[[#This Row],[ID]]="","",COUNTIF(NOTA[ID_H],NOTA[[#This Row],[ID_H]]))</f>
        <v/>
      </c>
      <c r="AO197" s="25">
        <f ca="1">IF(NOTA[[#This Row],[TGL.NOTA]]="",IF(NOTA[[#This Row],[SUPPLIER_H]]="","",AO196),MONTH(NOTA[[#This Row],[TGL.NOTA]]))</f>
        <v>6</v>
      </c>
      <c r="AP197" s="25" t="str">
        <f>LOWER(SUBSTITUTE(SUBSTITUTE(SUBSTITUTE(SUBSTITUTE(SUBSTITUTE(SUBSTITUTE(SUBSTITUTE(SUBSTITUTE(SUBSTITUTE(NOTA[[#This Row],[NAMA BARANG]]," ",),".",""),"-",""),"(",""),")",""),",",""),"/",""),"""",""),"+",""))</f>
        <v>gelpenweiyadae681</v>
      </c>
      <c r="AQ1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gelpenweiyadae6813600000</v>
      </c>
      <c r="AR1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gelpenweiyadae6813600000</v>
      </c>
      <c r="AS1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7" s="25"/>
      <c r="AU197" s="25">
        <f>IF(NOTA[[#This Row],[CONCAT1]]="","",MATCH(NOTA[[#This Row],[CONCAT1]],[3]!db[NB NOTA_C],0))</f>
        <v>1133</v>
      </c>
      <c r="AV197" s="25" t="str">
        <f>IF(NOTA[[#This Row],[QTY/ CTN]]="","",TRUE)</f>
        <v/>
      </c>
      <c r="AW197" s="25" t="str">
        <f ca="1">IF(NOTA[[#This Row],[ID_H]]="","",IF(NOTA[[#This Row],[Column3]]=TRUE,NOTA[[#This Row],[QTY/ CTN]],INDEX([3]!db[QTY/ CTN],NOTA[[#This Row],[//DB]])))</f>
        <v>96 LSN</v>
      </c>
      <c r="AX1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gelpenweiyadae68196lsnuntana</v>
      </c>
      <c r="AY197" s="25">
        <f ca="1">IF(NOTA[[#This Row],[ID_H]]="","",MATCH(NOTA[[#This Row],[NB NOTA_C_QTY]],[3]!db[NB NOTA_C_QTY+F],0))</f>
        <v>1133</v>
      </c>
      <c r="AZ197" s="38">
        <f ca="1">IF(NOTA[[#This Row],[NB NOTA_C_QTY]]="","",ROW()-2)</f>
        <v>195</v>
      </c>
    </row>
    <row r="198" spans="1:52" ht="20.100000000000001" customHeight="1">
      <c r="A1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8" s="25">
        <f ca="1">IF(NOTA[[#This Row],[NAMA BARANG]]="","",INDEX(NOTA[ID],MATCH(,INDIRECT(ADDRESS(ROW(NOTA[ID]),COLUMN(NOTA[ID]))&amp;":"&amp;ADDRESS(ROW(),COLUMN(NOTA[ID]))),-1)))</f>
        <v>39</v>
      </c>
      <c r="E198" s="33"/>
      <c r="H198" s="34"/>
      <c r="L198" s="25" t="s">
        <v>413</v>
      </c>
      <c r="M198" s="27">
        <v>5</v>
      </c>
      <c r="N198" s="25">
        <v>480</v>
      </c>
      <c r="O198" s="25" t="s">
        <v>110</v>
      </c>
      <c r="P198" s="28">
        <v>29000</v>
      </c>
      <c r="Q198" s="29"/>
      <c r="R198" s="35"/>
      <c r="S198" s="36"/>
      <c r="V198" s="37"/>
      <c r="W198" s="32"/>
      <c r="X198" s="37">
        <f>IF(NOTA[[#This Row],[HARGA/ CTN]]="",NOTA[[#This Row],[JUMLAH_H]],NOTA[[#This Row],[HARGA/ CTN]]*IF(NOTA[[#This Row],[C]]="",0,NOTA[[#This Row],[C]]))</f>
        <v>13920000</v>
      </c>
      <c r="Y198" s="37">
        <f>IF(NOTA[[#This Row],[JUMLAH]]="","",NOTA[[#This Row],[JUMLAH]]*NOTA[[#This Row],[DISC 1]])</f>
        <v>0</v>
      </c>
      <c r="Z198" s="37">
        <f>IF(NOTA[[#This Row],[JUMLAH]]="","",(NOTA[[#This Row],[JUMLAH]]-NOTA[[#This Row],[DISC 1-]])*NOTA[[#This Row],[DISC 2]])</f>
        <v>0</v>
      </c>
      <c r="AA198" s="37">
        <f>IF(NOTA[[#This Row],[JUMLAH]]="","",(NOTA[[#This Row],[JUMLAH]]-NOTA[[#This Row],[DISC 1-]]-NOTA[[#This Row],[DISC 2-]])*NOTA[[#This Row],[DISC 3]])</f>
        <v>0</v>
      </c>
      <c r="AB198" s="37">
        <f>IF(NOTA[[#This Row],[JUMLAH]]="","",NOTA[[#This Row],[DISC 1-]]+NOTA[[#This Row],[DISC 2-]]+NOTA[[#This Row],[DISC 3-]])</f>
        <v>0</v>
      </c>
      <c r="AC198" s="37">
        <f>IF(NOTA[[#This Row],[JUMLAH]]="","",NOTA[[#This Row],[JUMLAH]]-NOTA[[#This Row],[DISC]])</f>
        <v>13920000</v>
      </c>
      <c r="AD198" s="37"/>
      <c r="AE1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8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198" s="37">
        <f>IF(OR(NOTA[[#This Row],[QTY]]="",NOTA[[#This Row],[HARGA SATUAN]]="",),"",NOTA[[#This Row],[QTY]]*NOTA[[#This Row],[HARGA SATUAN]])</f>
        <v>13920000</v>
      </c>
      <c r="AI198" s="26">
        <f ca="1">IF(NOTA[[#This Row],[ID_H]]="","",INDEX(NOTA[TANGGAL],MATCH(,INDIRECT(ADDRESS(ROW(NOTA[TANGGAL]),COLUMN(NOTA[TANGGAL]))&amp;":"&amp;ADDRESS(ROW(),COLUMN(NOTA[TANGGAL]))),-1)))</f>
        <v>45461</v>
      </c>
      <c r="AJ198" s="26">
        <f ca="1">IF(NOTA[[#This Row],[ID_H]]="","",INDEX(NOTA[TGL.NOTA],MATCH(,INDIRECT(ADDRESS(ROW(NOTA[TGL.NOTA]),COLUMN(NOTA[TGL.NOTA]))&amp;":"&amp;ADDRESS(ROW(),COLUMN(NOTA[TGL.NOTA]))),-1)))</f>
        <v>45456</v>
      </c>
      <c r="AK198" s="26" t="str">
        <f ca="1">IF(NOTA[[#This Row],[ID_H]]="","",INDEX(NOTA[NO.NOTA],MATCH(NOTA[[#This Row],[ID_H]],NOTA[ID_H],0)))</f>
        <v>JUF308/24</v>
      </c>
      <c r="AL198" s="28" t="str">
        <f ca="1">IF(NOTA[[#This Row],[NAMA BARANG]]="","",INDEX(NOTA[SUPPLIER],MATCH(,INDIRECT(ADDRESS(ROW(NOTA[ID]),COLUMN(NOTA[ID]))&amp;":"&amp;ADDRESS(ROW(),COLUMN(NOTA[ID]))),-1)))</f>
        <v>DB STATIONERY</v>
      </c>
      <c r="AM198" s="28" t="str">
        <f ca="1">IF(NOTA[[#This Row],[ID_H]]="","",IF(NOTA[[#This Row],[FAKTUR]]="",INDIRECT(ADDRESS(ROW()-1,COLUMN())),NOTA[[#This Row],[FAKTUR]]))</f>
        <v>UNTANA</v>
      </c>
      <c r="AN198" s="25" t="str">
        <f ca="1">IF(NOTA[[#This Row],[ID]]="","",COUNTIF(NOTA[ID_H],NOTA[[#This Row],[ID_H]]))</f>
        <v/>
      </c>
      <c r="AO198" s="25">
        <f ca="1">IF(NOTA[[#This Row],[TGL.NOTA]]="",IF(NOTA[[#This Row],[SUPPLIER_H]]="","",AO197),MONTH(NOTA[[#This Row],[TGL.NOTA]]))</f>
        <v>6</v>
      </c>
      <c r="AP198" s="25" t="str">
        <f>LOWER(SUBSTITUTE(SUBSTITUTE(SUBSTITUTE(SUBSTITUTE(SUBSTITUTE(SUBSTITUTE(SUBSTITUTE(SUBSTITUTE(SUBSTITUTE(NOTA[[#This Row],[NAMA BARANG]]," ",),".",""),"-",""),"(",""),")",""),",",""),"/",""),"""",""),"+",""))</f>
        <v>mekanik20mmtm030b</v>
      </c>
      <c r="AQ1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mekanik20mmtm030b2784000</v>
      </c>
      <c r="AR1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mekanik20mmtm030b2784000</v>
      </c>
      <c r="AS1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8" s="25"/>
      <c r="AU198" s="25">
        <f>IF(NOTA[[#This Row],[CONCAT1]]="","",MATCH(NOTA[[#This Row],[CONCAT1]],[3]!db[NB NOTA_C],0))</f>
        <v>2205</v>
      </c>
      <c r="AV198" s="25" t="str">
        <f>IF(NOTA[[#This Row],[QTY/ CTN]]="","",TRUE)</f>
        <v/>
      </c>
      <c r="AW198" s="25" t="str">
        <f ca="1">IF(NOTA[[#This Row],[ID_H]]="","",IF(NOTA[[#This Row],[Column3]]=TRUE,NOTA[[#This Row],[QTY/ CTN]],INDEX([3]!db[QTY/ CTN],NOTA[[#This Row],[//DB]])))</f>
        <v>96 LSN</v>
      </c>
      <c r="AX1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mekanik20mmtm030b96lsnuntana</v>
      </c>
      <c r="AY198" s="25">
        <f ca="1">IF(NOTA[[#This Row],[ID_H]]="","",MATCH(NOTA[[#This Row],[NB NOTA_C_QTY]],[3]!db[NB NOTA_C_QTY+F],0))</f>
        <v>2205</v>
      </c>
      <c r="AZ198" s="38">
        <f ca="1">IF(NOTA[[#This Row],[NB NOTA_C_QTY]]="","",ROW()-2)</f>
        <v>196</v>
      </c>
    </row>
    <row r="199" spans="1:52" ht="20.100000000000001" customHeight="1">
      <c r="A1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9" s="25">
        <f ca="1">IF(NOTA[[#This Row],[NAMA BARANG]]="","",INDEX(NOTA[ID],MATCH(,INDIRECT(ADDRESS(ROW(NOTA[ID]),COLUMN(NOTA[ID]))&amp;":"&amp;ADDRESS(ROW(),COLUMN(NOTA[ID]))),-1)))</f>
        <v>39</v>
      </c>
      <c r="E199" s="33"/>
      <c r="H199" s="34"/>
      <c r="L199" s="25" t="s">
        <v>414</v>
      </c>
      <c r="M199" s="27">
        <v>2</v>
      </c>
      <c r="N199" s="27">
        <v>192</v>
      </c>
      <c r="O199" s="25" t="s">
        <v>110</v>
      </c>
      <c r="P199" s="25">
        <v>29000</v>
      </c>
      <c r="Q199" s="29"/>
      <c r="R199" s="35"/>
      <c r="S199" s="36"/>
      <c r="V199" s="37"/>
      <c r="W199" s="32"/>
      <c r="X199" s="37">
        <f>IF(NOTA[[#This Row],[HARGA/ CTN]]="",NOTA[[#This Row],[JUMLAH_H]],NOTA[[#This Row],[HARGA/ CTN]]*IF(NOTA[[#This Row],[C]]="",0,NOTA[[#This Row],[C]]))</f>
        <v>5568000</v>
      </c>
      <c r="Y199" s="37">
        <f>IF(NOTA[[#This Row],[JUMLAH]]="","",NOTA[[#This Row],[JUMLAH]]*NOTA[[#This Row],[DISC 1]])</f>
        <v>0</v>
      </c>
      <c r="Z199" s="37">
        <f>IF(NOTA[[#This Row],[JUMLAH]]="","",(NOTA[[#This Row],[JUMLAH]]-NOTA[[#This Row],[DISC 1-]])*NOTA[[#This Row],[DISC 2]])</f>
        <v>0</v>
      </c>
      <c r="AA199" s="37">
        <f>IF(NOTA[[#This Row],[JUMLAH]]="","",(NOTA[[#This Row],[JUMLAH]]-NOTA[[#This Row],[DISC 1-]]-NOTA[[#This Row],[DISC 2-]])*NOTA[[#This Row],[DISC 3]])</f>
        <v>0</v>
      </c>
      <c r="AB199" s="37">
        <f>IF(NOTA[[#This Row],[JUMLAH]]="","",NOTA[[#This Row],[DISC 1-]]+NOTA[[#This Row],[DISC 2-]]+NOTA[[#This Row],[DISC 3-]])</f>
        <v>0</v>
      </c>
      <c r="AC199" s="37">
        <f>IF(NOTA[[#This Row],[JUMLAH]]="","",NOTA[[#This Row],[JUMLAH]]-NOTA[[#This Row],[DISC]])</f>
        <v>5568000</v>
      </c>
      <c r="AD199" s="37"/>
      <c r="AE1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9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199" s="37">
        <f>IF(OR(NOTA[[#This Row],[QTY]]="",NOTA[[#This Row],[HARGA SATUAN]]="",),"",NOTA[[#This Row],[QTY]]*NOTA[[#This Row],[HARGA SATUAN]])</f>
        <v>5568000</v>
      </c>
      <c r="AI199" s="26">
        <f ca="1">IF(NOTA[[#This Row],[ID_H]]="","",INDEX(NOTA[TANGGAL],MATCH(,INDIRECT(ADDRESS(ROW(NOTA[TANGGAL]),COLUMN(NOTA[TANGGAL]))&amp;":"&amp;ADDRESS(ROW(),COLUMN(NOTA[TANGGAL]))),-1)))</f>
        <v>45461</v>
      </c>
      <c r="AJ199" s="26">
        <f ca="1">IF(NOTA[[#This Row],[ID_H]]="","",INDEX(NOTA[TGL.NOTA],MATCH(,INDIRECT(ADDRESS(ROW(NOTA[TGL.NOTA]),COLUMN(NOTA[TGL.NOTA]))&amp;":"&amp;ADDRESS(ROW(),COLUMN(NOTA[TGL.NOTA]))),-1)))</f>
        <v>45456</v>
      </c>
      <c r="AK199" s="26" t="str">
        <f ca="1">IF(NOTA[[#This Row],[ID_H]]="","",INDEX(NOTA[NO.NOTA],MATCH(NOTA[[#This Row],[ID_H]],NOTA[ID_H],0)))</f>
        <v>JUF308/24</v>
      </c>
      <c r="AL199" s="28" t="str">
        <f ca="1">IF(NOTA[[#This Row],[NAMA BARANG]]="","",INDEX(NOTA[SUPPLIER],MATCH(,INDIRECT(ADDRESS(ROW(NOTA[ID]),COLUMN(NOTA[ID]))&amp;":"&amp;ADDRESS(ROW(),COLUMN(NOTA[ID]))),-1)))</f>
        <v>DB STATIONERY</v>
      </c>
      <c r="AM199" s="28" t="str">
        <f ca="1">IF(NOTA[[#This Row],[ID_H]]="","",IF(NOTA[[#This Row],[FAKTUR]]="",INDIRECT(ADDRESS(ROW()-1,COLUMN())),NOTA[[#This Row],[FAKTUR]]))</f>
        <v>UNTANA</v>
      </c>
      <c r="AN199" s="25" t="str">
        <f ca="1">IF(NOTA[[#This Row],[ID]]="","",COUNTIF(NOTA[ID_H],NOTA[[#This Row],[ID_H]]))</f>
        <v/>
      </c>
      <c r="AO199" s="25">
        <f ca="1">IF(NOTA[[#This Row],[TGL.NOTA]]="",IF(NOTA[[#This Row],[SUPPLIER_H]]="","",AO198),MONTH(NOTA[[#This Row],[TGL.NOTA]]))</f>
        <v>6</v>
      </c>
      <c r="AP199" s="25" t="str">
        <f>LOWER(SUBSTITUTE(SUBSTITUTE(SUBSTITUTE(SUBSTITUTE(SUBSTITUTE(SUBSTITUTE(SUBSTITUTE(SUBSTITUTE(SUBSTITUTE(NOTA[[#This Row],[NAMA BARANG]]," ",),".",""),"-",""),"(",""),")",""),",",""),"/",""),"""",""),"+",""))</f>
        <v>mekpensil20tizotm030a2</v>
      </c>
      <c r="AQ1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mekpensil20tizotm030a22784000</v>
      </c>
      <c r="AR1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mekpensil20tizotm030a22784000</v>
      </c>
      <c r="AS1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9" s="25"/>
      <c r="AU199" s="25">
        <f>IF(NOTA[[#This Row],[CONCAT1]]="","",MATCH(NOTA[[#This Row],[CONCAT1]],[3]!db[NB NOTA_C],0))</f>
        <v>2183</v>
      </c>
      <c r="AV199" s="25" t="str">
        <f>IF(NOTA[[#This Row],[QTY/ CTN]]="","",TRUE)</f>
        <v/>
      </c>
      <c r="AW199" s="25" t="str">
        <f ca="1">IF(NOTA[[#This Row],[ID_H]]="","",IF(NOTA[[#This Row],[Column3]]=TRUE,NOTA[[#This Row],[QTY/ CTN]],INDEX([3]!db[QTY/ CTN],NOTA[[#This Row],[//DB]])))</f>
        <v>96 LSN</v>
      </c>
      <c r="AX1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mekpensil20tizotm030a296lsnuntana</v>
      </c>
      <c r="AY199" s="25">
        <f ca="1">IF(NOTA[[#This Row],[ID_H]]="","",MATCH(NOTA[[#This Row],[NB NOTA_C_QTY]],[3]!db[NB NOTA_C_QTY+F],0))</f>
        <v>2183</v>
      </c>
      <c r="AZ199" s="38">
        <f ca="1">IF(NOTA[[#This Row],[NB NOTA_C_QTY]]="","",ROW()-2)</f>
        <v>197</v>
      </c>
    </row>
    <row r="200" spans="1:52" ht="20.100000000000001" customHeight="1">
      <c r="A2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0" s="25">
        <f ca="1">IF(NOTA[[#This Row],[NAMA BARANG]]="","",INDEX(NOTA[ID],MATCH(,INDIRECT(ADDRESS(ROW(NOTA[ID]),COLUMN(NOTA[ID]))&amp;":"&amp;ADDRESS(ROW(),COLUMN(NOTA[ID]))),-1)))</f>
        <v>39</v>
      </c>
      <c r="E200" s="33"/>
      <c r="H200" s="34"/>
      <c r="L200" s="25" t="s">
        <v>415</v>
      </c>
      <c r="M200" s="27">
        <v>2</v>
      </c>
      <c r="N200" s="25">
        <v>192</v>
      </c>
      <c r="O200" s="25" t="s">
        <v>110</v>
      </c>
      <c r="P200" s="28">
        <v>29000</v>
      </c>
      <c r="Q200" s="29"/>
      <c r="R200" s="35"/>
      <c r="S200" s="36"/>
      <c r="V200" s="37"/>
      <c r="W200" s="32"/>
      <c r="X200" s="37">
        <f>IF(NOTA[[#This Row],[HARGA/ CTN]]="",NOTA[[#This Row],[JUMLAH_H]],NOTA[[#This Row],[HARGA/ CTN]]*IF(NOTA[[#This Row],[C]]="",0,NOTA[[#This Row],[C]]))</f>
        <v>5568000</v>
      </c>
      <c r="Y200" s="37">
        <f>IF(NOTA[[#This Row],[JUMLAH]]="","",NOTA[[#This Row],[JUMLAH]]*NOTA[[#This Row],[DISC 1]])</f>
        <v>0</v>
      </c>
      <c r="Z200" s="37">
        <f>IF(NOTA[[#This Row],[JUMLAH]]="","",(NOTA[[#This Row],[JUMLAH]]-NOTA[[#This Row],[DISC 1-]])*NOTA[[#This Row],[DISC 2]])</f>
        <v>0</v>
      </c>
      <c r="AA200" s="37">
        <f>IF(NOTA[[#This Row],[JUMLAH]]="","",(NOTA[[#This Row],[JUMLAH]]-NOTA[[#This Row],[DISC 1-]]-NOTA[[#This Row],[DISC 2-]])*NOTA[[#This Row],[DISC 3]])</f>
        <v>0</v>
      </c>
      <c r="AB200" s="37">
        <f>IF(NOTA[[#This Row],[JUMLAH]]="","",NOTA[[#This Row],[DISC 1-]]+NOTA[[#This Row],[DISC 2-]]+NOTA[[#This Row],[DISC 3-]])</f>
        <v>0</v>
      </c>
      <c r="AC200" s="37">
        <f>IF(NOTA[[#This Row],[JUMLAH]]="","",NOTA[[#This Row],[JUMLAH]]-NOTA[[#This Row],[DISC]])</f>
        <v>5568000</v>
      </c>
      <c r="AD200" s="37"/>
      <c r="AE2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0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200" s="37">
        <f>IF(OR(NOTA[[#This Row],[QTY]]="",NOTA[[#This Row],[HARGA SATUAN]]="",),"",NOTA[[#This Row],[QTY]]*NOTA[[#This Row],[HARGA SATUAN]])</f>
        <v>5568000</v>
      </c>
      <c r="AI200" s="26">
        <f ca="1">IF(NOTA[[#This Row],[ID_H]]="","",INDEX(NOTA[TANGGAL],MATCH(,INDIRECT(ADDRESS(ROW(NOTA[TANGGAL]),COLUMN(NOTA[TANGGAL]))&amp;":"&amp;ADDRESS(ROW(),COLUMN(NOTA[TANGGAL]))),-1)))</f>
        <v>45461</v>
      </c>
      <c r="AJ200" s="26">
        <f ca="1">IF(NOTA[[#This Row],[ID_H]]="","",INDEX(NOTA[TGL.NOTA],MATCH(,INDIRECT(ADDRESS(ROW(NOTA[TGL.NOTA]),COLUMN(NOTA[TGL.NOTA]))&amp;":"&amp;ADDRESS(ROW(),COLUMN(NOTA[TGL.NOTA]))),-1)))</f>
        <v>45456</v>
      </c>
      <c r="AK200" s="26" t="str">
        <f ca="1">IF(NOTA[[#This Row],[ID_H]]="","",INDEX(NOTA[NO.NOTA],MATCH(NOTA[[#This Row],[ID_H]],NOTA[ID_H],0)))</f>
        <v>JUF308/24</v>
      </c>
      <c r="AL200" s="28" t="str">
        <f ca="1">IF(NOTA[[#This Row],[NAMA BARANG]]="","",INDEX(NOTA[SUPPLIER],MATCH(,INDIRECT(ADDRESS(ROW(NOTA[ID]),COLUMN(NOTA[ID]))&amp;":"&amp;ADDRESS(ROW(),COLUMN(NOTA[ID]))),-1)))</f>
        <v>DB STATIONERY</v>
      </c>
      <c r="AM200" s="28" t="str">
        <f ca="1">IF(NOTA[[#This Row],[ID_H]]="","",IF(NOTA[[#This Row],[FAKTUR]]="",INDIRECT(ADDRESS(ROW()-1,COLUMN())),NOTA[[#This Row],[FAKTUR]]))</f>
        <v>UNTANA</v>
      </c>
      <c r="AN200" s="25" t="str">
        <f ca="1">IF(NOTA[[#This Row],[ID]]="","",COUNTIF(NOTA[ID_H],NOTA[[#This Row],[ID_H]]))</f>
        <v/>
      </c>
      <c r="AO200" s="25">
        <f ca="1">IF(NOTA[[#This Row],[TGL.NOTA]]="",IF(NOTA[[#This Row],[SUPPLIER_H]]="","",AO199),MONTH(NOTA[[#This Row],[TGL.NOTA]]))</f>
        <v>6</v>
      </c>
      <c r="AP200" s="25" t="str">
        <f>LOWER(SUBSTITUTE(SUBSTITUTE(SUBSTITUTE(SUBSTITUTE(SUBSTITUTE(SUBSTITUTE(SUBSTITUTE(SUBSTITUTE(SUBSTITUTE(NOTA[[#This Row],[NAMA BARANG]]," ",),".",""),"-",""),"(",""),")",""),",",""),"/",""),"""",""),"+",""))</f>
        <v>mekpensil20tm01800</v>
      </c>
      <c r="AQ2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R2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S2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0" s="25"/>
      <c r="AU200" s="25">
        <f>IF(NOTA[[#This Row],[CONCAT1]]="","",MATCH(NOTA[[#This Row],[CONCAT1]],[3]!db[NB NOTA_C],0))</f>
        <v>2164</v>
      </c>
      <c r="AV200" s="25" t="str">
        <f>IF(NOTA[[#This Row],[QTY/ CTN]]="","",TRUE)</f>
        <v/>
      </c>
      <c r="AW200" s="25" t="str">
        <f ca="1">IF(NOTA[[#This Row],[ID_H]]="","",IF(NOTA[[#This Row],[Column3]]=TRUE,NOTA[[#This Row],[QTY/ CTN]],INDEX([3]!db[QTY/ CTN],NOTA[[#This Row],[//DB]])))</f>
        <v>96 LSN</v>
      </c>
      <c r="AX2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Y200" s="25">
        <f ca="1">IF(NOTA[[#This Row],[ID_H]]="","",MATCH(NOTA[[#This Row],[NB NOTA_C_QTY]],[3]!db[NB NOTA_C_QTY+F],0))</f>
        <v>2164</v>
      </c>
      <c r="AZ200" s="38">
        <f ca="1">IF(NOTA[[#This Row],[NB NOTA_C_QTY]]="","",ROW()-2)</f>
        <v>198</v>
      </c>
    </row>
    <row r="201" spans="1:52" ht="20.100000000000001" customHeight="1">
      <c r="A2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1" s="25">
        <f ca="1">IF(NOTA[[#This Row],[NAMA BARANG]]="","",INDEX(NOTA[ID],MATCH(,INDIRECT(ADDRESS(ROW(NOTA[ID]),COLUMN(NOTA[ID]))&amp;":"&amp;ADDRESS(ROW(),COLUMN(NOTA[ID]))),-1)))</f>
        <v>39</v>
      </c>
      <c r="E201" s="33"/>
      <c r="H201" s="34"/>
      <c r="L201" s="25" t="s">
        <v>416</v>
      </c>
      <c r="M201" s="27">
        <v>1</v>
      </c>
      <c r="N201" s="25">
        <v>96</v>
      </c>
      <c r="O201" s="25" t="s">
        <v>110</v>
      </c>
      <c r="P201" s="28">
        <v>29000</v>
      </c>
      <c r="Q201" s="29"/>
      <c r="R201" s="35"/>
      <c r="S201" s="36"/>
      <c r="V201" s="37"/>
      <c r="W201" s="32"/>
      <c r="X201" s="37">
        <f>IF(NOTA[[#This Row],[HARGA/ CTN]]="",NOTA[[#This Row],[JUMLAH_H]],NOTA[[#This Row],[HARGA/ CTN]]*IF(NOTA[[#This Row],[C]]="",0,NOTA[[#This Row],[C]]))</f>
        <v>2784000</v>
      </c>
      <c r="Y201" s="37">
        <f>IF(NOTA[[#This Row],[JUMLAH]]="","",NOTA[[#This Row],[JUMLAH]]*NOTA[[#This Row],[DISC 1]])</f>
        <v>0</v>
      </c>
      <c r="Z201" s="37">
        <f>IF(NOTA[[#This Row],[JUMLAH]]="","",(NOTA[[#This Row],[JUMLAH]]-NOTA[[#This Row],[DISC 1-]])*NOTA[[#This Row],[DISC 2]])</f>
        <v>0</v>
      </c>
      <c r="AA201" s="37">
        <f>IF(NOTA[[#This Row],[JUMLAH]]="","",(NOTA[[#This Row],[JUMLAH]]-NOTA[[#This Row],[DISC 1-]]-NOTA[[#This Row],[DISC 2-]])*NOTA[[#This Row],[DISC 3]])</f>
        <v>0</v>
      </c>
      <c r="AB201" s="37">
        <f>IF(NOTA[[#This Row],[JUMLAH]]="","",NOTA[[#This Row],[DISC 1-]]+NOTA[[#This Row],[DISC 2-]]+NOTA[[#This Row],[DISC 3-]])</f>
        <v>0</v>
      </c>
      <c r="AC201" s="37">
        <f>IF(NOTA[[#This Row],[JUMLAH]]="","",NOTA[[#This Row],[JUMLAH]]-NOTA[[#This Row],[DISC]])</f>
        <v>2784000</v>
      </c>
      <c r="AD201" s="37"/>
      <c r="AE2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1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201" s="37">
        <f>IF(OR(NOTA[[#This Row],[QTY]]="",NOTA[[#This Row],[HARGA SATUAN]]="",),"",NOTA[[#This Row],[QTY]]*NOTA[[#This Row],[HARGA SATUAN]])</f>
        <v>2784000</v>
      </c>
      <c r="AI201" s="26">
        <f ca="1">IF(NOTA[[#This Row],[ID_H]]="","",INDEX(NOTA[TANGGAL],MATCH(,INDIRECT(ADDRESS(ROW(NOTA[TANGGAL]),COLUMN(NOTA[TANGGAL]))&amp;":"&amp;ADDRESS(ROW(),COLUMN(NOTA[TANGGAL]))),-1)))</f>
        <v>45461</v>
      </c>
      <c r="AJ201" s="26">
        <f ca="1">IF(NOTA[[#This Row],[ID_H]]="","",INDEX(NOTA[TGL.NOTA],MATCH(,INDIRECT(ADDRESS(ROW(NOTA[TGL.NOTA]),COLUMN(NOTA[TGL.NOTA]))&amp;":"&amp;ADDRESS(ROW(),COLUMN(NOTA[TGL.NOTA]))),-1)))</f>
        <v>45456</v>
      </c>
      <c r="AK201" s="26" t="str">
        <f ca="1">IF(NOTA[[#This Row],[ID_H]]="","",INDEX(NOTA[NO.NOTA],MATCH(NOTA[[#This Row],[ID_H]],NOTA[ID_H],0)))</f>
        <v>JUF308/24</v>
      </c>
      <c r="AL201" s="28" t="str">
        <f ca="1">IF(NOTA[[#This Row],[NAMA BARANG]]="","",INDEX(NOTA[SUPPLIER],MATCH(,INDIRECT(ADDRESS(ROW(NOTA[ID]),COLUMN(NOTA[ID]))&amp;":"&amp;ADDRESS(ROW(),COLUMN(NOTA[ID]))),-1)))</f>
        <v>DB STATIONERY</v>
      </c>
      <c r="AM201" s="28" t="str">
        <f ca="1">IF(NOTA[[#This Row],[ID_H]]="","",IF(NOTA[[#This Row],[FAKTUR]]="",INDIRECT(ADDRESS(ROW()-1,COLUMN())),NOTA[[#This Row],[FAKTUR]]))</f>
        <v>UNTANA</v>
      </c>
      <c r="AN201" s="25" t="str">
        <f ca="1">IF(NOTA[[#This Row],[ID]]="","",COUNTIF(NOTA[ID_H],NOTA[[#This Row],[ID_H]]))</f>
        <v/>
      </c>
      <c r="AO201" s="25">
        <f ca="1">IF(NOTA[[#This Row],[TGL.NOTA]]="",IF(NOTA[[#This Row],[SUPPLIER_H]]="","",AO200),MONTH(NOTA[[#This Row],[TGL.NOTA]]))</f>
        <v>6</v>
      </c>
      <c r="AP201" s="25" t="str">
        <f>LOWER(SUBSTITUTE(SUBSTITUTE(SUBSTITUTE(SUBSTITUTE(SUBSTITUTE(SUBSTITUTE(SUBSTITUTE(SUBSTITUTE(SUBSTITUTE(NOTA[[#This Row],[NAMA BARANG]]," ",),".",""),"-",""),"(",""),")",""),",",""),"/",""),"""",""),"+",""))</f>
        <v>mekpensil20tizotm030a1</v>
      </c>
      <c r="AQ2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R2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S2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1" s="25"/>
      <c r="AU201" s="25">
        <f>IF(NOTA[[#This Row],[CONCAT1]]="","",MATCH(NOTA[[#This Row],[CONCAT1]],[3]!db[NB NOTA_C],0))</f>
        <v>2182</v>
      </c>
      <c r="AV201" s="25" t="str">
        <f>IF(NOTA[[#This Row],[QTY/ CTN]]="","",TRUE)</f>
        <v/>
      </c>
      <c r="AW201" s="25" t="str">
        <f ca="1">IF(NOTA[[#This Row],[ID_H]]="","",IF(NOTA[[#This Row],[Column3]]=TRUE,NOTA[[#This Row],[QTY/ CTN]],INDEX([3]!db[QTY/ CTN],NOTA[[#This Row],[//DB]])))</f>
        <v>96 LSN</v>
      </c>
      <c r="AX2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mekpensil20tizotm030a196lsnuntana</v>
      </c>
      <c r="AY201" s="25">
        <f ca="1">IF(NOTA[[#This Row],[ID_H]]="","",MATCH(NOTA[[#This Row],[NB NOTA_C_QTY]],[3]!db[NB NOTA_C_QTY+F],0))</f>
        <v>2182</v>
      </c>
      <c r="AZ201" s="38">
        <f ca="1">IF(NOTA[[#This Row],[NB NOTA_C_QTY]]="","",ROW()-2)</f>
        <v>199</v>
      </c>
    </row>
    <row r="202" spans="1:52" ht="20.100000000000001" customHeight="1">
      <c r="A2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2" s="25">
        <f ca="1">IF(NOTA[[#This Row],[NAMA BARANG]]="","",INDEX(NOTA[ID],MATCH(,INDIRECT(ADDRESS(ROW(NOTA[ID]),COLUMN(NOTA[ID]))&amp;":"&amp;ADDRESS(ROW(),COLUMN(NOTA[ID]))),-1)))</f>
        <v>39</v>
      </c>
      <c r="E202" s="33"/>
      <c r="H202" s="34"/>
      <c r="L202" s="25" t="s">
        <v>417</v>
      </c>
      <c r="M202" s="27">
        <v>1</v>
      </c>
      <c r="N202" s="25">
        <v>144</v>
      </c>
      <c r="O202" s="25" t="s">
        <v>110</v>
      </c>
      <c r="P202" s="28">
        <v>23000</v>
      </c>
      <c r="Q202" s="29"/>
      <c r="R202" s="35"/>
      <c r="S202" s="36"/>
      <c r="V202" s="37"/>
      <c r="W202" s="32"/>
      <c r="X202" s="37">
        <f>IF(NOTA[[#This Row],[HARGA/ CTN]]="",NOTA[[#This Row],[JUMLAH_H]],NOTA[[#This Row],[HARGA/ CTN]]*IF(NOTA[[#This Row],[C]]="",0,NOTA[[#This Row],[C]]))</f>
        <v>3312000</v>
      </c>
      <c r="Y202" s="37">
        <f>IF(NOTA[[#This Row],[JUMLAH]]="","",NOTA[[#This Row],[JUMLAH]]*NOTA[[#This Row],[DISC 1]])</f>
        <v>0</v>
      </c>
      <c r="Z202" s="37">
        <f>IF(NOTA[[#This Row],[JUMLAH]]="","",(NOTA[[#This Row],[JUMLAH]]-NOTA[[#This Row],[DISC 1-]])*NOTA[[#This Row],[DISC 2]])</f>
        <v>0</v>
      </c>
      <c r="AA202" s="37">
        <f>IF(NOTA[[#This Row],[JUMLAH]]="","",(NOTA[[#This Row],[JUMLAH]]-NOTA[[#This Row],[DISC 1-]]-NOTA[[#This Row],[DISC 2-]])*NOTA[[#This Row],[DISC 3]])</f>
        <v>0</v>
      </c>
      <c r="AB202" s="37">
        <f>IF(NOTA[[#This Row],[JUMLAH]]="","",NOTA[[#This Row],[DISC 1-]]+NOTA[[#This Row],[DISC 2-]]+NOTA[[#This Row],[DISC 3-]])</f>
        <v>0</v>
      </c>
      <c r="AC202" s="37">
        <f>IF(NOTA[[#This Row],[JUMLAH]]="","",NOTA[[#This Row],[JUMLAH]]-NOTA[[#This Row],[DISC]])</f>
        <v>3312000</v>
      </c>
      <c r="AD202" s="37"/>
      <c r="AE2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2" s="28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H202" s="37">
        <f>IF(OR(NOTA[[#This Row],[QTY]]="",NOTA[[#This Row],[HARGA SATUAN]]="",),"",NOTA[[#This Row],[QTY]]*NOTA[[#This Row],[HARGA SATUAN]])</f>
        <v>3312000</v>
      </c>
      <c r="AI202" s="26">
        <f ca="1">IF(NOTA[[#This Row],[ID_H]]="","",INDEX(NOTA[TANGGAL],MATCH(,INDIRECT(ADDRESS(ROW(NOTA[TANGGAL]),COLUMN(NOTA[TANGGAL]))&amp;":"&amp;ADDRESS(ROW(),COLUMN(NOTA[TANGGAL]))),-1)))</f>
        <v>45461</v>
      </c>
      <c r="AJ202" s="26">
        <f ca="1">IF(NOTA[[#This Row],[ID_H]]="","",INDEX(NOTA[TGL.NOTA],MATCH(,INDIRECT(ADDRESS(ROW(NOTA[TGL.NOTA]),COLUMN(NOTA[TGL.NOTA]))&amp;":"&amp;ADDRESS(ROW(),COLUMN(NOTA[TGL.NOTA]))),-1)))</f>
        <v>45456</v>
      </c>
      <c r="AK202" s="26" t="str">
        <f ca="1">IF(NOTA[[#This Row],[ID_H]]="","",INDEX(NOTA[NO.NOTA],MATCH(NOTA[[#This Row],[ID_H]],NOTA[ID_H],0)))</f>
        <v>JUF308/24</v>
      </c>
      <c r="AL202" s="28" t="str">
        <f ca="1">IF(NOTA[[#This Row],[NAMA BARANG]]="","",INDEX(NOTA[SUPPLIER],MATCH(,INDIRECT(ADDRESS(ROW(NOTA[ID]),COLUMN(NOTA[ID]))&amp;":"&amp;ADDRESS(ROW(),COLUMN(NOTA[ID]))),-1)))</f>
        <v>DB STATIONERY</v>
      </c>
      <c r="AM202" s="28" t="str">
        <f ca="1">IF(NOTA[[#This Row],[ID_H]]="","",IF(NOTA[[#This Row],[FAKTUR]]="",INDIRECT(ADDRESS(ROW()-1,COLUMN())),NOTA[[#This Row],[FAKTUR]]))</f>
        <v>UNTANA</v>
      </c>
      <c r="AN202" s="25" t="str">
        <f ca="1">IF(NOTA[[#This Row],[ID]]="","",COUNTIF(NOTA[ID_H],NOTA[[#This Row],[ID_H]]))</f>
        <v/>
      </c>
      <c r="AO202" s="25">
        <f ca="1">IF(NOTA[[#This Row],[TGL.NOTA]]="",IF(NOTA[[#This Row],[SUPPLIER_H]]="","",AO201),MONTH(NOTA[[#This Row],[TGL.NOTA]]))</f>
        <v>6</v>
      </c>
      <c r="AP202" s="25" t="str">
        <f>LOWER(SUBSTITUTE(SUBSTITUTE(SUBSTITUTE(SUBSTITUTE(SUBSTITUTE(SUBSTITUTE(SUBSTITUTE(SUBSTITUTE(SUBSTITUTE(NOTA[[#This Row],[NAMA BARANG]]," ",),".",""),"-",""),"(",""),")",""),",",""),"/",""),"""",""),"+",""))</f>
        <v>mekpensil20tizotm02930</v>
      </c>
      <c r="AQ2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mekpensil20tizotm029303312000</v>
      </c>
      <c r="AR2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mekpensil20tizotm029303312000</v>
      </c>
      <c r="AS2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2" s="25"/>
      <c r="AU202" s="25">
        <f>IF(NOTA[[#This Row],[CONCAT1]]="","",MATCH(NOTA[[#This Row],[CONCAT1]],[3]!db[NB NOTA_C],0))</f>
        <v>2161</v>
      </c>
      <c r="AV202" s="25" t="str">
        <f>IF(NOTA[[#This Row],[QTY/ CTN]]="","",TRUE)</f>
        <v/>
      </c>
      <c r="AW202" s="25" t="str">
        <f ca="1">IF(NOTA[[#This Row],[ID_H]]="","",IF(NOTA[[#This Row],[Column3]]=TRUE,NOTA[[#This Row],[QTY/ CTN]],INDEX([3]!db[QTY/ CTN],NOTA[[#This Row],[//DB]])))</f>
        <v>144 LSN</v>
      </c>
      <c r="AX2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mekpensil20tizotm02930144lsnuntana</v>
      </c>
      <c r="AY202" s="25">
        <f ca="1">IF(NOTA[[#This Row],[ID_H]]="","",MATCH(NOTA[[#This Row],[NB NOTA_C_QTY]],[3]!db[NB NOTA_C_QTY+F],0))</f>
        <v>2161</v>
      </c>
      <c r="AZ202" s="38">
        <f ca="1">IF(NOTA[[#This Row],[NB NOTA_C_QTY]]="","",ROW()-2)</f>
        <v>200</v>
      </c>
    </row>
    <row r="203" spans="1:52" ht="20.100000000000001" customHeight="1">
      <c r="A2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3" s="25">
        <f ca="1">IF(NOTA[[#This Row],[NAMA BARANG]]="","",INDEX(NOTA[ID],MATCH(,INDIRECT(ADDRESS(ROW(NOTA[ID]),COLUMN(NOTA[ID]))&amp;":"&amp;ADDRESS(ROW(),COLUMN(NOTA[ID]))),-1)))</f>
        <v>39</v>
      </c>
      <c r="E203" s="33"/>
      <c r="H203" s="34"/>
      <c r="L203" s="25" t="s">
        <v>479</v>
      </c>
      <c r="M203" s="27">
        <v>2</v>
      </c>
      <c r="N203" s="25">
        <v>288</v>
      </c>
      <c r="O203" s="25" t="s">
        <v>110</v>
      </c>
      <c r="P203" s="28">
        <v>16000</v>
      </c>
      <c r="Q203" s="29"/>
      <c r="R203" s="35"/>
      <c r="S203" s="36"/>
      <c r="V203" s="37"/>
      <c r="W203" s="32"/>
      <c r="X203" s="37">
        <f>IF(NOTA[[#This Row],[HARGA/ CTN]]="",NOTA[[#This Row],[JUMLAH_H]],NOTA[[#This Row],[HARGA/ CTN]]*IF(NOTA[[#This Row],[C]]="",0,NOTA[[#This Row],[C]]))</f>
        <v>4608000</v>
      </c>
      <c r="Y203" s="37">
        <f>IF(NOTA[[#This Row],[JUMLAH]]="","",NOTA[[#This Row],[JUMLAH]]*NOTA[[#This Row],[DISC 1]])</f>
        <v>0</v>
      </c>
      <c r="Z203" s="37">
        <f>IF(NOTA[[#This Row],[JUMLAH]]="","",(NOTA[[#This Row],[JUMLAH]]-NOTA[[#This Row],[DISC 1-]])*NOTA[[#This Row],[DISC 2]])</f>
        <v>0</v>
      </c>
      <c r="AA203" s="37">
        <f>IF(NOTA[[#This Row],[JUMLAH]]="","",(NOTA[[#This Row],[JUMLAH]]-NOTA[[#This Row],[DISC 1-]]-NOTA[[#This Row],[DISC 2-]])*NOTA[[#This Row],[DISC 3]])</f>
        <v>0</v>
      </c>
      <c r="AB203" s="37">
        <f>IF(NOTA[[#This Row],[JUMLAH]]="","",NOTA[[#This Row],[DISC 1-]]+NOTA[[#This Row],[DISC 2-]]+NOTA[[#This Row],[DISC 3-]])</f>
        <v>0</v>
      </c>
      <c r="AC203" s="37">
        <f>IF(NOTA[[#This Row],[JUMLAH]]="","",NOTA[[#This Row],[JUMLAH]]-NOTA[[#This Row],[DISC]])</f>
        <v>4608000</v>
      </c>
      <c r="AD203" s="37"/>
      <c r="AE2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3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H203" s="37">
        <f>IF(OR(NOTA[[#This Row],[QTY]]="",NOTA[[#This Row],[HARGA SATUAN]]="",),"",NOTA[[#This Row],[QTY]]*NOTA[[#This Row],[HARGA SATUAN]])</f>
        <v>4608000</v>
      </c>
      <c r="AI203" s="26">
        <f ca="1">IF(NOTA[[#This Row],[ID_H]]="","",INDEX(NOTA[TANGGAL],MATCH(,INDIRECT(ADDRESS(ROW(NOTA[TANGGAL]),COLUMN(NOTA[TANGGAL]))&amp;":"&amp;ADDRESS(ROW(),COLUMN(NOTA[TANGGAL]))),-1)))</f>
        <v>45461</v>
      </c>
      <c r="AJ203" s="26">
        <f ca="1">IF(NOTA[[#This Row],[ID_H]]="","",INDEX(NOTA[TGL.NOTA],MATCH(,INDIRECT(ADDRESS(ROW(NOTA[TGL.NOTA]),COLUMN(NOTA[TGL.NOTA]))&amp;":"&amp;ADDRESS(ROW(),COLUMN(NOTA[TGL.NOTA]))),-1)))</f>
        <v>45456</v>
      </c>
      <c r="AK203" s="26" t="str">
        <f ca="1">IF(NOTA[[#This Row],[ID_H]]="","",INDEX(NOTA[NO.NOTA],MATCH(NOTA[[#This Row],[ID_H]],NOTA[ID_H],0)))</f>
        <v>JUF308/24</v>
      </c>
      <c r="AL203" s="28" t="str">
        <f ca="1">IF(NOTA[[#This Row],[NAMA BARANG]]="","",INDEX(NOTA[SUPPLIER],MATCH(,INDIRECT(ADDRESS(ROW(NOTA[ID]),COLUMN(NOTA[ID]))&amp;":"&amp;ADDRESS(ROW(),COLUMN(NOTA[ID]))),-1)))</f>
        <v>DB STATIONERY</v>
      </c>
      <c r="AM203" s="28" t="str">
        <f ca="1">IF(NOTA[[#This Row],[ID_H]]="","",IF(NOTA[[#This Row],[FAKTUR]]="",INDIRECT(ADDRESS(ROW()-1,COLUMN())),NOTA[[#This Row],[FAKTUR]]))</f>
        <v>UNTANA</v>
      </c>
      <c r="AN203" s="25" t="str">
        <f ca="1">IF(NOTA[[#This Row],[ID]]="","",COUNTIF(NOTA[ID_H],NOTA[[#This Row],[ID_H]]))</f>
        <v/>
      </c>
      <c r="AO203" s="25">
        <f ca="1">IF(NOTA[[#This Row],[TGL.NOTA]]="",IF(NOTA[[#This Row],[SUPPLIER_H]]="","",AO202),MONTH(NOTA[[#This Row],[TGL.NOTA]]))</f>
        <v>6</v>
      </c>
      <c r="AP203" s="25" t="str">
        <f>LOWER(SUBSTITUTE(SUBSTITUTE(SUBSTITUTE(SUBSTITUTE(SUBSTITUTE(SUBSTITUTE(SUBSTITUTE(SUBSTITUTE(SUBSTITUTE(NOTA[[#This Row],[NAMA BARANG]]," ",),".",""),"-",""),"(",""),")",""),",",""),"/",""),"""",""),"+",""))</f>
        <v>mekpensiltizotm01600b</v>
      </c>
      <c r="AQ2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mekpensiltizotm01600b2304000</v>
      </c>
      <c r="AR2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mekpensiltizotm01600b2304000</v>
      </c>
      <c r="AS2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3" s="25"/>
      <c r="AU203" s="25">
        <f>IF(NOTA[[#This Row],[CONCAT1]]="","",MATCH(NOTA[[#This Row],[CONCAT1]],[3]!db[NB NOTA_C],0))</f>
        <v>2158</v>
      </c>
      <c r="AV203" s="25" t="str">
        <f>IF(NOTA[[#This Row],[QTY/ CTN]]="","",TRUE)</f>
        <v/>
      </c>
      <c r="AW203" s="25" t="str">
        <f ca="1">IF(NOTA[[#This Row],[ID_H]]="","",IF(NOTA[[#This Row],[Column3]]=TRUE,NOTA[[#This Row],[QTY/ CTN]],INDEX([3]!db[QTY/ CTN],NOTA[[#This Row],[//DB]])))</f>
        <v>144 LSN</v>
      </c>
      <c r="AX2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mekpensiltizotm01600b144lsnuntana</v>
      </c>
      <c r="AY203" s="25">
        <f ca="1">IF(NOTA[[#This Row],[ID_H]]="","",MATCH(NOTA[[#This Row],[NB NOTA_C_QTY]],[3]!db[NB NOTA_C_QTY+F],0))</f>
        <v>2158</v>
      </c>
      <c r="AZ203" s="38">
        <f ca="1">IF(NOTA[[#This Row],[NB NOTA_C_QTY]]="","",ROW()-2)</f>
        <v>201</v>
      </c>
    </row>
    <row r="204" spans="1:52" ht="20.100000000000001" customHeight="1">
      <c r="A2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4" s="25">
        <f ca="1">IF(NOTA[[#This Row],[NAMA BARANG]]="","",INDEX(NOTA[ID],MATCH(,INDIRECT(ADDRESS(ROW(NOTA[ID]),COLUMN(NOTA[ID]))&amp;":"&amp;ADDRESS(ROW(),COLUMN(NOTA[ID]))),-1)))</f>
        <v>39</v>
      </c>
      <c r="E204" s="33"/>
      <c r="H204" s="34"/>
      <c r="L204" s="25" t="s">
        <v>418</v>
      </c>
      <c r="M204" s="27">
        <v>2</v>
      </c>
      <c r="N204" s="25">
        <v>288</v>
      </c>
      <c r="O204" s="25" t="s">
        <v>110</v>
      </c>
      <c r="P204" s="28">
        <v>13500</v>
      </c>
      <c r="Q204" s="29"/>
      <c r="R204" s="35"/>
      <c r="S204" s="36"/>
      <c r="V204" s="37"/>
      <c r="W204" s="32"/>
      <c r="X204" s="37">
        <f>IF(NOTA[[#This Row],[HARGA/ CTN]]="",NOTA[[#This Row],[JUMLAH_H]],NOTA[[#This Row],[HARGA/ CTN]]*IF(NOTA[[#This Row],[C]]="",0,NOTA[[#This Row],[C]]))</f>
        <v>3888000</v>
      </c>
      <c r="Y204" s="37">
        <f>IF(NOTA[[#This Row],[JUMLAH]]="","",NOTA[[#This Row],[JUMLAH]]*NOTA[[#This Row],[DISC 1]])</f>
        <v>0</v>
      </c>
      <c r="Z204" s="37">
        <f>IF(NOTA[[#This Row],[JUMLAH]]="","",(NOTA[[#This Row],[JUMLAH]]-NOTA[[#This Row],[DISC 1-]])*NOTA[[#This Row],[DISC 2]])</f>
        <v>0</v>
      </c>
      <c r="AA204" s="37">
        <f>IF(NOTA[[#This Row],[JUMLAH]]="","",(NOTA[[#This Row],[JUMLAH]]-NOTA[[#This Row],[DISC 1-]]-NOTA[[#This Row],[DISC 2-]])*NOTA[[#This Row],[DISC 3]])</f>
        <v>0</v>
      </c>
      <c r="AB204" s="37">
        <f>IF(NOTA[[#This Row],[JUMLAH]]="","",NOTA[[#This Row],[DISC 1-]]+NOTA[[#This Row],[DISC 2-]]+NOTA[[#This Row],[DISC 3-]])</f>
        <v>0</v>
      </c>
      <c r="AC204" s="37">
        <f>IF(NOTA[[#This Row],[JUMLAH]]="","",NOTA[[#This Row],[JUMLAH]]-NOTA[[#This Row],[DISC]])</f>
        <v>3888000</v>
      </c>
      <c r="AD204" s="37"/>
      <c r="AE2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4" s="28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204" s="37">
        <f>IF(OR(NOTA[[#This Row],[QTY]]="",NOTA[[#This Row],[HARGA SATUAN]]="",),"",NOTA[[#This Row],[QTY]]*NOTA[[#This Row],[HARGA SATUAN]])</f>
        <v>3888000</v>
      </c>
      <c r="AI204" s="26">
        <f ca="1">IF(NOTA[[#This Row],[ID_H]]="","",INDEX(NOTA[TANGGAL],MATCH(,INDIRECT(ADDRESS(ROW(NOTA[TANGGAL]),COLUMN(NOTA[TANGGAL]))&amp;":"&amp;ADDRESS(ROW(),COLUMN(NOTA[TANGGAL]))),-1)))</f>
        <v>45461</v>
      </c>
      <c r="AJ204" s="26">
        <f ca="1">IF(NOTA[[#This Row],[ID_H]]="","",INDEX(NOTA[TGL.NOTA],MATCH(,INDIRECT(ADDRESS(ROW(NOTA[TGL.NOTA]),COLUMN(NOTA[TGL.NOTA]))&amp;":"&amp;ADDRESS(ROW(),COLUMN(NOTA[TGL.NOTA]))),-1)))</f>
        <v>45456</v>
      </c>
      <c r="AK204" s="26" t="str">
        <f ca="1">IF(NOTA[[#This Row],[ID_H]]="","",INDEX(NOTA[NO.NOTA],MATCH(NOTA[[#This Row],[ID_H]],NOTA[ID_H],0)))</f>
        <v>JUF308/24</v>
      </c>
      <c r="AL204" s="28" t="str">
        <f ca="1">IF(NOTA[[#This Row],[NAMA BARANG]]="","",INDEX(NOTA[SUPPLIER],MATCH(,INDIRECT(ADDRESS(ROW(NOTA[ID]),COLUMN(NOTA[ID]))&amp;":"&amp;ADDRESS(ROW(),COLUMN(NOTA[ID]))),-1)))</f>
        <v>DB STATIONERY</v>
      </c>
      <c r="AM204" s="28" t="str">
        <f ca="1">IF(NOTA[[#This Row],[ID_H]]="","",IF(NOTA[[#This Row],[FAKTUR]]="",INDIRECT(ADDRESS(ROW()-1,COLUMN())),NOTA[[#This Row],[FAKTUR]]))</f>
        <v>UNTANA</v>
      </c>
      <c r="AN204" s="25" t="str">
        <f ca="1">IF(NOTA[[#This Row],[ID]]="","",COUNTIF(NOTA[ID_H],NOTA[[#This Row],[ID_H]]))</f>
        <v/>
      </c>
      <c r="AO204" s="25">
        <f ca="1">IF(NOTA[[#This Row],[TGL.NOTA]]="",IF(NOTA[[#This Row],[SUPPLIER_H]]="","",AO203),MONTH(NOTA[[#This Row],[TGL.NOTA]]))</f>
        <v>6</v>
      </c>
      <c r="AP204" s="25" t="str">
        <f>LOWER(SUBSTITUTE(SUBSTITUTE(SUBSTITUTE(SUBSTITUTE(SUBSTITUTE(SUBSTITUTE(SUBSTITUTE(SUBSTITUTE(SUBSTITUTE(NOTA[[#This Row],[NAMA BARANG]]," ",),".",""),"-",""),"(",""),")",""),",",""),"/",""),"""",""),"+",""))</f>
        <v>mekanikpensiltizotm01500</v>
      </c>
      <c r="AQ2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R2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S2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4" s="25"/>
      <c r="AU204" s="25">
        <f>IF(NOTA[[#This Row],[CONCAT1]]="","",MATCH(NOTA[[#This Row],[CONCAT1]],[3]!db[NB NOTA_C],0))</f>
        <v>2207</v>
      </c>
      <c r="AV204" s="25" t="str">
        <f>IF(NOTA[[#This Row],[QTY/ CTN]]="","",TRUE)</f>
        <v/>
      </c>
      <c r="AW204" s="25" t="str">
        <f ca="1">IF(NOTA[[#This Row],[ID_H]]="","",IF(NOTA[[#This Row],[Column3]]=TRUE,NOTA[[#This Row],[QTY/ CTN]],INDEX([3]!db[QTY/ CTN],NOTA[[#This Row],[//DB]])))</f>
        <v>144 LSN</v>
      </c>
      <c r="AX2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mekanikpensiltizotm01500144lsnuntana</v>
      </c>
      <c r="AY204" s="25">
        <f ca="1">IF(NOTA[[#This Row],[ID_H]]="","",MATCH(NOTA[[#This Row],[NB NOTA_C_QTY]],[3]!db[NB NOTA_C_QTY+F],0))</f>
        <v>2207</v>
      </c>
      <c r="AZ204" s="38">
        <f ca="1">IF(NOTA[[#This Row],[NB NOTA_C_QTY]]="","",ROW()-2)</f>
        <v>202</v>
      </c>
    </row>
    <row r="205" spans="1:52" ht="20.100000000000001" customHeight="1">
      <c r="A2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5" s="25">
        <f ca="1">IF(NOTA[[#This Row],[NAMA BARANG]]="","",INDEX(NOTA[ID],MATCH(,INDIRECT(ADDRESS(ROW(NOTA[ID]),COLUMN(NOTA[ID]))&amp;":"&amp;ADDRESS(ROW(),COLUMN(NOTA[ID]))),-1)))</f>
        <v>39</v>
      </c>
      <c r="E205" s="33"/>
      <c r="H205" s="34"/>
      <c r="L205" s="25" t="s">
        <v>419</v>
      </c>
      <c r="M205" s="27">
        <v>1</v>
      </c>
      <c r="N205" s="25">
        <v>288</v>
      </c>
      <c r="O205" s="25" t="s">
        <v>322</v>
      </c>
      <c r="P205" s="28">
        <v>10800</v>
      </c>
      <c r="Q205" s="29"/>
      <c r="R205" s="35"/>
      <c r="S205" s="36"/>
      <c r="V205" s="37"/>
      <c r="W205" s="32"/>
      <c r="X205" s="37">
        <f>IF(NOTA[[#This Row],[HARGA/ CTN]]="",NOTA[[#This Row],[JUMLAH_H]],NOTA[[#This Row],[HARGA/ CTN]]*IF(NOTA[[#This Row],[C]]="",0,NOTA[[#This Row],[C]]))</f>
        <v>3110400</v>
      </c>
      <c r="Y205" s="37">
        <f>IF(NOTA[[#This Row],[JUMLAH]]="","",NOTA[[#This Row],[JUMLAH]]*NOTA[[#This Row],[DISC 1]])</f>
        <v>0</v>
      </c>
      <c r="Z205" s="37">
        <f>IF(NOTA[[#This Row],[JUMLAH]]="","",(NOTA[[#This Row],[JUMLAH]]-NOTA[[#This Row],[DISC 1-]])*NOTA[[#This Row],[DISC 2]])</f>
        <v>0</v>
      </c>
      <c r="AA205" s="37">
        <f>IF(NOTA[[#This Row],[JUMLAH]]="","",(NOTA[[#This Row],[JUMLAH]]-NOTA[[#This Row],[DISC 1-]]-NOTA[[#This Row],[DISC 2-]])*NOTA[[#This Row],[DISC 3]])</f>
        <v>0</v>
      </c>
      <c r="AB205" s="37">
        <f>IF(NOTA[[#This Row],[JUMLAH]]="","",NOTA[[#This Row],[DISC 1-]]+NOTA[[#This Row],[DISC 2-]]+NOTA[[#This Row],[DISC 3-]])</f>
        <v>0</v>
      </c>
      <c r="AC205" s="37">
        <f>IF(NOTA[[#This Row],[JUMLAH]]="","",NOTA[[#This Row],[JUMLAH]]-NOTA[[#This Row],[DISC]])</f>
        <v>3110400</v>
      </c>
      <c r="AD205" s="37"/>
      <c r="AE2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5" s="28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H205" s="37">
        <f>IF(OR(NOTA[[#This Row],[QTY]]="",NOTA[[#This Row],[HARGA SATUAN]]="",),"",NOTA[[#This Row],[QTY]]*NOTA[[#This Row],[HARGA SATUAN]])</f>
        <v>3110400</v>
      </c>
      <c r="AI205" s="26">
        <f ca="1">IF(NOTA[[#This Row],[ID_H]]="","",INDEX(NOTA[TANGGAL],MATCH(,INDIRECT(ADDRESS(ROW(NOTA[TANGGAL]),COLUMN(NOTA[TANGGAL]))&amp;":"&amp;ADDRESS(ROW(),COLUMN(NOTA[TANGGAL]))),-1)))</f>
        <v>45461</v>
      </c>
      <c r="AJ205" s="26">
        <f ca="1">IF(NOTA[[#This Row],[ID_H]]="","",INDEX(NOTA[TGL.NOTA],MATCH(,INDIRECT(ADDRESS(ROW(NOTA[TGL.NOTA]),COLUMN(NOTA[TGL.NOTA]))&amp;":"&amp;ADDRESS(ROW(),COLUMN(NOTA[TGL.NOTA]))),-1)))</f>
        <v>45456</v>
      </c>
      <c r="AK205" s="26" t="str">
        <f ca="1">IF(NOTA[[#This Row],[ID_H]]="","",INDEX(NOTA[NO.NOTA],MATCH(NOTA[[#This Row],[ID_H]],NOTA[ID_H],0)))</f>
        <v>JUF308/24</v>
      </c>
      <c r="AL205" s="28" t="str">
        <f ca="1">IF(NOTA[[#This Row],[NAMA BARANG]]="","",INDEX(NOTA[SUPPLIER],MATCH(,INDIRECT(ADDRESS(ROW(NOTA[ID]),COLUMN(NOTA[ID]))&amp;":"&amp;ADDRESS(ROW(),COLUMN(NOTA[ID]))),-1)))</f>
        <v>DB STATIONERY</v>
      </c>
      <c r="AM205" s="28" t="str">
        <f ca="1">IF(NOTA[[#This Row],[ID_H]]="","",IF(NOTA[[#This Row],[FAKTUR]]="",INDIRECT(ADDRESS(ROW()-1,COLUMN())),NOTA[[#This Row],[FAKTUR]]))</f>
        <v>UNTANA</v>
      </c>
      <c r="AN205" s="25" t="str">
        <f ca="1">IF(NOTA[[#This Row],[ID]]="","",COUNTIF(NOTA[ID_H],NOTA[[#This Row],[ID_H]]))</f>
        <v/>
      </c>
      <c r="AO205" s="25">
        <f ca="1">IF(NOTA[[#This Row],[TGL.NOTA]]="",IF(NOTA[[#This Row],[SUPPLIER_H]]="","",AO204),MONTH(NOTA[[#This Row],[TGL.NOTA]]))</f>
        <v>6</v>
      </c>
      <c r="AP205" s="25" t="str">
        <f>LOWER(SUBSTITUTE(SUBSTITUTE(SUBSTITUTE(SUBSTITUTE(SUBSTITUTE(SUBSTITUTE(SUBSTITUTE(SUBSTITUTE(SUBSTITUTE(NOTA[[#This Row],[NAMA BARANG]]," ",),".",""),"-",""),"(",""),")",""),",",""),"/",""),"""",""),"+",""))</f>
        <v>pensilwarnatwinkycp1224</v>
      </c>
      <c r="AQ2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pensilwarnatwinkycp12243110400</v>
      </c>
      <c r="AR2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pensilwarnatwinkycp12243110400</v>
      </c>
      <c r="AS2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5" s="25"/>
      <c r="AU205" s="25">
        <f>IF(NOTA[[#This Row],[CONCAT1]]="","",MATCH(NOTA[[#This Row],[CONCAT1]],[3]!db[NB NOTA_C],0))</f>
        <v>2709</v>
      </c>
      <c r="AV205" s="25" t="str">
        <f>IF(NOTA[[#This Row],[QTY/ CTN]]="","",TRUE)</f>
        <v/>
      </c>
      <c r="AW205" s="25" t="str">
        <f ca="1">IF(NOTA[[#This Row],[ID_H]]="","",IF(NOTA[[#This Row],[Column3]]=TRUE,NOTA[[#This Row],[QTY/ CTN]],INDEX([3]!db[QTY/ CTN],NOTA[[#This Row],[//DB]])))</f>
        <v>288 SET</v>
      </c>
      <c r="AX2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pensilwarnatwinkycp1224288setuntana</v>
      </c>
      <c r="AY205" s="25" t="e">
        <f ca="1">IF(NOTA[[#This Row],[ID_H]]="","",MATCH(NOTA[[#This Row],[NB NOTA_C_QTY]],[3]!db[NB NOTA_C_QTY+F],0))</f>
        <v>#N/A</v>
      </c>
      <c r="AZ205" s="38">
        <f ca="1">IF(NOTA[[#This Row],[NB NOTA_C_QTY]]="","",ROW()-2)</f>
        <v>203</v>
      </c>
    </row>
    <row r="206" spans="1:52" ht="20.100000000000001" customHeight="1">
      <c r="A2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6" s="25">
        <f ca="1">IF(NOTA[[#This Row],[NAMA BARANG]]="","",INDEX(NOTA[ID],MATCH(,INDIRECT(ADDRESS(ROW(NOTA[ID]),COLUMN(NOTA[ID]))&amp;":"&amp;ADDRESS(ROW(),COLUMN(NOTA[ID]))),-1)))</f>
        <v>39</v>
      </c>
      <c r="E206" s="33"/>
      <c r="H206" s="34"/>
      <c r="L206" s="25" t="s">
        <v>420</v>
      </c>
      <c r="M206" s="27">
        <v>1</v>
      </c>
      <c r="N206" s="25">
        <v>240</v>
      </c>
      <c r="O206" s="25" t="s">
        <v>322</v>
      </c>
      <c r="P206" s="28">
        <v>8800</v>
      </c>
      <c r="Q206" s="29"/>
      <c r="R206" s="35"/>
      <c r="S206" s="36"/>
      <c r="V206" s="37"/>
      <c r="W206" s="32"/>
      <c r="X206" s="37">
        <f>IF(NOTA[[#This Row],[HARGA/ CTN]]="",NOTA[[#This Row],[JUMLAH_H]],NOTA[[#This Row],[HARGA/ CTN]]*IF(NOTA[[#This Row],[C]]="",0,NOTA[[#This Row],[C]]))</f>
        <v>2112000</v>
      </c>
      <c r="Y206" s="37">
        <f>IF(NOTA[[#This Row],[JUMLAH]]="","",NOTA[[#This Row],[JUMLAH]]*NOTA[[#This Row],[DISC 1]])</f>
        <v>0</v>
      </c>
      <c r="Z206" s="37">
        <f>IF(NOTA[[#This Row],[JUMLAH]]="","",(NOTA[[#This Row],[JUMLAH]]-NOTA[[#This Row],[DISC 1-]])*NOTA[[#This Row],[DISC 2]])</f>
        <v>0</v>
      </c>
      <c r="AA206" s="37">
        <f>IF(NOTA[[#This Row],[JUMLAH]]="","",(NOTA[[#This Row],[JUMLAH]]-NOTA[[#This Row],[DISC 1-]]-NOTA[[#This Row],[DISC 2-]])*NOTA[[#This Row],[DISC 3]])</f>
        <v>0</v>
      </c>
      <c r="AB206" s="37">
        <f>IF(NOTA[[#This Row],[JUMLAH]]="","",NOTA[[#This Row],[DISC 1-]]+NOTA[[#This Row],[DISC 2-]]+NOTA[[#This Row],[DISC 3-]])</f>
        <v>0</v>
      </c>
      <c r="AC206" s="37">
        <f>IF(NOTA[[#This Row],[JUMLAH]]="","",NOTA[[#This Row],[JUMLAH]]-NOTA[[#This Row],[DISC]])</f>
        <v>2112000</v>
      </c>
      <c r="AD206" s="37"/>
      <c r="AE2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6" s="28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H206" s="37">
        <f>IF(OR(NOTA[[#This Row],[QTY]]="",NOTA[[#This Row],[HARGA SATUAN]]="",),"",NOTA[[#This Row],[QTY]]*NOTA[[#This Row],[HARGA SATUAN]])</f>
        <v>2112000</v>
      </c>
      <c r="AI206" s="26">
        <f ca="1">IF(NOTA[[#This Row],[ID_H]]="","",INDEX(NOTA[TANGGAL],MATCH(,INDIRECT(ADDRESS(ROW(NOTA[TANGGAL]),COLUMN(NOTA[TANGGAL]))&amp;":"&amp;ADDRESS(ROW(),COLUMN(NOTA[TANGGAL]))),-1)))</f>
        <v>45461</v>
      </c>
      <c r="AJ206" s="26">
        <f ca="1">IF(NOTA[[#This Row],[ID_H]]="","",INDEX(NOTA[TGL.NOTA],MATCH(,INDIRECT(ADDRESS(ROW(NOTA[TGL.NOTA]),COLUMN(NOTA[TGL.NOTA]))&amp;":"&amp;ADDRESS(ROW(),COLUMN(NOTA[TGL.NOTA]))),-1)))</f>
        <v>45456</v>
      </c>
      <c r="AK206" s="26" t="str">
        <f ca="1">IF(NOTA[[#This Row],[ID_H]]="","",INDEX(NOTA[NO.NOTA],MATCH(NOTA[[#This Row],[ID_H]],NOTA[ID_H],0)))</f>
        <v>JUF308/24</v>
      </c>
      <c r="AL206" s="28" t="str">
        <f ca="1">IF(NOTA[[#This Row],[NAMA BARANG]]="","",INDEX(NOTA[SUPPLIER],MATCH(,INDIRECT(ADDRESS(ROW(NOTA[ID]),COLUMN(NOTA[ID]))&amp;":"&amp;ADDRESS(ROW(),COLUMN(NOTA[ID]))),-1)))</f>
        <v>DB STATIONERY</v>
      </c>
      <c r="AM206" s="28" t="str">
        <f ca="1">IF(NOTA[[#This Row],[ID_H]]="","",IF(NOTA[[#This Row],[FAKTUR]]="",INDIRECT(ADDRESS(ROW()-1,COLUMN())),NOTA[[#This Row],[FAKTUR]]))</f>
        <v>UNTANA</v>
      </c>
      <c r="AN206" s="25" t="str">
        <f ca="1">IF(NOTA[[#This Row],[ID]]="","",COUNTIF(NOTA[ID_H],NOTA[[#This Row],[ID_H]]))</f>
        <v/>
      </c>
      <c r="AO206" s="25">
        <f ca="1">IF(NOTA[[#This Row],[TGL.NOTA]]="",IF(NOTA[[#This Row],[SUPPLIER_H]]="","",AO205),MONTH(NOTA[[#This Row],[TGL.NOTA]]))</f>
        <v>6</v>
      </c>
      <c r="AP206" s="25" t="str">
        <f>LOWER(SUBSTITUTE(SUBSTITUTE(SUBSTITUTE(SUBSTITUTE(SUBSTITUTE(SUBSTITUTE(SUBSTITUTE(SUBSTITUTE(SUBSTITUTE(NOTA[[#This Row],[NAMA BARANG]]," ",),".",""),"-",""),"(",""),")",""),",",""),"/",""),"""",""),"+",""))</f>
        <v>pensil12wpanjangkycp1210</v>
      </c>
      <c r="AQ2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pensil12wpanjangkycp12102112000</v>
      </c>
      <c r="AR2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pensil12wpanjangkycp12102112000</v>
      </c>
      <c r="AS2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6" s="25"/>
      <c r="AU206" s="25">
        <f>IF(NOTA[[#This Row],[CONCAT1]]="","",MATCH(NOTA[[#This Row],[CONCAT1]],[3]!db[NB NOTA_C],0))</f>
        <v>2657</v>
      </c>
      <c r="AV206" s="25" t="str">
        <f>IF(NOTA[[#This Row],[QTY/ CTN]]="","",TRUE)</f>
        <v/>
      </c>
      <c r="AW206" s="25" t="str">
        <f ca="1">IF(NOTA[[#This Row],[ID_H]]="","",IF(NOTA[[#This Row],[Column3]]=TRUE,NOTA[[#This Row],[QTY/ CTN]],INDEX([3]!db[QTY/ CTN],NOTA[[#This Row],[//DB]])))</f>
        <v>240 SET</v>
      </c>
      <c r="AX2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pensil12wpanjangkycp1210240setuntana</v>
      </c>
      <c r="AY206" s="25" t="e">
        <f ca="1">IF(NOTA[[#This Row],[ID_H]]="","",MATCH(NOTA[[#This Row],[NB NOTA_C_QTY]],[3]!db[NB NOTA_C_QTY+F],0))</f>
        <v>#N/A</v>
      </c>
      <c r="AZ206" s="38">
        <f ca="1">IF(NOTA[[#This Row],[NB NOTA_C_QTY]]="","",ROW()-2)</f>
        <v>204</v>
      </c>
    </row>
    <row r="207" spans="1:52" ht="20.100000000000001" customHeight="1">
      <c r="A2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7" s="25">
        <f ca="1">IF(NOTA[[#This Row],[NAMA BARANG]]="","",INDEX(NOTA[ID],MATCH(,INDIRECT(ADDRESS(ROW(NOTA[ID]),COLUMN(NOTA[ID]))&amp;":"&amp;ADDRESS(ROW(),COLUMN(NOTA[ID]))),-1)))</f>
        <v>39</v>
      </c>
      <c r="E207" s="33"/>
      <c r="H207" s="34"/>
      <c r="L207" s="25" t="s">
        <v>421</v>
      </c>
      <c r="M207" s="27">
        <v>3</v>
      </c>
      <c r="N207" s="25">
        <v>432</v>
      </c>
      <c r="O207" s="25" t="s">
        <v>110</v>
      </c>
      <c r="P207" s="28">
        <v>21000</v>
      </c>
      <c r="Q207" s="29"/>
      <c r="R207" s="35"/>
      <c r="S207" s="36"/>
      <c r="V207" s="37"/>
      <c r="W207" s="32"/>
      <c r="X207" s="37">
        <f>IF(NOTA[[#This Row],[HARGA/ CTN]]="",NOTA[[#This Row],[JUMLAH_H]],NOTA[[#This Row],[HARGA/ CTN]]*IF(NOTA[[#This Row],[C]]="",0,NOTA[[#This Row],[C]]))</f>
        <v>9072000</v>
      </c>
      <c r="Y207" s="37">
        <f>IF(NOTA[[#This Row],[JUMLAH]]="","",NOTA[[#This Row],[JUMLAH]]*NOTA[[#This Row],[DISC 1]])</f>
        <v>0</v>
      </c>
      <c r="Z207" s="37">
        <f>IF(NOTA[[#This Row],[JUMLAH]]="","",(NOTA[[#This Row],[JUMLAH]]-NOTA[[#This Row],[DISC 1-]])*NOTA[[#This Row],[DISC 2]])</f>
        <v>0</v>
      </c>
      <c r="AA207" s="37">
        <f>IF(NOTA[[#This Row],[JUMLAH]]="","",(NOTA[[#This Row],[JUMLAH]]-NOTA[[#This Row],[DISC 1-]]-NOTA[[#This Row],[DISC 2-]])*NOTA[[#This Row],[DISC 3]])</f>
        <v>0</v>
      </c>
      <c r="AB207" s="37">
        <f>IF(NOTA[[#This Row],[JUMLAH]]="","",NOTA[[#This Row],[DISC 1-]]+NOTA[[#This Row],[DISC 2-]]+NOTA[[#This Row],[DISC 3-]])</f>
        <v>0</v>
      </c>
      <c r="AC207" s="37">
        <f>IF(NOTA[[#This Row],[JUMLAH]]="","",NOTA[[#This Row],[JUMLAH]]-NOTA[[#This Row],[DISC]])</f>
        <v>9072000</v>
      </c>
      <c r="AD207" s="37"/>
      <c r="AE20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0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94802400</v>
      </c>
      <c r="AG207" s="28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207" s="37">
        <f>IF(OR(NOTA[[#This Row],[QTY]]="",NOTA[[#This Row],[HARGA SATUAN]]="",),"",NOTA[[#This Row],[QTY]]*NOTA[[#This Row],[HARGA SATUAN]])</f>
        <v>9072000</v>
      </c>
      <c r="AI207" s="26">
        <f ca="1">IF(NOTA[[#This Row],[ID_H]]="","",INDEX(NOTA[TANGGAL],MATCH(,INDIRECT(ADDRESS(ROW(NOTA[TANGGAL]),COLUMN(NOTA[TANGGAL]))&amp;":"&amp;ADDRESS(ROW(),COLUMN(NOTA[TANGGAL]))),-1)))</f>
        <v>45461</v>
      </c>
      <c r="AJ207" s="26">
        <f ca="1">IF(NOTA[[#This Row],[ID_H]]="","",INDEX(NOTA[TGL.NOTA],MATCH(,INDIRECT(ADDRESS(ROW(NOTA[TGL.NOTA]),COLUMN(NOTA[TGL.NOTA]))&amp;":"&amp;ADDRESS(ROW(),COLUMN(NOTA[TGL.NOTA]))),-1)))</f>
        <v>45456</v>
      </c>
      <c r="AK207" s="26" t="str">
        <f ca="1">IF(NOTA[[#This Row],[ID_H]]="","",INDEX(NOTA[NO.NOTA],MATCH(NOTA[[#This Row],[ID_H]],NOTA[ID_H],0)))</f>
        <v>JUF308/24</v>
      </c>
      <c r="AL207" s="28" t="str">
        <f ca="1">IF(NOTA[[#This Row],[NAMA BARANG]]="","",INDEX(NOTA[SUPPLIER],MATCH(,INDIRECT(ADDRESS(ROW(NOTA[ID]),COLUMN(NOTA[ID]))&amp;":"&amp;ADDRESS(ROW(),COLUMN(NOTA[ID]))),-1)))</f>
        <v>DB STATIONERY</v>
      </c>
      <c r="AM207" s="28" t="str">
        <f ca="1">IF(NOTA[[#This Row],[ID_H]]="","",IF(NOTA[[#This Row],[FAKTUR]]="",INDIRECT(ADDRESS(ROW()-1,COLUMN())),NOTA[[#This Row],[FAKTUR]]))</f>
        <v>UNTANA</v>
      </c>
      <c r="AN207" s="25" t="str">
        <f ca="1">IF(NOTA[[#This Row],[ID]]="","",COUNTIF(NOTA[ID_H],NOTA[[#This Row],[ID_H]]))</f>
        <v/>
      </c>
      <c r="AO207" s="25">
        <f ca="1">IF(NOTA[[#This Row],[TGL.NOTA]]="",IF(NOTA[[#This Row],[SUPPLIER_H]]="","",AO206),MONTH(NOTA[[#This Row],[TGL.NOTA]]))</f>
        <v>6</v>
      </c>
      <c r="AP207" s="25" t="str">
        <f>LOWER(SUBSTITUTE(SUBSTITUTE(SUBSTITUTE(SUBSTITUTE(SUBSTITUTE(SUBSTITUTE(SUBSTITUTE(SUBSTITUTE(SUBSTITUTE(NOTA[[#This Row],[NAMA BARANG]]," ",),".",""),"-",""),"(",""),")",""),",",""),"/",""),"""",""),"+",""))</f>
        <v>geltizotg31220</v>
      </c>
      <c r="AQ2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R2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S2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7" s="25"/>
      <c r="AU207" s="25">
        <f>IF(NOTA[[#This Row],[CONCAT1]]="","",MATCH(NOTA[[#This Row],[CONCAT1]],[3]!db[NB NOTA_C],0))</f>
        <v>1259</v>
      </c>
      <c r="AV207" s="25" t="str">
        <f>IF(NOTA[[#This Row],[QTY/ CTN]]="","",TRUE)</f>
        <v/>
      </c>
      <c r="AW207" s="25" t="str">
        <f ca="1">IF(NOTA[[#This Row],[ID_H]]="","",IF(NOTA[[#This Row],[Column3]]=TRUE,NOTA[[#This Row],[QTY/ CTN]],INDEX([3]!db[QTY/ CTN],NOTA[[#This Row],[//DB]])))</f>
        <v>144 LSN</v>
      </c>
      <c r="AX2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geltizotg31220144lsnuntana</v>
      </c>
      <c r="AY207" s="25">
        <f ca="1">IF(NOTA[[#This Row],[ID_H]]="","",MATCH(NOTA[[#This Row],[NB NOTA_C_QTY]],[3]!db[NB NOTA_C_QTY+F],0))</f>
        <v>1259</v>
      </c>
      <c r="AZ207" s="38">
        <f ca="1">IF(NOTA[[#This Row],[NB NOTA_C_QTY]]="","",ROW()-2)</f>
        <v>205</v>
      </c>
    </row>
    <row r="208" spans="1:52" ht="20.100000000000001" customHeight="1">
      <c r="A2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8" s="25" t="str">
        <f ca="1">IF(NOTA[[#This Row],[NAMA BARANG]]="","",INDEX(NOTA[ID],MATCH(,INDIRECT(ADDRESS(ROW(NOTA[ID]),COLUMN(NOTA[ID]))&amp;":"&amp;ADDRESS(ROW(),COLUMN(NOTA[ID]))),-1)))</f>
        <v/>
      </c>
      <c r="E208" s="33"/>
      <c r="H208" s="34"/>
      <c r="Q208" s="29"/>
      <c r="R208" s="35"/>
      <c r="S208" s="36"/>
      <c r="V208" s="37"/>
      <c r="W208" s="32"/>
      <c r="X208" s="37" t="str">
        <f>IF(NOTA[[#This Row],[HARGA/ CTN]]="",NOTA[[#This Row],[JUMLAH_H]],NOTA[[#This Row],[HARGA/ CTN]]*IF(NOTA[[#This Row],[C]]="",0,NOTA[[#This Row],[C]]))</f>
        <v/>
      </c>
      <c r="Y208" s="37" t="str">
        <f>IF(NOTA[[#This Row],[JUMLAH]]="","",NOTA[[#This Row],[JUMLAH]]*NOTA[[#This Row],[DISC 1]])</f>
        <v/>
      </c>
      <c r="Z208" s="37" t="str">
        <f>IF(NOTA[[#This Row],[JUMLAH]]="","",(NOTA[[#This Row],[JUMLAH]]-NOTA[[#This Row],[DISC 1-]])*NOTA[[#This Row],[DISC 2]])</f>
        <v/>
      </c>
      <c r="AA208" s="37" t="str">
        <f>IF(NOTA[[#This Row],[JUMLAH]]="","",(NOTA[[#This Row],[JUMLAH]]-NOTA[[#This Row],[DISC 1-]]-NOTA[[#This Row],[DISC 2-]])*NOTA[[#This Row],[DISC 3]])</f>
        <v/>
      </c>
      <c r="AB208" s="37" t="str">
        <f>IF(NOTA[[#This Row],[JUMLAH]]="","",NOTA[[#This Row],[DISC 1-]]+NOTA[[#This Row],[DISC 2-]]+NOTA[[#This Row],[DISC 3-]])</f>
        <v/>
      </c>
      <c r="AC208" s="37" t="str">
        <f>IF(NOTA[[#This Row],[JUMLAH]]="","",NOTA[[#This Row],[JUMLAH]]-NOTA[[#This Row],[DISC]])</f>
        <v/>
      </c>
      <c r="AD208" s="37"/>
      <c r="AE2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8" s="37" t="str">
        <f>IF(OR(NOTA[[#This Row],[QTY]]="",NOTA[[#This Row],[HARGA SATUAN]]="",),"",NOTA[[#This Row],[QTY]]*NOTA[[#This Row],[HARGA SATUAN]])</f>
        <v/>
      </c>
      <c r="AI208" s="26" t="str">
        <f ca="1">IF(NOTA[[#This Row],[ID_H]]="","",INDEX(NOTA[TANGGAL],MATCH(,INDIRECT(ADDRESS(ROW(NOTA[TANGGAL]),COLUMN(NOTA[TANGGAL]))&amp;":"&amp;ADDRESS(ROW(),COLUMN(NOTA[TANGGAL]))),-1)))</f>
        <v/>
      </c>
      <c r="AJ208" s="26" t="str">
        <f ca="1">IF(NOTA[[#This Row],[ID_H]]="","",INDEX(NOTA[TGL.NOTA],MATCH(,INDIRECT(ADDRESS(ROW(NOTA[TGL.NOTA]),COLUMN(NOTA[TGL.NOTA]))&amp;":"&amp;ADDRESS(ROW(),COLUMN(NOTA[TGL.NOTA]))),-1)))</f>
        <v/>
      </c>
      <c r="AK208" s="26" t="str">
        <f ca="1">IF(NOTA[[#This Row],[ID_H]]="","",INDEX(NOTA[NO.NOTA],MATCH(NOTA[[#This Row],[ID_H]],NOTA[ID_H],0)))</f>
        <v/>
      </c>
      <c r="AL208" s="28" t="str">
        <f ca="1">IF(NOTA[[#This Row],[NAMA BARANG]]="","",INDEX(NOTA[SUPPLIER],MATCH(,INDIRECT(ADDRESS(ROW(NOTA[ID]),COLUMN(NOTA[ID]))&amp;":"&amp;ADDRESS(ROW(),COLUMN(NOTA[ID]))),-1)))</f>
        <v/>
      </c>
      <c r="AM208" s="28" t="str">
        <f ca="1">IF(NOTA[[#This Row],[ID_H]]="","",IF(NOTA[[#This Row],[FAKTUR]]="",INDIRECT(ADDRESS(ROW()-1,COLUMN())),NOTA[[#This Row],[FAKTUR]]))</f>
        <v/>
      </c>
      <c r="AN208" s="25" t="str">
        <f ca="1">IF(NOTA[[#This Row],[ID]]="","",COUNTIF(NOTA[ID_H],NOTA[[#This Row],[ID_H]]))</f>
        <v/>
      </c>
      <c r="AO208" s="25" t="str">
        <f ca="1">IF(NOTA[[#This Row],[TGL.NOTA]]="",IF(NOTA[[#This Row],[SUPPLIER_H]]="","",AO207),MONTH(NOTA[[#This Row],[TGL.NOTA]]))</f>
        <v/>
      </c>
      <c r="AP2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8" s="25"/>
      <c r="AU208" s="25" t="str">
        <f>IF(NOTA[[#This Row],[CONCAT1]]="","",MATCH(NOTA[[#This Row],[CONCAT1]],[3]!db[NB NOTA_C],0))</f>
        <v/>
      </c>
      <c r="AV208" s="25" t="str">
        <f>IF(NOTA[[#This Row],[QTY/ CTN]]="","",TRUE)</f>
        <v/>
      </c>
      <c r="AW208" s="25" t="str">
        <f ca="1">IF(NOTA[[#This Row],[ID_H]]="","",IF(NOTA[[#This Row],[Column3]]=TRUE,NOTA[[#This Row],[QTY/ CTN]],INDEX([3]!db[QTY/ CTN],NOTA[[#This Row],[//DB]])))</f>
        <v/>
      </c>
      <c r="AX2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8" s="25" t="str">
        <f ca="1">IF(NOTA[[#This Row],[ID_H]]="","",MATCH(NOTA[[#This Row],[NB NOTA_C_QTY]],[3]!db[NB NOTA_C_QTY+F],0))</f>
        <v/>
      </c>
      <c r="AZ208" s="38" t="str">
        <f ca="1">IF(NOTA[[#This Row],[NB NOTA_C_QTY]]="","",ROW()-2)</f>
        <v/>
      </c>
    </row>
    <row r="209" spans="1:52" ht="20.100000000000001" customHeight="1">
      <c r="A209" s="28">
        <f ca="1">IF(INDIRECT(ADDRESS(ROW()-1,COLUMN(NOTA[[#Headers],[ID]])))="ID",1,IF(NOTA[[#This Row],[FAKTUR]]="","",COUNT(INDIRECT(ADDRESS(ROW(NOTA[ID]),COLUMN(NOTA[ID]))&amp;":"&amp;ADDRESS(ROW()-1,COLUMN(NOTA[ID]))))+1))</f>
        <v>40</v>
      </c>
      <c r="B20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HAN_1806_160-3</v>
      </c>
      <c r="D209" s="25">
        <f ca="1">IF(NOTA[[#This Row],[NAMA BARANG]]="","",INDEX(NOTA[ID],MATCH(,INDIRECT(ADDRESS(ROW(NOTA[ID]),COLUMN(NOTA[ID]))&amp;":"&amp;ADDRESS(ROW(),COLUMN(NOTA[ID]))),-1)))</f>
        <v>40</v>
      </c>
      <c r="E209" s="33"/>
      <c r="F209" s="25" t="s">
        <v>328</v>
      </c>
      <c r="G209" s="25" t="s">
        <v>109</v>
      </c>
      <c r="H209" s="34" t="s">
        <v>423</v>
      </c>
      <c r="J209" s="26">
        <v>45461</v>
      </c>
      <c r="L209" s="25" t="s">
        <v>424</v>
      </c>
      <c r="N209" s="25">
        <v>6</v>
      </c>
      <c r="O209" s="25" t="s">
        <v>110</v>
      </c>
      <c r="P209" s="28">
        <v>39000</v>
      </c>
      <c r="Q209" s="29"/>
      <c r="R209" s="35"/>
      <c r="S209" s="36"/>
      <c r="V209" s="37"/>
      <c r="W209" s="32"/>
      <c r="X209" s="37">
        <f>IF(NOTA[[#This Row],[HARGA/ CTN]]="",NOTA[[#This Row],[JUMLAH_H]],NOTA[[#This Row],[HARGA/ CTN]]*IF(NOTA[[#This Row],[C]]="",0,NOTA[[#This Row],[C]]))</f>
        <v>234000</v>
      </c>
      <c r="Y209" s="37">
        <f>IF(NOTA[[#This Row],[JUMLAH]]="","",NOTA[[#This Row],[JUMLAH]]*NOTA[[#This Row],[DISC 1]])</f>
        <v>0</v>
      </c>
      <c r="Z209" s="37">
        <f>IF(NOTA[[#This Row],[JUMLAH]]="","",(NOTA[[#This Row],[JUMLAH]]-NOTA[[#This Row],[DISC 1-]])*NOTA[[#This Row],[DISC 2]])</f>
        <v>0</v>
      </c>
      <c r="AA209" s="37">
        <f>IF(NOTA[[#This Row],[JUMLAH]]="","",(NOTA[[#This Row],[JUMLAH]]-NOTA[[#This Row],[DISC 1-]]-NOTA[[#This Row],[DISC 2-]])*NOTA[[#This Row],[DISC 3]])</f>
        <v>0</v>
      </c>
      <c r="AB209" s="37">
        <f>IF(NOTA[[#This Row],[JUMLAH]]="","",NOTA[[#This Row],[DISC 1-]]+NOTA[[#This Row],[DISC 2-]]+NOTA[[#This Row],[DISC 3-]])</f>
        <v>0</v>
      </c>
      <c r="AC209" s="37">
        <f>IF(NOTA[[#This Row],[JUMLAH]]="","",NOTA[[#This Row],[JUMLAH]]-NOTA[[#This Row],[DISC]])</f>
        <v>234000</v>
      </c>
      <c r="AD209" s="37"/>
      <c r="AE2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9" s="28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H209" s="37">
        <f>IF(OR(NOTA[[#This Row],[QTY]]="",NOTA[[#This Row],[HARGA SATUAN]]="",),"",NOTA[[#This Row],[QTY]]*NOTA[[#This Row],[HARGA SATUAN]])</f>
        <v>234000</v>
      </c>
      <c r="AI209" s="26">
        <f ca="1">IF(NOTA[[#This Row],[ID_H]]="","",INDEX(NOTA[TANGGAL],MATCH(,INDIRECT(ADDRESS(ROW(NOTA[TANGGAL]),COLUMN(NOTA[TANGGAL]))&amp;":"&amp;ADDRESS(ROW(),COLUMN(NOTA[TANGGAL]))),-1)))</f>
        <v>45461</v>
      </c>
      <c r="AJ209" s="26">
        <f ca="1">IF(NOTA[[#This Row],[ID_H]]="","",INDEX(NOTA[TGL.NOTA],MATCH(,INDIRECT(ADDRESS(ROW(NOTA[TGL.NOTA]),COLUMN(NOTA[TGL.NOTA]))&amp;":"&amp;ADDRESS(ROW(),COLUMN(NOTA[TGL.NOTA]))),-1)))</f>
        <v>45461</v>
      </c>
      <c r="AK209" s="26" t="str">
        <f ca="1">IF(NOTA[[#This Row],[ID_H]]="","",INDEX(NOTA[NO.NOTA],MATCH(NOTA[[#This Row],[ID_H]],NOTA[ID_H],0)))</f>
        <v>HN062024160</v>
      </c>
      <c r="AL209" s="28" t="str">
        <f ca="1">IF(NOTA[[#This Row],[NAMA BARANG]]="","",INDEX(NOTA[SUPPLIER],MATCH(,INDIRECT(ADDRESS(ROW(NOTA[ID]),COLUMN(NOTA[ID]))&amp;":"&amp;ADDRESS(ROW(),COLUMN(NOTA[ID]))),-1)))</f>
        <v>HANSA</v>
      </c>
      <c r="AM209" s="28" t="str">
        <f ca="1">IF(NOTA[[#This Row],[ID_H]]="","",IF(NOTA[[#This Row],[FAKTUR]]="",INDIRECT(ADDRESS(ROW()-1,COLUMN())),NOTA[[#This Row],[FAKTUR]]))</f>
        <v>UNTANA</v>
      </c>
      <c r="AN209" s="25">
        <f ca="1">IF(NOTA[[#This Row],[ID]]="","",COUNTIF(NOTA[ID_H],NOTA[[#This Row],[ID_H]]))</f>
        <v>3</v>
      </c>
      <c r="AO209" s="25">
        <f>IF(NOTA[[#This Row],[TGL.NOTA]]="",IF(NOTA[[#This Row],[SUPPLIER_H]]="","",AO208),MONTH(NOTA[[#This Row],[TGL.NOTA]]))</f>
        <v>6</v>
      </c>
      <c r="AP209" s="25" t="str">
        <f>LOWER(SUBSTITUTE(SUBSTITUTE(SUBSTITUTE(SUBSTITUTE(SUBSTITUTE(SUBSTITUTE(SUBSTITUTE(SUBSTITUTE(SUBSTITUTE(NOTA[[#This Row],[NAMA BARANG]]," ",),".",""),"-",""),"(",""),")",""),",",""),"/",""),"""",""),"+",""))</f>
        <v>lilinshintoeng12btg</v>
      </c>
      <c r="AQ2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lilinshintoeng12btg234000</v>
      </c>
      <c r="AR2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lilinshintoeng12btg39000</v>
      </c>
      <c r="AS209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HANSAUNTANAHN06202416045461lilinshintoeng12btg</v>
      </c>
      <c r="AT209" s="25"/>
      <c r="AU209" s="25">
        <f>IF(NOTA[[#This Row],[CONCAT1]]="","",MATCH(NOTA[[#This Row],[CONCAT1]],[3]!db[NB NOTA_C],0))</f>
        <v>1993</v>
      </c>
      <c r="AV209" s="25" t="str">
        <f>IF(NOTA[[#This Row],[QTY/ CTN]]="","",TRUE)</f>
        <v/>
      </c>
      <c r="AW209" s="25" t="str">
        <f ca="1">IF(NOTA[[#This Row],[ID_H]]="","",IF(NOTA[[#This Row],[Column3]]=TRUE,NOTA[[#This Row],[QTY/ CTN]],INDEX([3]!db[QTY/ CTN],NOTA[[#This Row],[//DB]])))</f>
        <v>50 LSN</v>
      </c>
      <c r="AX2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lilinshintoeng12btg50lsnuntana</v>
      </c>
      <c r="AY209" s="25">
        <f ca="1">IF(NOTA[[#This Row],[ID_H]]="","",MATCH(NOTA[[#This Row],[NB NOTA_C_QTY]],[3]!db[NB NOTA_C_QTY+F],0))</f>
        <v>1993</v>
      </c>
      <c r="AZ209" s="38">
        <f ca="1">IF(NOTA[[#This Row],[NB NOTA_C_QTY]]="","",ROW()-2)</f>
        <v>207</v>
      </c>
    </row>
    <row r="210" spans="1:52" ht="20.100000000000001" customHeight="1">
      <c r="A2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10" s="25">
        <f ca="1">IF(NOTA[[#This Row],[NAMA BARANG]]="","",INDEX(NOTA[ID],MATCH(,INDIRECT(ADDRESS(ROW(NOTA[ID]),COLUMN(NOTA[ID]))&amp;":"&amp;ADDRESS(ROW(),COLUMN(NOTA[ID]))),-1)))</f>
        <v>40</v>
      </c>
      <c r="E210" s="33"/>
      <c r="H210" s="34"/>
      <c r="L210" s="25" t="s">
        <v>360</v>
      </c>
      <c r="N210" s="25">
        <v>10</v>
      </c>
      <c r="O210" s="25" t="s">
        <v>111</v>
      </c>
      <c r="P210" s="28">
        <v>5770</v>
      </c>
      <c r="Q210" s="29"/>
      <c r="R210" s="35"/>
      <c r="S210" s="36"/>
      <c r="V210" s="37"/>
      <c r="W210" s="32"/>
      <c r="X210" s="37">
        <f>IF(NOTA[[#This Row],[HARGA/ CTN]]="",NOTA[[#This Row],[JUMLAH_H]],NOTA[[#This Row],[HARGA/ CTN]]*IF(NOTA[[#This Row],[C]]="",0,NOTA[[#This Row],[C]]))</f>
        <v>57700</v>
      </c>
      <c r="Y210" s="37">
        <f>IF(NOTA[[#This Row],[JUMLAH]]="","",NOTA[[#This Row],[JUMLAH]]*NOTA[[#This Row],[DISC 1]])</f>
        <v>0</v>
      </c>
      <c r="Z210" s="37">
        <f>IF(NOTA[[#This Row],[JUMLAH]]="","",(NOTA[[#This Row],[JUMLAH]]-NOTA[[#This Row],[DISC 1-]])*NOTA[[#This Row],[DISC 2]])</f>
        <v>0</v>
      </c>
      <c r="AA210" s="37">
        <f>IF(NOTA[[#This Row],[JUMLAH]]="","",(NOTA[[#This Row],[JUMLAH]]-NOTA[[#This Row],[DISC 1-]]-NOTA[[#This Row],[DISC 2-]])*NOTA[[#This Row],[DISC 3]])</f>
        <v>0</v>
      </c>
      <c r="AB210" s="37">
        <f>IF(NOTA[[#This Row],[JUMLAH]]="","",NOTA[[#This Row],[DISC 1-]]+NOTA[[#This Row],[DISC 2-]]+NOTA[[#This Row],[DISC 3-]])</f>
        <v>0</v>
      </c>
      <c r="AC210" s="37">
        <f>IF(NOTA[[#This Row],[JUMLAH]]="","",NOTA[[#This Row],[JUMLAH]]-NOTA[[#This Row],[DISC]])</f>
        <v>57700</v>
      </c>
      <c r="AD210" s="37"/>
      <c r="AE2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0" s="28">
        <f>IF(NOTA[[#This Row],[NAMA BARANG]]="","",IF(NOTA[[#This Row],[JUMLAH_H]]="",NOTA[[#This Row],[HARGA/ CTN]],NOTA[[#This Row],[QTY]]*NOTA[[#This Row],[HARGA SATUAN]]/IF(ISNUMBER(NOTA[[#This Row],[C]]),NOTA[[#This Row],[C]],1)))</f>
        <v>57700</v>
      </c>
      <c r="AH210" s="37">
        <f>IF(OR(NOTA[[#This Row],[QTY]]="",NOTA[[#This Row],[HARGA SATUAN]]="",),"",NOTA[[#This Row],[QTY]]*NOTA[[#This Row],[HARGA SATUAN]])</f>
        <v>57700</v>
      </c>
      <c r="AI210" s="26">
        <f ca="1">IF(NOTA[[#This Row],[ID_H]]="","",INDEX(NOTA[TANGGAL],MATCH(,INDIRECT(ADDRESS(ROW(NOTA[TANGGAL]),COLUMN(NOTA[TANGGAL]))&amp;":"&amp;ADDRESS(ROW(),COLUMN(NOTA[TANGGAL]))),-1)))</f>
        <v>45461</v>
      </c>
      <c r="AJ210" s="26">
        <f ca="1">IF(NOTA[[#This Row],[ID_H]]="","",INDEX(NOTA[TGL.NOTA],MATCH(,INDIRECT(ADDRESS(ROW(NOTA[TGL.NOTA]),COLUMN(NOTA[TGL.NOTA]))&amp;":"&amp;ADDRESS(ROW(),COLUMN(NOTA[TGL.NOTA]))),-1)))</f>
        <v>45461</v>
      </c>
      <c r="AK210" s="26" t="str">
        <f ca="1">IF(NOTA[[#This Row],[ID_H]]="","",INDEX(NOTA[NO.NOTA],MATCH(NOTA[[#This Row],[ID_H]],NOTA[ID_H],0)))</f>
        <v>HN062024160</v>
      </c>
      <c r="AL210" s="28" t="str">
        <f ca="1">IF(NOTA[[#This Row],[NAMA BARANG]]="","",INDEX(NOTA[SUPPLIER],MATCH(,INDIRECT(ADDRESS(ROW(NOTA[ID]),COLUMN(NOTA[ID]))&amp;":"&amp;ADDRESS(ROW(),COLUMN(NOTA[ID]))),-1)))</f>
        <v>HANSA</v>
      </c>
      <c r="AM210" s="28" t="str">
        <f ca="1">IF(NOTA[[#This Row],[ID_H]]="","",IF(NOTA[[#This Row],[FAKTUR]]="",INDIRECT(ADDRESS(ROW()-1,COLUMN())),NOTA[[#This Row],[FAKTUR]]))</f>
        <v>UNTANA</v>
      </c>
      <c r="AN210" s="25" t="str">
        <f ca="1">IF(NOTA[[#This Row],[ID]]="","",COUNTIF(NOTA[ID_H],NOTA[[#This Row],[ID_H]]))</f>
        <v/>
      </c>
      <c r="AO210" s="25">
        <f ca="1">IF(NOTA[[#This Row],[TGL.NOTA]]="",IF(NOTA[[#This Row],[SUPPLIER_H]]="","",AO209),MONTH(NOTA[[#This Row],[TGL.NOTA]]))</f>
        <v>6</v>
      </c>
      <c r="AP210" s="25" t="str">
        <f>LOWER(SUBSTITUTE(SUBSTITUTE(SUBSTITUTE(SUBSTITUTE(SUBSTITUTE(SUBSTITUTE(SUBSTITUTE(SUBSTITUTE(SUBSTITUTE(NOTA[[#This Row],[NAMA BARANG]]," ",),".",""),"-",""),"(",""),")",""),",",""),"/",""),"""",""),"+",""))</f>
        <v>malamshintoengb1wpolos</v>
      </c>
      <c r="AQ2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malamshintoengb1wpolos57700</v>
      </c>
      <c r="AR2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S2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0" s="25"/>
      <c r="AU210" s="25">
        <f>IF(NOTA[[#This Row],[CONCAT1]]="","",MATCH(NOTA[[#This Row],[CONCAT1]],[3]!db[NB NOTA_C],0))</f>
        <v>2052</v>
      </c>
      <c r="AV210" s="25" t="str">
        <f>IF(NOTA[[#This Row],[QTY/ CTN]]="","",TRUE)</f>
        <v/>
      </c>
      <c r="AW210" s="25" t="str">
        <f ca="1">IF(NOTA[[#This Row],[ID_H]]="","",IF(NOTA[[#This Row],[Column3]]=TRUE,NOTA[[#This Row],[QTY/ CTN]],INDEX([3]!db[QTY/ CTN],NOTA[[#This Row],[//DB]])))</f>
        <v>180 PCS</v>
      </c>
      <c r="AX2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Y210" s="25">
        <f ca="1">IF(NOTA[[#This Row],[ID_H]]="","",MATCH(NOTA[[#This Row],[NB NOTA_C_QTY]],[3]!db[NB NOTA_C_QTY+F],0))</f>
        <v>2052</v>
      </c>
      <c r="AZ210" s="38">
        <f ca="1">IF(NOTA[[#This Row],[NB NOTA_C_QTY]]="","",ROW()-2)</f>
        <v>208</v>
      </c>
    </row>
    <row r="211" spans="1:52" ht="20.100000000000001" customHeight="1">
      <c r="A2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11" s="25">
        <f ca="1">IF(NOTA[[#This Row],[NAMA BARANG]]="","",INDEX(NOTA[ID],MATCH(,INDIRECT(ADDRESS(ROW(NOTA[ID]),COLUMN(NOTA[ID]))&amp;":"&amp;ADDRESS(ROW(),COLUMN(NOTA[ID]))),-1)))</f>
        <v>40</v>
      </c>
      <c r="E211" s="33"/>
      <c r="H211" s="34"/>
      <c r="L211" s="25" t="s">
        <v>341</v>
      </c>
      <c r="N211" s="25">
        <v>10</v>
      </c>
      <c r="O211" s="25" t="s">
        <v>111</v>
      </c>
      <c r="P211" s="28">
        <v>6100</v>
      </c>
      <c r="Q211" s="29"/>
      <c r="R211" s="35"/>
      <c r="S211" s="36"/>
      <c r="V211" s="37"/>
      <c r="W211" s="32"/>
      <c r="X211" s="37">
        <f>IF(NOTA[[#This Row],[HARGA/ CTN]]="",NOTA[[#This Row],[JUMLAH_H]],NOTA[[#This Row],[HARGA/ CTN]]*IF(NOTA[[#This Row],[C]]="",0,NOTA[[#This Row],[C]]))</f>
        <v>61000</v>
      </c>
      <c r="Y211" s="37">
        <f>IF(NOTA[[#This Row],[JUMLAH]]="","",NOTA[[#This Row],[JUMLAH]]*NOTA[[#This Row],[DISC 1]])</f>
        <v>0</v>
      </c>
      <c r="Z211" s="37">
        <f>IF(NOTA[[#This Row],[JUMLAH]]="","",(NOTA[[#This Row],[JUMLAH]]-NOTA[[#This Row],[DISC 1-]])*NOTA[[#This Row],[DISC 2]])</f>
        <v>0</v>
      </c>
      <c r="AA211" s="37">
        <f>IF(NOTA[[#This Row],[JUMLAH]]="","",(NOTA[[#This Row],[JUMLAH]]-NOTA[[#This Row],[DISC 1-]]-NOTA[[#This Row],[DISC 2-]])*NOTA[[#This Row],[DISC 3]])</f>
        <v>0</v>
      </c>
      <c r="AB211" s="37">
        <f>IF(NOTA[[#This Row],[JUMLAH]]="","",NOTA[[#This Row],[DISC 1-]]+NOTA[[#This Row],[DISC 2-]]+NOTA[[#This Row],[DISC 3-]])</f>
        <v>0</v>
      </c>
      <c r="AC211" s="37">
        <f>IF(NOTA[[#This Row],[JUMLAH]]="","",NOTA[[#This Row],[JUMLAH]]-NOTA[[#This Row],[DISC]])</f>
        <v>61000</v>
      </c>
      <c r="AD211" s="37"/>
      <c r="AE21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1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352700</v>
      </c>
      <c r="AG211" s="28">
        <f>IF(NOTA[[#This Row],[NAMA BARANG]]="","",IF(NOTA[[#This Row],[JUMLAH_H]]="",NOTA[[#This Row],[HARGA/ CTN]],NOTA[[#This Row],[QTY]]*NOTA[[#This Row],[HARGA SATUAN]]/IF(ISNUMBER(NOTA[[#This Row],[C]]),NOTA[[#This Row],[C]],1)))</f>
        <v>61000</v>
      </c>
      <c r="AH211" s="37">
        <f>IF(OR(NOTA[[#This Row],[QTY]]="",NOTA[[#This Row],[HARGA SATUAN]]="",),"",NOTA[[#This Row],[QTY]]*NOTA[[#This Row],[HARGA SATUAN]])</f>
        <v>61000</v>
      </c>
      <c r="AI211" s="26">
        <f ca="1">IF(NOTA[[#This Row],[ID_H]]="","",INDEX(NOTA[TANGGAL],MATCH(,INDIRECT(ADDRESS(ROW(NOTA[TANGGAL]),COLUMN(NOTA[TANGGAL]))&amp;":"&amp;ADDRESS(ROW(),COLUMN(NOTA[TANGGAL]))),-1)))</f>
        <v>45461</v>
      </c>
      <c r="AJ211" s="26">
        <f ca="1">IF(NOTA[[#This Row],[ID_H]]="","",INDEX(NOTA[TGL.NOTA],MATCH(,INDIRECT(ADDRESS(ROW(NOTA[TGL.NOTA]),COLUMN(NOTA[TGL.NOTA]))&amp;":"&amp;ADDRESS(ROW(),COLUMN(NOTA[TGL.NOTA]))),-1)))</f>
        <v>45461</v>
      </c>
      <c r="AK211" s="26" t="str">
        <f ca="1">IF(NOTA[[#This Row],[ID_H]]="","",INDEX(NOTA[NO.NOTA],MATCH(NOTA[[#This Row],[ID_H]],NOTA[ID_H],0)))</f>
        <v>HN062024160</v>
      </c>
      <c r="AL211" s="28" t="str">
        <f ca="1">IF(NOTA[[#This Row],[NAMA BARANG]]="","",INDEX(NOTA[SUPPLIER],MATCH(,INDIRECT(ADDRESS(ROW(NOTA[ID]),COLUMN(NOTA[ID]))&amp;":"&amp;ADDRESS(ROW(),COLUMN(NOTA[ID]))),-1)))</f>
        <v>HANSA</v>
      </c>
      <c r="AM211" s="28" t="str">
        <f ca="1">IF(NOTA[[#This Row],[ID_H]]="","",IF(NOTA[[#This Row],[FAKTUR]]="",INDIRECT(ADDRESS(ROW()-1,COLUMN())),NOTA[[#This Row],[FAKTUR]]))</f>
        <v>UNTANA</v>
      </c>
      <c r="AN211" s="25" t="str">
        <f ca="1">IF(NOTA[[#This Row],[ID]]="","",COUNTIF(NOTA[ID_H],NOTA[[#This Row],[ID_H]]))</f>
        <v/>
      </c>
      <c r="AO211" s="25">
        <f ca="1">IF(NOTA[[#This Row],[TGL.NOTA]]="",IF(NOTA[[#This Row],[SUPPLIER_H]]="","",AO210),MONTH(NOTA[[#This Row],[TGL.NOTA]]))</f>
        <v>6</v>
      </c>
      <c r="AP211" s="25" t="str">
        <f>LOWER(SUBSTITUTE(SUBSTITUTE(SUBSTITUTE(SUBSTITUTE(SUBSTITUTE(SUBSTITUTE(SUBSTITUTE(SUBSTITUTE(SUBSTITUTE(NOTA[[#This Row],[NAMA BARANG]]," ",),".",""),"-",""),"(",""),")",""),",",""),"/",""),"""",""),"+",""))</f>
        <v>malamshintoengb612w</v>
      </c>
      <c r="AQ2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malamshintoengb612w61000</v>
      </c>
      <c r="AR2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S2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1" s="25"/>
      <c r="AU211" s="25">
        <f>IF(NOTA[[#This Row],[CONCAT1]]="","",MATCH(NOTA[[#This Row],[CONCAT1]],[3]!db[NB NOTA_C],0))</f>
        <v>2053</v>
      </c>
      <c r="AV211" s="25" t="str">
        <f>IF(NOTA[[#This Row],[QTY/ CTN]]="","",TRUE)</f>
        <v/>
      </c>
      <c r="AW211" s="25" t="str">
        <f ca="1">IF(NOTA[[#This Row],[ID_H]]="","",IF(NOTA[[#This Row],[Column3]]=TRUE,NOTA[[#This Row],[QTY/ CTN]],INDEX([3]!db[QTY/ CTN],NOTA[[#This Row],[//DB]])))</f>
        <v>150 PCS</v>
      </c>
      <c r="AX2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Y211" s="25">
        <f ca="1">IF(NOTA[[#This Row],[ID_H]]="","",MATCH(NOTA[[#This Row],[NB NOTA_C_QTY]],[3]!db[NB NOTA_C_QTY+F],0))</f>
        <v>2053</v>
      </c>
      <c r="AZ211" s="38">
        <f ca="1">IF(NOTA[[#This Row],[NB NOTA_C_QTY]]="","",ROW()-2)</f>
        <v>209</v>
      </c>
    </row>
    <row r="212" spans="1:52" ht="20.100000000000001" customHeight="1">
      <c r="A2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12" s="25" t="str">
        <f ca="1">IF(NOTA[[#This Row],[NAMA BARANG]]="","",INDEX(NOTA[ID],MATCH(,INDIRECT(ADDRESS(ROW(NOTA[ID]),COLUMN(NOTA[ID]))&amp;":"&amp;ADDRESS(ROW(),COLUMN(NOTA[ID]))),-1)))</f>
        <v/>
      </c>
      <c r="E212" s="33"/>
      <c r="H212" s="34"/>
      <c r="Q212" s="29"/>
      <c r="R212" s="35"/>
      <c r="S212" s="36"/>
      <c r="V212" s="37"/>
      <c r="W212" s="32"/>
      <c r="X212" s="37" t="str">
        <f>IF(NOTA[[#This Row],[HARGA/ CTN]]="",NOTA[[#This Row],[JUMLAH_H]],NOTA[[#This Row],[HARGA/ CTN]]*IF(NOTA[[#This Row],[C]]="",0,NOTA[[#This Row],[C]]))</f>
        <v/>
      </c>
      <c r="Y212" s="37" t="str">
        <f>IF(NOTA[[#This Row],[JUMLAH]]="","",NOTA[[#This Row],[JUMLAH]]*NOTA[[#This Row],[DISC 1]])</f>
        <v/>
      </c>
      <c r="Z212" s="37" t="str">
        <f>IF(NOTA[[#This Row],[JUMLAH]]="","",(NOTA[[#This Row],[JUMLAH]]-NOTA[[#This Row],[DISC 1-]])*NOTA[[#This Row],[DISC 2]])</f>
        <v/>
      </c>
      <c r="AA212" s="37" t="str">
        <f>IF(NOTA[[#This Row],[JUMLAH]]="","",(NOTA[[#This Row],[JUMLAH]]-NOTA[[#This Row],[DISC 1-]]-NOTA[[#This Row],[DISC 2-]])*NOTA[[#This Row],[DISC 3]])</f>
        <v/>
      </c>
      <c r="AB212" s="37" t="str">
        <f>IF(NOTA[[#This Row],[JUMLAH]]="","",NOTA[[#This Row],[DISC 1-]]+NOTA[[#This Row],[DISC 2-]]+NOTA[[#This Row],[DISC 3-]])</f>
        <v/>
      </c>
      <c r="AC212" s="37" t="str">
        <f>IF(NOTA[[#This Row],[JUMLAH]]="","",NOTA[[#This Row],[JUMLAH]]-NOTA[[#This Row],[DISC]])</f>
        <v/>
      </c>
      <c r="AD212" s="37"/>
      <c r="AE2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2" s="37" t="str">
        <f>IF(OR(NOTA[[#This Row],[QTY]]="",NOTA[[#This Row],[HARGA SATUAN]]="",),"",NOTA[[#This Row],[QTY]]*NOTA[[#This Row],[HARGA SATUAN]])</f>
        <v/>
      </c>
      <c r="AI212" s="26" t="str">
        <f ca="1">IF(NOTA[[#This Row],[ID_H]]="","",INDEX(NOTA[TANGGAL],MATCH(,INDIRECT(ADDRESS(ROW(NOTA[TANGGAL]),COLUMN(NOTA[TANGGAL]))&amp;":"&amp;ADDRESS(ROW(),COLUMN(NOTA[TANGGAL]))),-1)))</f>
        <v/>
      </c>
      <c r="AJ212" s="26" t="str">
        <f ca="1">IF(NOTA[[#This Row],[ID_H]]="","",INDEX(NOTA[TGL.NOTA],MATCH(,INDIRECT(ADDRESS(ROW(NOTA[TGL.NOTA]),COLUMN(NOTA[TGL.NOTA]))&amp;":"&amp;ADDRESS(ROW(),COLUMN(NOTA[TGL.NOTA]))),-1)))</f>
        <v/>
      </c>
      <c r="AK212" s="26" t="str">
        <f ca="1">IF(NOTA[[#This Row],[ID_H]]="","",INDEX(NOTA[NO.NOTA],MATCH(NOTA[[#This Row],[ID_H]],NOTA[ID_H],0)))</f>
        <v/>
      </c>
      <c r="AL212" s="28" t="str">
        <f ca="1">IF(NOTA[[#This Row],[NAMA BARANG]]="","",INDEX(NOTA[SUPPLIER],MATCH(,INDIRECT(ADDRESS(ROW(NOTA[ID]),COLUMN(NOTA[ID]))&amp;":"&amp;ADDRESS(ROW(),COLUMN(NOTA[ID]))),-1)))</f>
        <v/>
      </c>
      <c r="AM212" s="28" t="str">
        <f ca="1">IF(NOTA[[#This Row],[ID_H]]="","",IF(NOTA[[#This Row],[FAKTUR]]="",INDIRECT(ADDRESS(ROW()-1,COLUMN())),NOTA[[#This Row],[FAKTUR]]))</f>
        <v/>
      </c>
      <c r="AN212" s="25" t="str">
        <f ca="1">IF(NOTA[[#This Row],[ID]]="","",COUNTIF(NOTA[ID_H],NOTA[[#This Row],[ID_H]]))</f>
        <v/>
      </c>
      <c r="AO212" s="25" t="str">
        <f ca="1">IF(NOTA[[#This Row],[TGL.NOTA]]="",IF(NOTA[[#This Row],[SUPPLIER_H]]="","",AO211),MONTH(NOTA[[#This Row],[TGL.NOTA]]))</f>
        <v/>
      </c>
      <c r="AP2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2" s="25"/>
      <c r="AU212" s="25" t="str">
        <f>IF(NOTA[[#This Row],[CONCAT1]]="","",MATCH(NOTA[[#This Row],[CONCAT1]],[3]!db[NB NOTA_C],0))</f>
        <v/>
      </c>
      <c r="AV212" s="25" t="str">
        <f>IF(NOTA[[#This Row],[QTY/ CTN]]="","",TRUE)</f>
        <v/>
      </c>
      <c r="AW212" s="25" t="str">
        <f ca="1">IF(NOTA[[#This Row],[ID_H]]="","",IF(NOTA[[#This Row],[Column3]]=TRUE,NOTA[[#This Row],[QTY/ CTN]],INDEX([3]!db[QTY/ CTN],NOTA[[#This Row],[//DB]])))</f>
        <v/>
      </c>
      <c r="AX2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2" s="25" t="str">
        <f ca="1">IF(NOTA[[#This Row],[ID_H]]="","",MATCH(NOTA[[#This Row],[NB NOTA_C_QTY]],[3]!db[NB NOTA_C_QTY+F],0))</f>
        <v/>
      </c>
      <c r="AZ212" s="38" t="str">
        <f ca="1">IF(NOTA[[#This Row],[NB NOTA_C_QTY]]="","",ROW()-2)</f>
        <v/>
      </c>
    </row>
    <row r="213" spans="1:52" ht="20.100000000000001" customHeight="1">
      <c r="A213" s="28">
        <f ca="1">IF(INDIRECT(ADDRESS(ROW()-1,COLUMN(NOTA[[#Headers],[ID]])))="ID",1,IF(NOTA[[#This Row],[FAKTUR]]="","",COUNT(INDIRECT(ADDRESS(ROW(NOTA[ID]),COLUMN(NOTA[ID]))&amp;":"&amp;ADDRESS(ROW()-1,COLUMN(NOTA[ID]))))+1))</f>
        <v>41</v>
      </c>
      <c r="B21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PEL_1806_-2</v>
      </c>
      <c r="D213" s="25">
        <f ca="1">IF(NOTA[[#This Row],[NAMA BARANG]]="","",INDEX(NOTA[ID],MATCH(,INDIRECT(ADDRESS(ROW(NOTA[ID]),COLUMN(NOTA[ID]))&amp;":"&amp;ADDRESS(ROW(),COLUMN(NOTA[ID]))),-1)))</f>
        <v>41</v>
      </c>
      <c r="E213" s="33"/>
      <c r="F213" s="25" t="s">
        <v>425</v>
      </c>
      <c r="G213" s="25" t="s">
        <v>109</v>
      </c>
      <c r="H213" s="34"/>
      <c r="J213" s="26">
        <v>45456</v>
      </c>
      <c r="L213" s="25" t="s">
        <v>426</v>
      </c>
      <c r="M213" s="27">
        <v>20</v>
      </c>
      <c r="N213" s="25">
        <v>200</v>
      </c>
      <c r="O213" s="25" t="s">
        <v>111</v>
      </c>
      <c r="P213" s="28">
        <v>60000</v>
      </c>
      <c r="Q213" s="29"/>
      <c r="R213" s="35"/>
      <c r="S213" s="36"/>
      <c r="V213" s="37"/>
      <c r="W213" s="32"/>
      <c r="X213" s="37">
        <f>IF(NOTA[[#This Row],[HARGA/ CTN]]="",NOTA[[#This Row],[JUMLAH_H]],NOTA[[#This Row],[HARGA/ CTN]]*IF(NOTA[[#This Row],[C]]="",0,NOTA[[#This Row],[C]]))</f>
        <v>12000000</v>
      </c>
      <c r="Y213" s="37">
        <f>IF(NOTA[[#This Row],[JUMLAH]]="","",NOTA[[#This Row],[JUMLAH]]*NOTA[[#This Row],[DISC 1]])</f>
        <v>0</v>
      </c>
      <c r="Z213" s="37">
        <f>IF(NOTA[[#This Row],[JUMLAH]]="","",(NOTA[[#This Row],[JUMLAH]]-NOTA[[#This Row],[DISC 1-]])*NOTA[[#This Row],[DISC 2]])</f>
        <v>0</v>
      </c>
      <c r="AA213" s="37">
        <f>IF(NOTA[[#This Row],[JUMLAH]]="","",(NOTA[[#This Row],[JUMLAH]]-NOTA[[#This Row],[DISC 1-]]-NOTA[[#This Row],[DISC 2-]])*NOTA[[#This Row],[DISC 3]])</f>
        <v>0</v>
      </c>
      <c r="AB213" s="37">
        <f>IF(NOTA[[#This Row],[JUMLAH]]="","",NOTA[[#This Row],[DISC 1-]]+NOTA[[#This Row],[DISC 2-]]+NOTA[[#This Row],[DISC 3-]])</f>
        <v>0</v>
      </c>
      <c r="AC213" s="37">
        <f>IF(NOTA[[#This Row],[JUMLAH]]="","",NOTA[[#This Row],[JUMLAH]]-NOTA[[#This Row],[DISC]])</f>
        <v>12000000</v>
      </c>
      <c r="AD213" s="37"/>
      <c r="AE2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3" s="28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H213" s="37">
        <f>IF(OR(NOTA[[#This Row],[QTY]]="",NOTA[[#This Row],[HARGA SATUAN]]="",),"",NOTA[[#This Row],[QTY]]*NOTA[[#This Row],[HARGA SATUAN]])</f>
        <v>12000000</v>
      </c>
      <c r="AI213" s="26">
        <f ca="1">IF(NOTA[[#This Row],[ID_H]]="","",INDEX(NOTA[TANGGAL],MATCH(,INDIRECT(ADDRESS(ROW(NOTA[TANGGAL]),COLUMN(NOTA[TANGGAL]))&amp;":"&amp;ADDRESS(ROW(),COLUMN(NOTA[TANGGAL]))),-1)))</f>
        <v>45461</v>
      </c>
      <c r="AJ213" s="26">
        <f ca="1">IF(NOTA[[#This Row],[ID_H]]="","",INDEX(NOTA[TGL.NOTA],MATCH(,INDIRECT(ADDRESS(ROW(NOTA[TGL.NOTA]),COLUMN(NOTA[TGL.NOTA]))&amp;":"&amp;ADDRESS(ROW(),COLUMN(NOTA[TGL.NOTA]))),-1)))</f>
        <v>45456</v>
      </c>
      <c r="AK213" s="26">
        <f ca="1">IF(NOTA[[#This Row],[ID_H]]="","",INDEX(NOTA[NO.NOTA],MATCH(NOTA[[#This Row],[ID_H]],NOTA[ID_H],0)))</f>
        <v>0</v>
      </c>
      <c r="AL213" s="28" t="str">
        <f ca="1">IF(NOTA[[#This Row],[NAMA BARANG]]="","",INDEX(NOTA[SUPPLIER],MATCH(,INDIRECT(ADDRESS(ROW(NOTA[ID]),COLUMN(NOTA[ID]))&amp;":"&amp;ADDRESS(ROW(),COLUMN(NOTA[ID]))),-1)))</f>
        <v>PELNA</v>
      </c>
      <c r="AM213" s="28" t="str">
        <f ca="1">IF(NOTA[[#This Row],[ID_H]]="","",IF(NOTA[[#This Row],[FAKTUR]]="",INDIRECT(ADDRESS(ROW()-1,COLUMN())),NOTA[[#This Row],[FAKTUR]]))</f>
        <v>UNTANA</v>
      </c>
      <c r="AN213" s="25">
        <f ca="1">IF(NOTA[[#This Row],[ID]]="","",COUNTIF(NOTA[ID_H],NOTA[[#This Row],[ID_H]]))</f>
        <v>2</v>
      </c>
      <c r="AO213" s="25">
        <f>IF(NOTA[[#This Row],[TGL.NOTA]]="",IF(NOTA[[#This Row],[SUPPLIER_H]]="","",AO212),MONTH(NOTA[[#This Row],[TGL.NOTA]]))</f>
        <v>6</v>
      </c>
      <c r="AP213" s="25" t="str">
        <f>LOWER(SUBSTITUTE(SUBSTITUTE(SUBSTITUTE(SUBSTITUTE(SUBSTITUTE(SUBSTITUTE(SUBSTITUTE(SUBSTITUTE(SUBSTITUTE(NOTA[[#This Row],[NAMA BARANG]]," ",),".",""),"-",""),"(",""),")",""),",",""),"/",""),"""",""),"+",""))</f>
        <v>pelnalaptoptable</v>
      </c>
      <c r="AQ2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pelnalaptoptable600000</v>
      </c>
      <c r="AR2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pelnalaptoptable600000</v>
      </c>
      <c r="AS213" s="25" t="str">
        <f>IF(NOTA[[#This Row],[SUPPLIER]]="","",NOTA[[#This Row],[SUPPLIER]]&amp;NOTA[[#This Row],[FAKTUR]]&amp;NOTA[[#This Row],[NO.NOTA]]&amp;NOTA[[#This Row],[NO.SJ]]&amp;NOTA[[#This Row],[TGL.NOTA]]&amp;NOTA[[#This Row],[CONCAT1]])</f>
        <v>PELNAUNTANA45456pelnalaptoptable</v>
      </c>
      <c r="AT213" s="25"/>
      <c r="AU213" s="25">
        <f>IF(NOTA[[#This Row],[CONCAT1]]="","",MATCH(NOTA[[#This Row],[CONCAT1]],[3]!db[NB NOTA_C],0))</f>
        <v>2510</v>
      </c>
      <c r="AV213" s="25" t="str">
        <f>IF(NOTA[[#This Row],[QTY/ CTN]]="","",TRUE)</f>
        <v/>
      </c>
      <c r="AW213" s="25" t="str">
        <f ca="1">IF(NOTA[[#This Row],[ID_H]]="","",IF(NOTA[[#This Row],[Column3]]=TRUE,NOTA[[#This Row],[QTY/ CTN]],INDEX([3]!db[QTY/ CTN],NOTA[[#This Row],[//DB]])))</f>
        <v>10 PCS</v>
      </c>
      <c r="AX2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Y213" s="25">
        <f ca="1">IF(NOTA[[#This Row],[ID_H]]="","",MATCH(NOTA[[#This Row],[NB NOTA_C_QTY]],[3]!db[NB NOTA_C_QTY+F],0))</f>
        <v>2510</v>
      </c>
      <c r="AZ213" s="38">
        <f ca="1">IF(NOTA[[#This Row],[NB NOTA_C_QTY]]="","",ROW()-2)</f>
        <v>211</v>
      </c>
    </row>
    <row r="214" spans="1:52" ht="20.100000000000001" customHeight="1">
      <c r="A2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14" s="25">
        <f ca="1">IF(NOTA[[#This Row],[NAMA BARANG]]="","",INDEX(NOTA[ID],MATCH(,INDIRECT(ADDRESS(ROW(NOTA[ID]),COLUMN(NOTA[ID]))&amp;":"&amp;ADDRESS(ROW(),COLUMN(NOTA[ID]))),-1)))</f>
        <v>41</v>
      </c>
      <c r="E214" s="33"/>
      <c r="H214" s="34"/>
      <c r="L214" s="25" t="s">
        <v>426</v>
      </c>
      <c r="M214" s="27">
        <v>1</v>
      </c>
      <c r="N214" s="25">
        <v>10</v>
      </c>
      <c r="O214" s="25" t="s">
        <v>111</v>
      </c>
      <c r="Q214" s="29"/>
      <c r="R214" s="35"/>
      <c r="S214" s="36"/>
      <c r="V214" s="37"/>
      <c r="W214" s="32" t="s">
        <v>427</v>
      </c>
      <c r="X214" s="37" t="str">
        <f>IF(NOTA[[#This Row],[HARGA/ CTN]]="",NOTA[[#This Row],[JUMLAH_H]],NOTA[[#This Row],[HARGA/ CTN]]*IF(NOTA[[#This Row],[C]]="",0,NOTA[[#This Row],[C]]))</f>
        <v/>
      </c>
      <c r="Y214" s="37" t="str">
        <f>IF(NOTA[[#This Row],[JUMLAH]]="","",NOTA[[#This Row],[JUMLAH]]*NOTA[[#This Row],[DISC 1]])</f>
        <v/>
      </c>
      <c r="Z214" s="37" t="str">
        <f>IF(NOTA[[#This Row],[JUMLAH]]="","",(NOTA[[#This Row],[JUMLAH]]-NOTA[[#This Row],[DISC 1-]])*NOTA[[#This Row],[DISC 2]])</f>
        <v/>
      </c>
      <c r="AA214" s="37" t="str">
        <f>IF(NOTA[[#This Row],[JUMLAH]]="","",(NOTA[[#This Row],[JUMLAH]]-NOTA[[#This Row],[DISC 1-]]-NOTA[[#This Row],[DISC 2-]])*NOTA[[#This Row],[DISC 3]])</f>
        <v/>
      </c>
      <c r="AB214" s="37" t="str">
        <f>IF(NOTA[[#This Row],[JUMLAH]]="","",NOTA[[#This Row],[DISC 1-]]+NOTA[[#This Row],[DISC 2-]]+NOTA[[#This Row],[DISC 3-]])</f>
        <v/>
      </c>
      <c r="AC214" s="37" t="str">
        <f>IF(NOTA[[#This Row],[JUMLAH]]="","",NOTA[[#This Row],[JUMLAH]]-NOTA[[#This Row],[DISC]])</f>
        <v/>
      </c>
      <c r="AD214" s="37"/>
      <c r="AE21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1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</v>
      </c>
      <c r="AG21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14" s="37" t="str">
        <f>IF(OR(NOTA[[#This Row],[QTY]]="",NOTA[[#This Row],[HARGA SATUAN]]="",),"",NOTA[[#This Row],[QTY]]*NOTA[[#This Row],[HARGA SATUAN]])</f>
        <v/>
      </c>
      <c r="AI214" s="26">
        <f ca="1">IF(NOTA[[#This Row],[ID_H]]="","",INDEX(NOTA[TANGGAL],MATCH(,INDIRECT(ADDRESS(ROW(NOTA[TANGGAL]),COLUMN(NOTA[TANGGAL]))&amp;":"&amp;ADDRESS(ROW(),COLUMN(NOTA[TANGGAL]))),-1)))</f>
        <v>45461</v>
      </c>
      <c r="AJ214" s="26">
        <f ca="1">IF(NOTA[[#This Row],[ID_H]]="","",INDEX(NOTA[TGL.NOTA],MATCH(,INDIRECT(ADDRESS(ROW(NOTA[TGL.NOTA]),COLUMN(NOTA[TGL.NOTA]))&amp;":"&amp;ADDRESS(ROW(),COLUMN(NOTA[TGL.NOTA]))),-1)))</f>
        <v>45456</v>
      </c>
      <c r="AK214" s="26">
        <f ca="1">IF(NOTA[[#This Row],[ID_H]]="","",INDEX(NOTA[NO.NOTA],MATCH(NOTA[[#This Row],[ID_H]],NOTA[ID_H],0)))</f>
        <v>0</v>
      </c>
      <c r="AL214" s="28" t="str">
        <f ca="1">IF(NOTA[[#This Row],[NAMA BARANG]]="","",INDEX(NOTA[SUPPLIER],MATCH(,INDIRECT(ADDRESS(ROW(NOTA[ID]),COLUMN(NOTA[ID]))&amp;":"&amp;ADDRESS(ROW(),COLUMN(NOTA[ID]))),-1)))</f>
        <v>PELNA</v>
      </c>
      <c r="AM214" s="28" t="str">
        <f ca="1">IF(NOTA[[#This Row],[ID_H]]="","",IF(NOTA[[#This Row],[FAKTUR]]="",INDIRECT(ADDRESS(ROW()-1,COLUMN())),NOTA[[#This Row],[FAKTUR]]))</f>
        <v>UNTANA</v>
      </c>
      <c r="AN214" s="25" t="str">
        <f ca="1">IF(NOTA[[#This Row],[ID]]="","",COUNTIF(NOTA[ID_H],NOTA[[#This Row],[ID_H]]))</f>
        <v/>
      </c>
      <c r="AO214" s="25">
        <f ca="1">IF(NOTA[[#This Row],[TGL.NOTA]]="",IF(NOTA[[#This Row],[SUPPLIER_H]]="","",AO213),MONTH(NOTA[[#This Row],[TGL.NOTA]]))</f>
        <v>6</v>
      </c>
      <c r="AP214" s="25" t="str">
        <f>LOWER(SUBSTITUTE(SUBSTITUTE(SUBSTITUTE(SUBSTITUTE(SUBSTITUTE(SUBSTITUTE(SUBSTITUTE(SUBSTITUTE(SUBSTITUTE(NOTA[[#This Row],[NAMA BARANG]]," ",),".",""),"-",""),"(",""),")",""),",",""),"/",""),"""",""),"+",""))</f>
        <v>pelnalaptoptable</v>
      </c>
      <c r="AQ2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R2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S2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4" s="25"/>
      <c r="AU214" s="25">
        <f>IF(NOTA[[#This Row],[CONCAT1]]="","",MATCH(NOTA[[#This Row],[CONCAT1]],[3]!db[NB NOTA_C],0))</f>
        <v>2510</v>
      </c>
      <c r="AV214" s="25" t="str">
        <f>IF(NOTA[[#This Row],[QTY/ CTN]]="","",TRUE)</f>
        <v/>
      </c>
      <c r="AW214" s="25" t="str">
        <f ca="1">IF(NOTA[[#This Row],[ID_H]]="","",IF(NOTA[[#This Row],[Column3]]=TRUE,NOTA[[#This Row],[QTY/ CTN]],INDEX([3]!db[QTY/ CTN],NOTA[[#This Row],[//DB]])))</f>
        <v>10 PCS</v>
      </c>
      <c r="AX2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Y214" s="25">
        <f ca="1">IF(NOTA[[#This Row],[ID_H]]="","",MATCH(NOTA[[#This Row],[NB NOTA_C_QTY]],[3]!db[NB NOTA_C_QTY+F],0))</f>
        <v>2510</v>
      </c>
      <c r="AZ214" s="38">
        <f ca="1">IF(NOTA[[#This Row],[NB NOTA_C_QTY]]="","",ROW()-2)</f>
        <v>212</v>
      </c>
    </row>
    <row r="215" spans="1:52" ht="20.100000000000001" customHeight="1">
      <c r="A2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15" s="25" t="str">
        <f ca="1">IF(NOTA[[#This Row],[NAMA BARANG]]="","",INDEX(NOTA[ID],MATCH(,INDIRECT(ADDRESS(ROW(NOTA[ID]),COLUMN(NOTA[ID]))&amp;":"&amp;ADDRESS(ROW(),COLUMN(NOTA[ID]))),-1)))</f>
        <v/>
      </c>
      <c r="E215" s="33"/>
      <c r="H215" s="34"/>
      <c r="Q215" s="29"/>
      <c r="R215" s="35"/>
      <c r="S215" s="36"/>
      <c r="V215" s="37"/>
      <c r="W215" s="32"/>
      <c r="X215" s="37" t="str">
        <f>IF(NOTA[[#This Row],[HARGA/ CTN]]="",NOTA[[#This Row],[JUMLAH_H]],NOTA[[#This Row],[HARGA/ CTN]]*IF(NOTA[[#This Row],[C]]="",0,NOTA[[#This Row],[C]]))</f>
        <v/>
      </c>
      <c r="Y215" s="37" t="str">
        <f>IF(NOTA[[#This Row],[JUMLAH]]="","",NOTA[[#This Row],[JUMLAH]]*NOTA[[#This Row],[DISC 1]])</f>
        <v/>
      </c>
      <c r="Z215" s="37" t="str">
        <f>IF(NOTA[[#This Row],[JUMLAH]]="","",(NOTA[[#This Row],[JUMLAH]]-NOTA[[#This Row],[DISC 1-]])*NOTA[[#This Row],[DISC 2]])</f>
        <v/>
      </c>
      <c r="AA215" s="37" t="str">
        <f>IF(NOTA[[#This Row],[JUMLAH]]="","",(NOTA[[#This Row],[JUMLAH]]-NOTA[[#This Row],[DISC 1-]]-NOTA[[#This Row],[DISC 2-]])*NOTA[[#This Row],[DISC 3]])</f>
        <v/>
      </c>
      <c r="AB215" s="37" t="str">
        <f>IF(NOTA[[#This Row],[JUMLAH]]="","",NOTA[[#This Row],[DISC 1-]]+NOTA[[#This Row],[DISC 2-]]+NOTA[[#This Row],[DISC 3-]])</f>
        <v/>
      </c>
      <c r="AC215" s="37" t="str">
        <f>IF(NOTA[[#This Row],[JUMLAH]]="","",NOTA[[#This Row],[JUMLAH]]-NOTA[[#This Row],[DISC]])</f>
        <v/>
      </c>
      <c r="AD215" s="37"/>
      <c r="AE2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5" s="37" t="str">
        <f>IF(OR(NOTA[[#This Row],[QTY]]="",NOTA[[#This Row],[HARGA SATUAN]]="",),"",NOTA[[#This Row],[QTY]]*NOTA[[#This Row],[HARGA SATUAN]])</f>
        <v/>
      </c>
      <c r="AI215" s="26" t="str">
        <f ca="1">IF(NOTA[[#This Row],[ID_H]]="","",INDEX(NOTA[TANGGAL],MATCH(,INDIRECT(ADDRESS(ROW(NOTA[TANGGAL]),COLUMN(NOTA[TANGGAL]))&amp;":"&amp;ADDRESS(ROW(),COLUMN(NOTA[TANGGAL]))),-1)))</f>
        <v/>
      </c>
      <c r="AJ215" s="26" t="str">
        <f ca="1">IF(NOTA[[#This Row],[ID_H]]="","",INDEX(NOTA[TGL.NOTA],MATCH(,INDIRECT(ADDRESS(ROW(NOTA[TGL.NOTA]),COLUMN(NOTA[TGL.NOTA]))&amp;":"&amp;ADDRESS(ROW(),COLUMN(NOTA[TGL.NOTA]))),-1)))</f>
        <v/>
      </c>
      <c r="AK215" s="26" t="str">
        <f ca="1">IF(NOTA[[#This Row],[ID_H]]="","",INDEX(NOTA[NO.NOTA],MATCH(NOTA[[#This Row],[ID_H]],NOTA[ID_H],0)))</f>
        <v/>
      </c>
      <c r="AL215" s="28" t="str">
        <f ca="1">IF(NOTA[[#This Row],[NAMA BARANG]]="","",INDEX(NOTA[SUPPLIER],MATCH(,INDIRECT(ADDRESS(ROW(NOTA[ID]),COLUMN(NOTA[ID]))&amp;":"&amp;ADDRESS(ROW(),COLUMN(NOTA[ID]))),-1)))</f>
        <v/>
      </c>
      <c r="AM215" s="28" t="str">
        <f ca="1">IF(NOTA[[#This Row],[ID_H]]="","",IF(NOTA[[#This Row],[FAKTUR]]="",INDIRECT(ADDRESS(ROW()-1,COLUMN())),NOTA[[#This Row],[FAKTUR]]))</f>
        <v/>
      </c>
      <c r="AN215" s="25" t="str">
        <f ca="1">IF(NOTA[[#This Row],[ID]]="","",COUNTIF(NOTA[ID_H],NOTA[[#This Row],[ID_H]]))</f>
        <v/>
      </c>
      <c r="AO215" s="25" t="str">
        <f ca="1">IF(NOTA[[#This Row],[TGL.NOTA]]="",IF(NOTA[[#This Row],[SUPPLIER_H]]="","",AO214),MONTH(NOTA[[#This Row],[TGL.NOTA]]))</f>
        <v/>
      </c>
      <c r="AP2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5" s="25"/>
      <c r="AU215" s="25" t="str">
        <f>IF(NOTA[[#This Row],[CONCAT1]]="","",MATCH(NOTA[[#This Row],[CONCAT1]],[3]!db[NB NOTA_C],0))</f>
        <v/>
      </c>
      <c r="AV215" s="25" t="str">
        <f>IF(NOTA[[#This Row],[QTY/ CTN]]="","",TRUE)</f>
        <v/>
      </c>
      <c r="AW215" s="25" t="str">
        <f ca="1">IF(NOTA[[#This Row],[ID_H]]="","",IF(NOTA[[#This Row],[Column3]]=TRUE,NOTA[[#This Row],[QTY/ CTN]],INDEX([3]!db[QTY/ CTN],NOTA[[#This Row],[//DB]])))</f>
        <v/>
      </c>
      <c r="AX2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5" s="25" t="str">
        <f ca="1">IF(NOTA[[#This Row],[ID_H]]="","",MATCH(NOTA[[#This Row],[NB NOTA_C_QTY]],[3]!db[NB NOTA_C_QTY+F],0))</f>
        <v/>
      </c>
      <c r="AZ215" s="38" t="str">
        <f ca="1">IF(NOTA[[#This Row],[NB NOTA_C_QTY]]="","",ROW()-2)</f>
        <v/>
      </c>
    </row>
    <row r="216" spans="1:52" ht="20.100000000000001" customHeight="1">
      <c r="A216" s="28">
        <f ca="1">IF(INDIRECT(ADDRESS(ROW()-1,COLUMN(NOTA[[#Headers],[ID]])))="ID",1,IF(NOTA[[#This Row],[FAKTUR]]="","",COUNT(INDIRECT(ADDRESS(ROW(NOTA[ID]),COLUMN(NOTA[ID]))&amp;":"&amp;ADDRESS(ROW()-1,COLUMN(NOTA[ID]))))+1))</f>
        <v>42</v>
      </c>
      <c r="B21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BIN_1806_054-10</v>
      </c>
      <c r="D216" s="25">
        <f ca="1">IF(NOTA[[#This Row],[NAMA BARANG]]="","",INDEX(NOTA[ID],MATCH(,INDIRECT(ADDRESS(ROW(NOTA[ID]),COLUMN(NOTA[ID]))&amp;":"&amp;ADDRESS(ROW(),COLUMN(NOTA[ID]))),-1)))</f>
        <v>42</v>
      </c>
      <c r="E216" s="33"/>
      <c r="F216" s="25" t="s">
        <v>112</v>
      </c>
      <c r="G216" s="25" t="s">
        <v>109</v>
      </c>
      <c r="H216" s="34" t="s">
        <v>438</v>
      </c>
      <c r="J216" s="26">
        <v>45451</v>
      </c>
      <c r="L216" s="39" t="s">
        <v>428</v>
      </c>
      <c r="N216" s="25">
        <v>48</v>
      </c>
      <c r="O216" s="25" t="s">
        <v>110</v>
      </c>
      <c r="P216" s="28">
        <v>22500</v>
      </c>
      <c r="Q216" s="29"/>
      <c r="R216" s="35"/>
      <c r="S216" s="36"/>
      <c r="V216" s="37"/>
      <c r="W216" s="32"/>
      <c r="X216" s="37">
        <f>IF(NOTA[[#This Row],[HARGA/ CTN]]="",NOTA[[#This Row],[JUMLAH_H]],NOTA[[#This Row],[HARGA/ CTN]]*IF(NOTA[[#This Row],[C]]="",0,NOTA[[#This Row],[C]]))</f>
        <v>1080000</v>
      </c>
      <c r="Y216" s="37">
        <f>IF(NOTA[[#This Row],[JUMLAH]]="","",NOTA[[#This Row],[JUMLAH]]*NOTA[[#This Row],[DISC 1]])</f>
        <v>0</v>
      </c>
      <c r="Z216" s="37">
        <f>IF(NOTA[[#This Row],[JUMLAH]]="","",(NOTA[[#This Row],[JUMLAH]]-NOTA[[#This Row],[DISC 1-]])*NOTA[[#This Row],[DISC 2]])</f>
        <v>0</v>
      </c>
      <c r="AA216" s="37">
        <f>IF(NOTA[[#This Row],[JUMLAH]]="","",(NOTA[[#This Row],[JUMLAH]]-NOTA[[#This Row],[DISC 1-]]-NOTA[[#This Row],[DISC 2-]])*NOTA[[#This Row],[DISC 3]])</f>
        <v>0</v>
      </c>
      <c r="AB216" s="37">
        <f>IF(NOTA[[#This Row],[JUMLAH]]="","",NOTA[[#This Row],[DISC 1-]]+NOTA[[#This Row],[DISC 2-]]+NOTA[[#This Row],[DISC 3-]])</f>
        <v>0</v>
      </c>
      <c r="AC216" s="37">
        <f>IF(NOTA[[#This Row],[JUMLAH]]="","",NOTA[[#This Row],[JUMLAH]]-NOTA[[#This Row],[DISC]])</f>
        <v>1080000</v>
      </c>
      <c r="AD216" s="37"/>
      <c r="AE2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6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16" s="37">
        <f>IF(OR(NOTA[[#This Row],[QTY]]="",NOTA[[#This Row],[HARGA SATUAN]]="",),"",NOTA[[#This Row],[QTY]]*NOTA[[#This Row],[HARGA SATUAN]])</f>
        <v>1080000</v>
      </c>
      <c r="AI216" s="26">
        <f ca="1">IF(NOTA[[#This Row],[ID_H]]="","",INDEX(NOTA[TANGGAL],MATCH(,INDIRECT(ADDRESS(ROW(NOTA[TANGGAL]),COLUMN(NOTA[TANGGAL]))&amp;":"&amp;ADDRESS(ROW(),COLUMN(NOTA[TANGGAL]))),-1)))</f>
        <v>45461</v>
      </c>
      <c r="AJ216" s="26">
        <f ca="1">IF(NOTA[[#This Row],[ID_H]]="","",INDEX(NOTA[TGL.NOTA],MATCH(,INDIRECT(ADDRESS(ROW(NOTA[TGL.NOTA]),COLUMN(NOTA[TGL.NOTA]))&amp;":"&amp;ADDRESS(ROW(),COLUMN(NOTA[TGL.NOTA]))),-1)))</f>
        <v>45451</v>
      </c>
      <c r="AK216" s="26" t="str">
        <f ca="1">IF(NOTA[[#This Row],[ID_H]]="","",INDEX(NOTA[NO.NOTA],MATCH(NOTA[[#This Row],[ID_H]],NOTA[ID_H],0)))</f>
        <v>SO2024060086054</v>
      </c>
      <c r="AL216" s="28" t="str">
        <f ca="1">IF(NOTA[[#This Row],[NAMA BARANG]]="","",INDEX(NOTA[SUPPLIER],MATCH(,INDIRECT(ADDRESS(ROW(NOTA[ID]),COLUMN(NOTA[ID]))&amp;":"&amp;ADDRESS(ROW(),COLUMN(NOTA[ID]))),-1)))</f>
        <v>BINTANG SAUDARA</v>
      </c>
      <c r="AM216" s="28" t="str">
        <f ca="1">IF(NOTA[[#This Row],[ID_H]]="","",IF(NOTA[[#This Row],[FAKTUR]]="",INDIRECT(ADDRESS(ROW()-1,COLUMN())),NOTA[[#This Row],[FAKTUR]]))</f>
        <v>UNTANA</v>
      </c>
      <c r="AN216" s="25">
        <f ca="1">IF(NOTA[[#This Row],[ID]]="","",COUNTIF(NOTA[ID_H],NOTA[[#This Row],[ID_H]]))</f>
        <v>10</v>
      </c>
      <c r="AO216" s="25">
        <f>IF(NOTA[[#This Row],[TGL.NOTA]]="",IF(NOTA[[#This Row],[SUPPLIER_H]]="","",AO215),MONTH(NOTA[[#This Row],[TGL.NOTA]]))</f>
        <v>6</v>
      </c>
      <c r="AP216" s="25" t="str">
        <f>LOWER(SUBSTITUTE(SUBSTITUTE(SUBSTITUTE(SUBSTITUTE(SUBSTITUTE(SUBSTITUTE(SUBSTITUTE(SUBSTITUTE(SUBSTITUTE(NOTA[[#This Row],[NAMA BARANG]]," ",),".",""),"-",""),"(",""),")",""),",",""),"/",""),"""",""),"+",""))</f>
        <v>gelpenkoalagp168amerah</v>
      </c>
      <c r="AQ2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gelpenkoalagp168amerah1080000</v>
      </c>
      <c r="AR2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gelpenkoalagp168amerah22500</v>
      </c>
      <c r="AS216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SAUDARAUNTANASO202406008605445451gelpenkoalagp168amerah</v>
      </c>
      <c r="AT216" s="25"/>
      <c r="AU216" s="25">
        <f>IF(NOTA[[#This Row],[CONCAT1]]="","",MATCH(NOTA[[#This Row],[CONCAT1]],[3]!db[NB NOTA_C],0))</f>
        <v>3348</v>
      </c>
      <c r="AV216" s="25" t="str">
        <f>IF(NOTA[[#This Row],[QTY/ CTN]]="","",TRUE)</f>
        <v/>
      </c>
      <c r="AW216" s="25" t="str">
        <f ca="1">IF(NOTA[[#This Row],[ID_H]]="","",IF(NOTA[[#This Row],[Column3]]=TRUE,NOTA[[#This Row],[QTY/ CTN]],INDEX([3]!db[QTY/ CTN],NOTA[[#This Row],[//DB]])))</f>
        <v>144 LSN</v>
      </c>
      <c r="AX2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gelpenkoalagp168amerah144lsnuntana</v>
      </c>
      <c r="AY216" s="25">
        <f ca="1">IF(NOTA[[#This Row],[ID_H]]="","",MATCH(NOTA[[#This Row],[NB NOTA_C_QTY]],[3]!db[NB NOTA_C_QTY+F],0))</f>
        <v>3348</v>
      </c>
      <c r="AZ216" s="38">
        <f ca="1">IF(NOTA[[#This Row],[NB NOTA_C_QTY]]="","",ROW()-2)</f>
        <v>214</v>
      </c>
    </row>
    <row r="217" spans="1:52" ht="20.100000000000001" customHeight="1">
      <c r="A2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17" s="25">
        <f ca="1">IF(NOTA[[#This Row],[NAMA BARANG]]="","",INDEX(NOTA[ID],MATCH(,INDIRECT(ADDRESS(ROW(NOTA[ID]),COLUMN(NOTA[ID]))&amp;":"&amp;ADDRESS(ROW(),COLUMN(NOTA[ID]))),-1)))</f>
        <v>42</v>
      </c>
      <c r="E217" s="33"/>
      <c r="H217" s="34"/>
      <c r="L217" s="39" t="s">
        <v>429</v>
      </c>
      <c r="N217" s="25">
        <v>48</v>
      </c>
      <c r="O217" s="25" t="s">
        <v>110</v>
      </c>
      <c r="P217" s="28">
        <v>22500</v>
      </c>
      <c r="Q217" s="29"/>
      <c r="R217" s="35"/>
      <c r="S217" s="36"/>
      <c r="V217" s="37"/>
      <c r="W217" s="32"/>
      <c r="X217" s="37">
        <f>IF(NOTA[[#This Row],[HARGA/ CTN]]="",NOTA[[#This Row],[JUMLAH_H]],NOTA[[#This Row],[HARGA/ CTN]]*IF(NOTA[[#This Row],[C]]="",0,NOTA[[#This Row],[C]]))</f>
        <v>1080000</v>
      </c>
      <c r="Y217" s="37">
        <f>IF(NOTA[[#This Row],[JUMLAH]]="","",NOTA[[#This Row],[JUMLAH]]*NOTA[[#This Row],[DISC 1]])</f>
        <v>0</v>
      </c>
      <c r="Z217" s="37">
        <f>IF(NOTA[[#This Row],[JUMLAH]]="","",(NOTA[[#This Row],[JUMLAH]]-NOTA[[#This Row],[DISC 1-]])*NOTA[[#This Row],[DISC 2]])</f>
        <v>0</v>
      </c>
      <c r="AA217" s="37">
        <f>IF(NOTA[[#This Row],[JUMLAH]]="","",(NOTA[[#This Row],[JUMLAH]]-NOTA[[#This Row],[DISC 1-]]-NOTA[[#This Row],[DISC 2-]])*NOTA[[#This Row],[DISC 3]])</f>
        <v>0</v>
      </c>
      <c r="AB217" s="37">
        <f>IF(NOTA[[#This Row],[JUMLAH]]="","",NOTA[[#This Row],[DISC 1-]]+NOTA[[#This Row],[DISC 2-]]+NOTA[[#This Row],[DISC 3-]])</f>
        <v>0</v>
      </c>
      <c r="AC217" s="37">
        <f>IF(NOTA[[#This Row],[JUMLAH]]="","",NOTA[[#This Row],[JUMLAH]]-NOTA[[#This Row],[DISC]])</f>
        <v>1080000</v>
      </c>
      <c r="AD217" s="37"/>
      <c r="AE2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7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17" s="37">
        <f>IF(OR(NOTA[[#This Row],[QTY]]="",NOTA[[#This Row],[HARGA SATUAN]]="",),"",NOTA[[#This Row],[QTY]]*NOTA[[#This Row],[HARGA SATUAN]])</f>
        <v>1080000</v>
      </c>
      <c r="AI217" s="26">
        <f ca="1">IF(NOTA[[#This Row],[ID_H]]="","",INDEX(NOTA[TANGGAL],MATCH(,INDIRECT(ADDRESS(ROW(NOTA[TANGGAL]),COLUMN(NOTA[TANGGAL]))&amp;":"&amp;ADDRESS(ROW(),COLUMN(NOTA[TANGGAL]))),-1)))</f>
        <v>45461</v>
      </c>
      <c r="AJ217" s="26">
        <f ca="1">IF(NOTA[[#This Row],[ID_H]]="","",INDEX(NOTA[TGL.NOTA],MATCH(,INDIRECT(ADDRESS(ROW(NOTA[TGL.NOTA]),COLUMN(NOTA[TGL.NOTA]))&amp;":"&amp;ADDRESS(ROW(),COLUMN(NOTA[TGL.NOTA]))),-1)))</f>
        <v>45451</v>
      </c>
      <c r="AK217" s="26" t="str">
        <f ca="1">IF(NOTA[[#This Row],[ID_H]]="","",INDEX(NOTA[NO.NOTA],MATCH(NOTA[[#This Row],[ID_H]],NOTA[ID_H],0)))</f>
        <v>SO2024060086054</v>
      </c>
      <c r="AL217" s="28" t="str">
        <f ca="1">IF(NOTA[[#This Row],[NAMA BARANG]]="","",INDEX(NOTA[SUPPLIER],MATCH(,INDIRECT(ADDRESS(ROW(NOTA[ID]),COLUMN(NOTA[ID]))&amp;":"&amp;ADDRESS(ROW(),COLUMN(NOTA[ID]))),-1)))</f>
        <v>BINTANG SAUDARA</v>
      </c>
      <c r="AM217" s="28" t="str">
        <f ca="1">IF(NOTA[[#This Row],[ID_H]]="","",IF(NOTA[[#This Row],[FAKTUR]]="",INDIRECT(ADDRESS(ROW()-1,COLUMN())),NOTA[[#This Row],[FAKTUR]]))</f>
        <v>UNTANA</v>
      </c>
      <c r="AN217" s="25" t="str">
        <f ca="1">IF(NOTA[[#This Row],[ID]]="","",COUNTIF(NOTA[ID_H],NOTA[[#This Row],[ID_H]]))</f>
        <v/>
      </c>
      <c r="AO217" s="25">
        <f ca="1">IF(NOTA[[#This Row],[TGL.NOTA]]="",IF(NOTA[[#This Row],[SUPPLIER_H]]="","",AO216),MONTH(NOTA[[#This Row],[TGL.NOTA]]))</f>
        <v>6</v>
      </c>
      <c r="AP217" s="25" t="str">
        <f>LOWER(SUBSTITUTE(SUBSTITUTE(SUBSTITUTE(SUBSTITUTE(SUBSTITUTE(SUBSTITUTE(SUBSTITUTE(SUBSTITUTE(SUBSTITUTE(NOTA[[#This Row],[NAMA BARANG]]," ",),".",""),"-",""),"(",""),")",""),",",""),"/",""),"""",""),"+",""))</f>
        <v>gelpenkoalagp168bbr</v>
      </c>
      <c r="AQ2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gelpenkoalagp168bbr1080000</v>
      </c>
      <c r="AR2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gelpenkoalagp168bbr22500</v>
      </c>
      <c r="AS2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7" s="25"/>
      <c r="AU217" s="25">
        <f>IF(NOTA[[#This Row],[CONCAT1]]="","",MATCH(NOTA[[#This Row],[CONCAT1]],[3]!db[NB NOTA_C],0))</f>
        <v>3349</v>
      </c>
      <c r="AV217" s="25" t="str">
        <f>IF(NOTA[[#This Row],[QTY/ CTN]]="","",TRUE)</f>
        <v/>
      </c>
      <c r="AW217" s="25" t="str">
        <f ca="1">IF(NOTA[[#This Row],[ID_H]]="","",IF(NOTA[[#This Row],[Column3]]=TRUE,NOTA[[#This Row],[QTY/ CTN]],INDEX([3]!db[QTY/ CTN],NOTA[[#This Row],[//DB]])))</f>
        <v>144 LSN</v>
      </c>
      <c r="AX2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gelpenkoalagp168bbr144lsnuntana</v>
      </c>
      <c r="AY217" s="25">
        <f ca="1">IF(NOTA[[#This Row],[ID_H]]="","",MATCH(NOTA[[#This Row],[NB NOTA_C_QTY]],[3]!db[NB NOTA_C_QTY+F],0))</f>
        <v>3349</v>
      </c>
      <c r="AZ217" s="38">
        <f ca="1">IF(NOTA[[#This Row],[NB NOTA_C_QTY]]="","",ROW()-2)</f>
        <v>215</v>
      </c>
    </row>
    <row r="218" spans="1:52" ht="20.100000000000001" customHeight="1">
      <c r="A2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18" s="25">
        <f ca="1">IF(NOTA[[#This Row],[NAMA BARANG]]="","",INDEX(NOTA[ID],MATCH(,INDIRECT(ADDRESS(ROW(NOTA[ID]),COLUMN(NOTA[ID]))&amp;":"&amp;ADDRESS(ROW(),COLUMN(NOTA[ID]))),-1)))</f>
        <v>42</v>
      </c>
      <c r="E218" s="33"/>
      <c r="H218" s="34"/>
      <c r="L218" s="39" t="s">
        <v>430</v>
      </c>
      <c r="N218" s="25">
        <v>48</v>
      </c>
      <c r="O218" s="25" t="s">
        <v>110</v>
      </c>
      <c r="P218" s="28">
        <v>22500</v>
      </c>
      <c r="Q218" s="29"/>
      <c r="R218" s="35"/>
      <c r="S218" s="36"/>
      <c r="V218" s="37"/>
      <c r="W218" s="32"/>
      <c r="X218" s="37">
        <f>IF(NOTA[[#This Row],[HARGA/ CTN]]="",NOTA[[#This Row],[JUMLAH_H]],NOTA[[#This Row],[HARGA/ CTN]]*IF(NOTA[[#This Row],[C]]="",0,NOTA[[#This Row],[C]]))</f>
        <v>1080000</v>
      </c>
      <c r="Y218" s="37">
        <f>IF(NOTA[[#This Row],[JUMLAH]]="","",NOTA[[#This Row],[JUMLAH]]*NOTA[[#This Row],[DISC 1]])</f>
        <v>0</v>
      </c>
      <c r="Z218" s="37">
        <f>IF(NOTA[[#This Row],[JUMLAH]]="","",(NOTA[[#This Row],[JUMLAH]]-NOTA[[#This Row],[DISC 1-]])*NOTA[[#This Row],[DISC 2]])</f>
        <v>0</v>
      </c>
      <c r="AA218" s="37">
        <f>IF(NOTA[[#This Row],[JUMLAH]]="","",(NOTA[[#This Row],[JUMLAH]]-NOTA[[#This Row],[DISC 1-]]-NOTA[[#This Row],[DISC 2-]])*NOTA[[#This Row],[DISC 3]])</f>
        <v>0</v>
      </c>
      <c r="AB218" s="37">
        <f>IF(NOTA[[#This Row],[JUMLAH]]="","",NOTA[[#This Row],[DISC 1-]]+NOTA[[#This Row],[DISC 2-]]+NOTA[[#This Row],[DISC 3-]])</f>
        <v>0</v>
      </c>
      <c r="AC218" s="37">
        <f>IF(NOTA[[#This Row],[JUMLAH]]="","",NOTA[[#This Row],[JUMLAH]]-NOTA[[#This Row],[DISC]])</f>
        <v>1080000</v>
      </c>
      <c r="AD218" s="37"/>
      <c r="AE2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8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18" s="37">
        <f>IF(OR(NOTA[[#This Row],[QTY]]="",NOTA[[#This Row],[HARGA SATUAN]]="",),"",NOTA[[#This Row],[QTY]]*NOTA[[#This Row],[HARGA SATUAN]])</f>
        <v>1080000</v>
      </c>
      <c r="AI218" s="26">
        <f ca="1">IF(NOTA[[#This Row],[ID_H]]="","",INDEX(NOTA[TANGGAL],MATCH(,INDIRECT(ADDRESS(ROW(NOTA[TANGGAL]),COLUMN(NOTA[TANGGAL]))&amp;":"&amp;ADDRESS(ROW(),COLUMN(NOTA[TANGGAL]))),-1)))</f>
        <v>45461</v>
      </c>
      <c r="AJ218" s="26">
        <f ca="1">IF(NOTA[[#This Row],[ID_H]]="","",INDEX(NOTA[TGL.NOTA],MATCH(,INDIRECT(ADDRESS(ROW(NOTA[TGL.NOTA]),COLUMN(NOTA[TGL.NOTA]))&amp;":"&amp;ADDRESS(ROW(),COLUMN(NOTA[TGL.NOTA]))),-1)))</f>
        <v>45451</v>
      </c>
      <c r="AK218" s="26" t="str">
        <f ca="1">IF(NOTA[[#This Row],[ID_H]]="","",INDEX(NOTA[NO.NOTA],MATCH(NOTA[[#This Row],[ID_H]],NOTA[ID_H],0)))</f>
        <v>SO2024060086054</v>
      </c>
      <c r="AL218" s="28" t="str">
        <f ca="1">IF(NOTA[[#This Row],[NAMA BARANG]]="","",INDEX(NOTA[SUPPLIER],MATCH(,INDIRECT(ADDRESS(ROW(NOTA[ID]),COLUMN(NOTA[ID]))&amp;":"&amp;ADDRESS(ROW(),COLUMN(NOTA[ID]))),-1)))</f>
        <v>BINTANG SAUDARA</v>
      </c>
      <c r="AM218" s="28" t="str">
        <f ca="1">IF(NOTA[[#This Row],[ID_H]]="","",IF(NOTA[[#This Row],[FAKTUR]]="",INDIRECT(ADDRESS(ROW()-1,COLUMN())),NOTA[[#This Row],[FAKTUR]]))</f>
        <v>UNTANA</v>
      </c>
      <c r="AN218" s="25" t="str">
        <f ca="1">IF(NOTA[[#This Row],[ID]]="","",COUNTIF(NOTA[ID_H],NOTA[[#This Row],[ID_H]]))</f>
        <v/>
      </c>
      <c r="AO218" s="25">
        <f ca="1">IF(NOTA[[#This Row],[TGL.NOTA]]="",IF(NOTA[[#This Row],[SUPPLIER_H]]="","",AO217),MONTH(NOTA[[#This Row],[TGL.NOTA]]))</f>
        <v>6</v>
      </c>
      <c r="AP218" s="25" t="str">
        <f>LOWER(SUBSTITUTE(SUBSTITUTE(SUBSTITUTE(SUBSTITUTE(SUBSTITUTE(SUBSTITUTE(SUBSTITUTE(SUBSTITUTE(SUBSTITUTE(NOTA[[#This Row],[NAMA BARANG]]," ",),".",""),"-",""),"(",""),")",""),",",""),"/",""),"""",""),"+",""))</f>
        <v>gelpenkoalagp168chj</v>
      </c>
      <c r="AQ2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gelpenkoalagp168chj1080000</v>
      </c>
      <c r="AR2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gelpenkoalagp168chj22500</v>
      </c>
      <c r="AS2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8" s="25"/>
      <c r="AU218" s="25">
        <f>IF(NOTA[[#This Row],[CONCAT1]]="","",MATCH(NOTA[[#This Row],[CONCAT1]],[3]!db[NB NOTA_C],0))</f>
        <v>3350</v>
      </c>
      <c r="AV218" s="25" t="str">
        <f>IF(NOTA[[#This Row],[QTY/ CTN]]="","",TRUE)</f>
        <v/>
      </c>
      <c r="AW218" s="25" t="str">
        <f ca="1">IF(NOTA[[#This Row],[ID_H]]="","",IF(NOTA[[#This Row],[Column3]]=TRUE,NOTA[[#This Row],[QTY/ CTN]],INDEX([3]!db[QTY/ CTN],NOTA[[#This Row],[//DB]])))</f>
        <v>144 LSN</v>
      </c>
      <c r="AX2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gelpenkoalagp168chj144lsnuntana</v>
      </c>
      <c r="AY218" s="25">
        <f ca="1">IF(NOTA[[#This Row],[ID_H]]="","",MATCH(NOTA[[#This Row],[NB NOTA_C_QTY]],[3]!db[NB NOTA_C_QTY+F],0))</f>
        <v>3350</v>
      </c>
      <c r="AZ218" s="38">
        <f ca="1">IF(NOTA[[#This Row],[NB NOTA_C_QTY]]="","",ROW()-2)</f>
        <v>216</v>
      </c>
    </row>
    <row r="219" spans="1:52" ht="20.100000000000001" customHeight="1">
      <c r="A2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19" s="25">
        <f ca="1">IF(NOTA[[#This Row],[NAMA BARANG]]="","",INDEX(NOTA[ID],MATCH(,INDIRECT(ADDRESS(ROW(NOTA[ID]),COLUMN(NOTA[ID]))&amp;":"&amp;ADDRESS(ROW(),COLUMN(NOTA[ID]))),-1)))</f>
        <v>42</v>
      </c>
      <c r="E219" s="33"/>
      <c r="H219" s="34"/>
      <c r="L219" s="39" t="s">
        <v>431</v>
      </c>
      <c r="N219" s="25">
        <v>48</v>
      </c>
      <c r="O219" s="25" t="s">
        <v>110</v>
      </c>
      <c r="P219" s="28">
        <v>22500</v>
      </c>
      <c r="Q219" s="29"/>
      <c r="R219" s="35"/>
      <c r="S219" s="36"/>
      <c r="V219" s="37"/>
      <c r="W219" s="32"/>
      <c r="X219" s="37">
        <f>IF(NOTA[[#This Row],[HARGA/ CTN]]="",NOTA[[#This Row],[JUMLAH_H]],NOTA[[#This Row],[HARGA/ CTN]]*IF(NOTA[[#This Row],[C]]="",0,NOTA[[#This Row],[C]]))</f>
        <v>1080000</v>
      </c>
      <c r="Y219" s="37">
        <f>IF(NOTA[[#This Row],[JUMLAH]]="","",NOTA[[#This Row],[JUMLAH]]*NOTA[[#This Row],[DISC 1]])</f>
        <v>0</v>
      </c>
      <c r="Z219" s="37">
        <f>IF(NOTA[[#This Row],[JUMLAH]]="","",(NOTA[[#This Row],[JUMLAH]]-NOTA[[#This Row],[DISC 1-]])*NOTA[[#This Row],[DISC 2]])</f>
        <v>0</v>
      </c>
      <c r="AA219" s="37">
        <f>IF(NOTA[[#This Row],[JUMLAH]]="","",(NOTA[[#This Row],[JUMLAH]]-NOTA[[#This Row],[DISC 1-]]-NOTA[[#This Row],[DISC 2-]])*NOTA[[#This Row],[DISC 3]])</f>
        <v>0</v>
      </c>
      <c r="AB219" s="37">
        <f>IF(NOTA[[#This Row],[JUMLAH]]="","",NOTA[[#This Row],[DISC 1-]]+NOTA[[#This Row],[DISC 2-]]+NOTA[[#This Row],[DISC 3-]])</f>
        <v>0</v>
      </c>
      <c r="AC219" s="37">
        <f>IF(NOTA[[#This Row],[JUMLAH]]="","",NOTA[[#This Row],[JUMLAH]]-NOTA[[#This Row],[DISC]])</f>
        <v>1080000</v>
      </c>
      <c r="AD219" s="37"/>
      <c r="AE2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9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19" s="37">
        <f>IF(OR(NOTA[[#This Row],[QTY]]="",NOTA[[#This Row],[HARGA SATUAN]]="",),"",NOTA[[#This Row],[QTY]]*NOTA[[#This Row],[HARGA SATUAN]])</f>
        <v>1080000</v>
      </c>
      <c r="AI219" s="26">
        <f ca="1">IF(NOTA[[#This Row],[ID_H]]="","",INDEX(NOTA[TANGGAL],MATCH(,INDIRECT(ADDRESS(ROW(NOTA[TANGGAL]),COLUMN(NOTA[TANGGAL]))&amp;":"&amp;ADDRESS(ROW(),COLUMN(NOTA[TANGGAL]))),-1)))</f>
        <v>45461</v>
      </c>
      <c r="AJ219" s="26">
        <f ca="1">IF(NOTA[[#This Row],[ID_H]]="","",INDEX(NOTA[TGL.NOTA],MATCH(,INDIRECT(ADDRESS(ROW(NOTA[TGL.NOTA]),COLUMN(NOTA[TGL.NOTA]))&amp;":"&amp;ADDRESS(ROW(),COLUMN(NOTA[TGL.NOTA]))),-1)))</f>
        <v>45451</v>
      </c>
      <c r="AK219" s="26" t="str">
        <f ca="1">IF(NOTA[[#This Row],[ID_H]]="","",INDEX(NOTA[NO.NOTA],MATCH(NOTA[[#This Row],[ID_H]],NOTA[ID_H],0)))</f>
        <v>SO2024060086054</v>
      </c>
      <c r="AL219" s="28" t="str">
        <f ca="1">IF(NOTA[[#This Row],[NAMA BARANG]]="","",INDEX(NOTA[SUPPLIER],MATCH(,INDIRECT(ADDRESS(ROW(NOTA[ID]),COLUMN(NOTA[ID]))&amp;":"&amp;ADDRESS(ROW(),COLUMN(NOTA[ID]))),-1)))</f>
        <v>BINTANG SAUDARA</v>
      </c>
      <c r="AM219" s="28" t="str">
        <f ca="1">IF(NOTA[[#This Row],[ID_H]]="","",IF(NOTA[[#This Row],[FAKTUR]]="",INDIRECT(ADDRESS(ROW()-1,COLUMN())),NOTA[[#This Row],[FAKTUR]]))</f>
        <v>UNTANA</v>
      </c>
      <c r="AN219" s="25" t="str">
        <f ca="1">IF(NOTA[[#This Row],[ID]]="","",COUNTIF(NOTA[ID_H],NOTA[[#This Row],[ID_H]]))</f>
        <v/>
      </c>
      <c r="AO219" s="25">
        <f ca="1">IF(NOTA[[#This Row],[TGL.NOTA]]="",IF(NOTA[[#This Row],[SUPPLIER_H]]="","",AO218),MONTH(NOTA[[#This Row],[TGL.NOTA]]))</f>
        <v>6</v>
      </c>
      <c r="AP219" s="25" t="str">
        <f>LOWER(SUBSTITUTE(SUBSTITUTE(SUBSTITUTE(SUBSTITUTE(SUBSTITUTE(SUBSTITUTE(SUBSTITUTE(SUBSTITUTE(SUBSTITUTE(NOTA[[#This Row],[NAMA BARANG]]," ",),".",""),"-",""),"(",""),")",""),",",""),"/",""),"""",""),"+",""))</f>
        <v>gelpenkoalagp168dvl</v>
      </c>
      <c r="AQ2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gelpenkoalagp168dvl1080000</v>
      </c>
      <c r="AR2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gelpenkoalagp168dvl22500</v>
      </c>
      <c r="AS2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9" s="25"/>
      <c r="AU219" s="25">
        <f>IF(NOTA[[#This Row],[CONCAT1]]="","",MATCH(NOTA[[#This Row],[CONCAT1]],[3]!db[NB NOTA_C],0))</f>
        <v>3351</v>
      </c>
      <c r="AV219" s="25" t="str">
        <f>IF(NOTA[[#This Row],[QTY/ CTN]]="","",TRUE)</f>
        <v/>
      </c>
      <c r="AW219" s="25" t="str">
        <f ca="1">IF(NOTA[[#This Row],[ID_H]]="","",IF(NOTA[[#This Row],[Column3]]=TRUE,NOTA[[#This Row],[QTY/ CTN]],INDEX([3]!db[QTY/ CTN],NOTA[[#This Row],[//DB]])))</f>
        <v>144 LSN</v>
      </c>
      <c r="AX2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gelpenkoalagp168dvl144lsnuntana</v>
      </c>
      <c r="AY219" s="25">
        <f ca="1">IF(NOTA[[#This Row],[ID_H]]="","",MATCH(NOTA[[#This Row],[NB NOTA_C_QTY]],[3]!db[NB NOTA_C_QTY+F],0))</f>
        <v>3351</v>
      </c>
      <c r="AZ219" s="38">
        <f ca="1">IF(NOTA[[#This Row],[NB NOTA_C_QTY]]="","",ROW()-2)</f>
        <v>217</v>
      </c>
    </row>
    <row r="220" spans="1:52" ht="20.100000000000001" customHeight="1">
      <c r="A2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0" s="25">
        <f ca="1">IF(NOTA[[#This Row],[NAMA BARANG]]="","",INDEX(NOTA[ID],MATCH(,INDIRECT(ADDRESS(ROW(NOTA[ID]),COLUMN(NOTA[ID]))&amp;":"&amp;ADDRESS(ROW(),COLUMN(NOTA[ID]))),-1)))</f>
        <v>42</v>
      </c>
      <c r="E220" s="33"/>
      <c r="H220" s="34"/>
      <c r="L220" s="39" t="s">
        <v>432</v>
      </c>
      <c r="N220" s="25">
        <v>48</v>
      </c>
      <c r="O220" s="25" t="s">
        <v>110</v>
      </c>
      <c r="P220" s="28">
        <v>22500</v>
      </c>
      <c r="Q220" s="29"/>
      <c r="R220" s="35"/>
      <c r="S220" s="36"/>
      <c r="V220" s="37"/>
      <c r="W220" s="32"/>
      <c r="X220" s="37">
        <f>IF(NOTA[[#This Row],[HARGA/ CTN]]="",NOTA[[#This Row],[JUMLAH_H]],NOTA[[#This Row],[HARGA/ CTN]]*IF(NOTA[[#This Row],[C]]="",0,NOTA[[#This Row],[C]]))</f>
        <v>1080000</v>
      </c>
      <c r="Y220" s="37">
        <f>IF(NOTA[[#This Row],[JUMLAH]]="","",NOTA[[#This Row],[JUMLAH]]*NOTA[[#This Row],[DISC 1]])</f>
        <v>0</v>
      </c>
      <c r="Z220" s="37">
        <f>IF(NOTA[[#This Row],[JUMLAH]]="","",(NOTA[[#This Row],[JUMLAH]]-NOTA[[#This Row],[DISC 1-]])*NOTA[[#This Row],[DISC 2]])</f>
        <v>0</v>
      </c>
      <c r="AA220" s="37">
        <f>IF(NOTA[[#This Row],[JUMLAH]]="","",(NOTA[[#This Row],[JUMLAH]]-NOTA[[#This Row],[DISC 1-]]-NOTA[[#This Row],[DISC 2-]])*NOTA[[#This Row],[DISC 3]])</f>
        <v>0</v>
      </c>
      <c r="AB220" s="37">
        <f>IF(NOTA[[#This Row],[JUMLAH]]="","",NOTA[[#This Row],[DISC 1-]]+NOTA[[#This Row],[DISC 2-]]+NOTA[[#This Row],[DISC 3-]])</f>
        <v>0</v>
      </c>
      <c r="AC220" s="37">
        <f>IF(NOTA[[#This Row],[JUMLAH]]="","",NOTA[[#This Row],[JUMLAH]]-NOTA[[#This Row],[DISC]])</f>
        <v>1080000</v>
      </c>
      <c r="AD220" s="37"/>
      <c r="AE2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0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20" s="37">
        <f>IF(OR(NOTA[[#This Row],[QTY]]="",NOTA[[#This Row],[HARGA SATUAN]]="",),"",NOTA[[#This Row],[QTY]]*NOTA[[#This Row],[HARGA SATUAN]])</f>
        <v>1080000</v>
      </c>
      <c r="AI220" s="26">
        <f ca="1">IF(NOTA[[#This Row],[ID_H]]="","",INDEX(NOTA[TANGGAL],MATCH(,INDIRECT(ADDRESS(ROW(NOTA[TANGGAL]),COLUMN(NOTA[TANGGAL]))&amp;":"&amp;ADDRESS(ROW(),COLUMN(NOTA[TANGGAL]))),-1)))</f>
        <v>45461</v>
      </c>
      <c r="AJ220" s="26">
        <f ca="1">IF(NOTA[[#This Row],[ID_H]]="","",INDEX(NOTA[TGL.NOTA],MATCH(,INDIRECT(ADDRESS(ROW(NOTA[TGL.NOTA]),COLUMN(NOTA[TGL.NOTA]))&amp;":"&amp;ADDRESS(ROW(),COLUMN(NOTA[TGL.NOTA]))),-1)))</f>
        <v>45451</v>
      </c>
      <c r="AK220" s="26" t="str">
        <f ca="1">IF(NOTA[[#This Row],[ID_H]]="","",INDEX(NOTA[NO.NOTA],MATCH(NOTA[[#This Row],[ID_H]],NOTA[ID_H],0)))</f>
        <v>SO2024060086054</v>
      </c>
      <c r="AL220" s="28" t="str">
        <f ca="1">IF(NOTA[[#This Row],[NAMA BARANG]]="","",INDEX(NOTA[SUPPLIER],MATCH(,INDIRECT(ADDRESS(ROW(NOTA[ID]),COLUMN(NOTA[ID]))&amp;":"&amp;ADDRESS(ROW(),COLUMN(NOTA[ID]))),-1)))</f>
        <v>BINTANG SAUDARA</v>
      </c>
      <c r="AM220" s="28" t="str">
        <f ca="1">IF(NOTA[[#This Row],[ID_H]]="","",IF(NOTA[[#This Row],[FAKTUR]]="",INDIRECT(ADDRESS(ROW()-1,COLUMN())),NOTA[[#This Row],[FAKTUR]]))</f>
        <v>UNTANA</v>
      </c>
      <c r="AN220" s="25" t="str">
        <f ca="1">IF(NOTA[[#This Row],[ID]]="","",COUNTIF(NOTA[ID_H],NOTA[[#This Row],[ID_H]]))</f>
        <v/>
      </c>
      <c r="AO220" s="25">
        <f ca="1">IF(NOTA[[#This Row],[TGL.NOTA]]="",IF(NOTA[[#This Row],[SUPPLIER_H]]="","",AO219),MONTH(NOTA[[#This Row],[TGL.NOTA]]))</f>
        <v>6</v>
      </c>
      <c r="AP220" s="25" t="str">
        <f>LOWER(SUBSTITUTE(SUBSTITUTE(SUBSTITUTE(SUBSTITUTE(SUBSTITUTE(SUBSTITUTE(SUBSTITUTE(SUBSTITUTE(SUBSTITUTE(NOTA[[#This Row],[NAMA BARANG]]," ",),".",""),"-",""),"(",""),")",""),",",""),"/",""),"""",""),"+",""))</f>
        <v>gelpenkoalagp168eor</v>
      </c>
      <c r="AQ2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gelpenkoalagp168eor1080000</v>
      </c>
      <c r="AR2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gelpenkoalagp168eor22500</v>
      </c>
      <c r="AS2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0" s="25"/>
      <c r="AU220" s="25">
        <f>IF(NOTA[[#This Row],[CONCAT1]]="","",MATCH(NOTA[[#This Row],[CONCAT1]],[3]!db[NB NOTA_C],0))</f>
        <v>3352</v>
      </c>
      <c r="AV220" s="25" t="str">
        <f>IF(NOTA[[#This Row],[QTY/ CTN]]="","",TRUE)</f>
        <v/>
      </c>
      <c r="AW220" s="25" t="str">
        <f ca="1">IF(NOTA[[#This Row],[ID_H]]="","",IF(NOTA[[#This Row],[Column3]]=TRUE,NOTA[[#This Row],[QTY/ CTN]],INDEX([3]!db[QTY/ CTN],NOTA[[#This Row],[//DB]])))</f>
        <v>144 LSN</v>
      </c>
      <c r="AX2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gelpenkoalagp168eor144lsnuntana</v>
      </c>
      <c r="AY220" s="25">
        <f ca="1">IF(NOTA[[#This Row],[ID_H]]="","",MATCH(NOTA[[#This Row],[NB NOTA_C_QTY]],[3]!db[NB NOTA_C_QTY+F],0))</f>
        <v>3352</v>
      </c>
      <c r="AZ220" s="38">
        <f ca="1">IF(NOTA[[#This Row],[NB NOTA_C_QTY]]="","",ROW()-2)</f>
        <v>218</v>
      </c>
    </row>
    <row r="221" spans="1:52" ht="20.100000000000001" customHeight="1">
      <c r="A2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1" s="25">
        <f ca="1">IF(NOTA[[#This Row],[NAMA BARANG]]="","",INDEX(NOTA[ID],MATCH(,INDIRECT(ADDRESS(ROW(NOTA[ID]),COLUMN(NOTA[ID]))&amp;":"&amp;ADDRESS(ROW(),COLUMN(NOTA[ID]))),-1)))</f>
        <v>42</v>
      </c>
      <c r="E221" s="33"/>
      <c r="H221" s="34"/>
      <c r="L221" s="39" t="s">
        <v>433</v>
      </c>
      <c r="N221" s="25">
        <v>48</v>
      </c>
      <c r="O221" s="25" t="s">
        <v>110</v>
      </c>
      <c r="P221" s="28">
        <v>22500</v>
      </c>
      <c r="Q221" s="29"/>
      <c r="R221" s="35"/>
      <c r="S221" s="36"/>
      <c r="V221" s="37"/>
      <c r="W221" s="32"/>
      <c r="X221" s="37">
        <f>IF(NOTA[[#This Row],[HARGA/ CTN]]="",NOTA[[#This Row],[JUMLAH_H]],NOTA[[#This Row],[HARGA/ CTN]]*IF(NOTA[[#This Row],[C]]="",0,NOTA[[#This Row],[C]]))</f>
        <v>1080000</v>
      </c>
      <c r="Y221" s="37">
        <f>IF(NOTA[[#This Row],[JUMLAH]]="","",NOTA[[#This Row],[JUMLAH]]*NOTA[[#This Row],[DISC 1]])</f>
        <v>0</v>
      </c>
      <c r="Z221" s="37">
        <f>IF(NOTA[[#This Row],[JUMLAH]]="","",(NOTA[[#This Row],[JUMLAH]]-NOTA[[#This Row],[DISC 1-]])*NOTA[[#This Row],[DISC 2]])</f>
        <v>0</v>
      </c>
      <c r="AA221" s="37">
        <f>IF(NOTA[[#This Row],[JUMLAH]]="","",(NOTA[[#This Row],[JUMLAH]]-NOTA[[#This Row],[DISC 1-]]-NOTA[[#This Row],[DISC 2-]])*NOTA[[#This Row],[DISC 3]])</f>
        <v>0</v>
      </c>
      <c r="AB221" s="37">
        <f>IF(NOTA[[#This Row],[JUMLAH]]="","",NOTA[[#This Row],[DISC 1-]]+NOTA[[#This Row],[DISC 2-]]+NOTA[[#This Row],[DISC 3-]])</f>
        <v>0</v>
      </c>
      <c r="AC221" s="37">
        <f>IF(NOTA[[#This Row],[JUMLAH]]="","",NOTA[[#This Row],[JUMLAH]]-NOTA[[#This Row],[DISC]])</f>
        <v>1080000</v>
      </c>
      <c r="AD221" s="37"/>
      <c r="AE2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1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21" s="37">
        <f>IF(OR(NOTA[[#This Row],[QTY]]="",NOTA[[#This Row],[HARGA SATUAN]]="",),"",NOTA[[#This Row],[QTY]]*NOTA[[#This Row],[HARGA SATUAN]])</f>
        <v>1080000</v>
      </c>
      <c r="AI221" s="26">
        <f ca="1">IF(NOTA[[#This Row],[ID_H]]="","",INDEX(NOTA[TANGGAL],MATCH(,INDIRECT(ADDRESS(ROW(NOTA[TANGGAL]),COLUMN(NOTA[TANGGAL]))&amp;":"&amp;ADDRESS(ROW(),COLUMN(NOTA[TANGGAL]))),-1)))</f>
        <v>45461</v>
      </c>
      <c r="AJ221" s="26">
        <f ca="1">IF(NOTA[[#This Row],[ID_H]]="","",INDEX(NOTA[TGL.NOTA],MATCH(,INDIRECT(ADDRESS(ROW(NOTA[TGL.NOTA]),COLUMN(NOTA[TGL.NOTA]))&amp;":"&amp;ADDRESS(ROW(),COLUMN(NOTA[TGL.NOTA]))),-1)))</f>
        <v>45451</v>
      </c>
      <c r="AK221" s="26" t="str">
        <f ca="1">IF(NOTA[[#This Row],[ID_H]]="","",INDEX(NOTA[NO.NOTA],MATCH(NOTA[[#This Row],[ID_H]],NOTA[ID_H],0)))</f>
        <v>SO2024060086054</v>
      </c>
      <c r="AL221" s="28" t="str">
        <f ca="1">IF(NOTA[[#This Row],[NAMA BARANG]]="","",INDEX(NOTA[SUPPLIER],MATCH(,INDIRECT(ADDRESS(ROW(NOTA[ID]),COLUMN(NOTA[ID]))&amp;":"&amp;ADDRESS(ROW(),COLUMN(NOTA[ID]))),-1)))</f>
        <v>BINTANG SAUDARA</v>
      </c>
      <c r="AM221" s="28" t="str">
        <f ca="1">IF(NOTA[[#This Row],[ID_H]]="","",IF(NOTA[[#This Row],[FAKTUR]]="",INDIRECT(ADDRESS(ROW()-1,COLUMN())),NOTA[[#This Row],[FAKTUR]]))</f>
        <v>UNTANA</v>
      </c>
      <c r="AN221" s="25" t="str">
        <f ca="1">IF(NOTA[[#This Row],[ID]]="","",COUNTIF(NOTA[ID_H],NOTA[[#This Row],[ID_H]]))</f>
        <v/>
      </c>
      <c r="AO221" s="25">
        <f ca="1">IF(NOTA[[#This Row],[TGL.NOTA]]="",IF(NOTA[[#This Row],[SUPPLIER_H]]="","",AO220),MONTH(NOTA[[#This Row],[TGL.NOTA]]))</f>
        <v>6</v>
      </c>
      <c r="AP221" s="25" t="str">
        <f>LOWER(SUBSTITUTE(SUBSTITUTE(SUBSTITUTE(SUBSTITUTE(SUBSTITUTE(SUBSTITUTE(SUBSTITUTE(SUBSTITUTE(SUBSTITUTE(NOTA[[#This Row],[NAMA BARANG]]," ",),".",""),"-",""),"(",""),")",""),",",""),"/",""),"""",""),"+",""))</f>
        <v>gelpenkoalagp168fbrtua</v>
      </c>
      <c r="AQ2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gelpenkoalagp168fbrtua1080000</v>
      </c>
      <c r="AR2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gelpenkoalagp168fbrtua22500</v>
      </c>
      <c r="AS2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1" s="25"/>
      <c r="AU221" s="25">
        <f>IF(NOTA[[#This Row],[CONCAT1]]="","",MATCH(NOTA[[#This Row],[CONCAT1]],[3]!db[NB NOTA_C],0))</f>
        <v>3353</v>
      </c>
      <c r="AV221" s="25" t="str">
        <f>IF(NOTA[[#This Row],[QTY/ CTN]]="","",TRUE)</f>
        <v/>
      </c>
      <c r="AW221" s="25" t="str">
        <f ca="1">IF(NOTA[[#This Row],[ID_H]]="","",IF(NOTA[[#This Row],[Column3]]=TRUE,NOTA[[#This Row],[QTY/ CTN]],INDEX([3]!db[QTY/ CTN],NOTA[[#This Row],[//DB]])))</f>
        <v>144 LSN</v>
      </c>
      <c r="AX2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gelpenkoalagp168fbrtua144lsnuntana</v>
      </c>
      <c r="AY221" s="25">
        <f ca="1">IF(NOTA[[#This Row],[ID_H]]="","",MATCH(NOTA[[#This Row],[NB NOTA_C_QTY]],[3]!db[NB NOTA_C_QTY+F],0))</f>
        <v>3353</v>
      </c>
      <c r="AZ221" s="38">
        <f ca="1">IF(NOTA[[#This Row],[NB NOTA_C_QTY]]="","",ROW()-2)</f>
        <v>219</v>
      </c>
    </row>
    <row r="222" spans="1:52" ht="20.100000000000001" customHeight="1">
      <c r="A2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2" s="25">
        <f ca="1">IF(NOTA[[#This Row],[NAMA BARANG]]="","",INDEX(NOTA[ID],MATCH(,INDIRECT(ADDRESS(ROW(NOTA[ID]),COLUMN(NOTA[ID]))&amp;":"&amp;ADDRESS(ROW(),COLUMN(NOTA[ID]))),-1)))</f>
        <v>42</v>
      </c>
      <c r="E222" s="33"/>
      <c r="H222" s="34"/>
      <c r="L222" s="39" t="s">
        <v>434</v>
      </c>
      <c r="N222" s="25">
        <v>48</v>
      </c>
      <c r="O222" s="25" t="s">
        <v>110</v>
      </c>
      <c r="P222" s="28">
        <v>22500</v>
      </c>
      <c r="Q222" s="29"/>
      <c r="R222" s="35"/>
      <c r="S222" s="36"/>
      <c r="V222" s="37"/>
      <c r="W222" s="32"/>
      <c r="X222" s="37">
        <f>IF(NOTA[[#This Row],[HARGA/ CTN]]="",NOTA[[#This Row],[JUMLAH_H]],NOTA[[#This Row],[HARGA/ CTN]]*IF(NOTA[[#This Row],[C]]="",0,NOTA[[#This Row],[C]]))</f>
        <v>1080000</v>
      </c>
      <c r="Y222" s="37">
        <f>IF(NOTA[[#This Row],[JUMLAH]]="","",NOTA[[#This Row],[JUMLAH]]*NOTA[[#This Row],[DISC 1]])</f>
        <v>0</v>
      </c>
      <c r="Z222" s="37">
        <f>IF(NOTA[[#This Row],[JUMLAH]]="","",(NOTA[[#This Row],[JUMLAH]]-NOTA[[#This Row],[DISC 1-]])*NOTA[[#This Row],[DISC 2]])</f>
        <v>0</v>
      </c>
      <c r="AA222" s="37">
        <f>IF(NOTA[[#This Row],[JUMLAH]]="","",(NOTA[[#This Row],[JUMLAH]]-NOTA[[#This Row],[DISC 1-]]-NOTA[[#This Row],[DISC 2-]])*NOTA[[#This Row],[DISC 3]])</f>
        <v>0</v>
      </c>
      <c r="AB222" s="37">
        <f>IF(NOTA[[#This Row],[JUMLAH]]="","",NOTA[[#This Row],[DISC 1-]]+NOTA[[#This Row],[DISC 2-]]+NOTA[[#This Row],[DISC 3-]])</f>
        <v>0</v>
      </c>
      <c r="AC222" s="37">
        <f>IF(NOTA[[#This Row],[JUMLAH]]="","",NOTA[[#This Row],[JUMLAH]]-NOTA[[#This Row],[DISC]])</f>
        <v>1080000</v>
      </c>
      <c r="AD222" s="37"/>
      <c r="AE2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2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22" s="37">
        <f>IF(OR(NOTA[[#This Row],[QTY]]="",NOTA[[#This Row],[HARGA SATUAN]]="",),"",NOTA[[#This Row],[QTY]]*NOTA[[#This Row],[HARGA SATUAN]])</f>
        <v>1080000</v>
      </c>
      <c r="AI222" s="26">
        <f ca="1">IF(NOTA[[#This Row],[ID_H]]="","",INDEX(NOTA[TANGGAL],MATCH(,INDIRECT(ADDRESS(ROW(NOTA[TANGGAL]),COLUMN(NOTA[TANGGAL]))&amp;":"&amp;ADDRESS(ROW(),COLUMN(NOTA[TANGGAL]))),-1)))</f>
        <v>45461</v>
      </c>
      <c r="AJ222" s="26">
        <f ca="1">IF(NOTA[[#This Row],[ID_H]]="","",INDEX(NOTA[TGL.NOTA],MATCH(,INDIRECT(ADDRESS(ROW(NOTA[TGL.NOTA]),COLUMN(NOTA[TGL.NOTA]))&amp;":"&amp;ADDRESS(ROW(),COLUMN(NOTA[TGL.NOTA]))),-1)))</f>
        <v>45451</v>
      </c>
      <c r="AK222" s="26" t="str">
        <f ca="1">IF(NOTA[[#This Row],[ID_H]]="","",INDEX(NOTA[NO.NOTA],MATCH(NOTA[[#This Row],[ID_H]],NOTA[ID_H],0)))</f>
        <v>SO2024060086054</v>
      </c>
      <c r="AL222" s="28" t="str">
        <f ca="1">IF(NOTA[[#This Row],[NAMA BARANG]]="","",INDEX(NOTA[SUPPLIER],MATCH(,INDIRECT(ADDRESS(ROW(NOTA[ID]),COLUMN(NOTA[ID]))&amp;":"&amp;ADDRESS(ROW(),COLUMN(NOTA[ID]))),-1)))</f>
        <v>BINTANG SAUDARA</v>
      </c>
      <c r="AM222" s="28" t="str">
        <f ca="1">IF(NOTA[[#This Row],[ID_H]]="","",IF(NOTA[[#This Row],[FAKTUR]]="",INDIRECT(ADDRESS(ROW()-1,COLUMN())),NOTA[[#This Row],[FAKTUR]]))</f>
        <v>UNTANA</v>
      </c>
      <c r="AN222" s="25" t="str">
        <f ca="1">IF(NOTA[[#This Row],[ID]]="","",COUNTIF(NOTA[ID_H],NOTA[[#This Row],[ID_H]]))</f>
        <v/>
      </c>
      <c r="AO222" s="25">
        <f ca="1">IF(NOTA[[#This Row],[TGL.NOTA]]="",IF(NOTA[[#This Row],[SUPPLIER_H]]="","",AO221),MONTH(NOTA[[#This Row],[TGL.NOTA]]))</f>
        <v>6</v>
      </c>
      <c r="AP222" s="25" t="str">
        <f>LOWER(SUBSTITUTE(SUBSTITUTE(SUBSTITUTE(SUBSTITUTE(SUBSTITUTE(SUBSTITUTE(SUBSTITUTE(SUBSTITUTE(SUBSTITUTE(NOTA[[#This Row],[NAMA BARANG]]," ",),".",""),"-",""),"(",""),")",""),",",""),"/",""),"""",""),"+",""))</f>
        <v>gelpenkoalagp168gpk</v>
      </c>
      <c r="AQ2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gelpenkoalagp168gpk1080000</v>
      </c>
      <c r="AR2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gelpenkoalagp168gpk22500</v>
      </c>
      <c r="AS2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2" s="25"/>
      <c r="AU222" s="25">
        <f>IF(NOTA[[#This Row],[CONCAT1]]="","",MATCH(NOTA[[#This Row],[CONCAT1]],[3]!db[NB NOTA_C],0))</f>
        <v>3354</v>
      </c>
      <c r="AV222" s="25" t="str">
        <f>IF(NOTA[[#This Row],[QTY/ CTN]]="","",TRUE)</f>
        <v/>
      </c>
      <c r="AW222" s="25" t="str">
        <f ca="1">IF(NOTA[[#This Row],[ID_H]]="","",IF(NOTA[[#This Row],[Column3]]=TRUE,NOTA[[#This Row],[QTY/ CTN]],INDEX([3]!db[QTY/ CTN],NOTA[[#This Row],[//DB]])))</f>
        <v>144 LSN</v>
      </c>
      <c r="AX2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gelpenkoalagp168gpk144lsnuntana</v>
      </c>
      <c r="AY222" s="25">
        <f ca="1">IF(NOTA[[#This Row],[ID_H]]="","",MATCH(NOTA[[#This Row],[NB NOTA_C_QTY]],[3]!db[NB NOTA_C_QTY+F],0))</f>
        <v>3354</v>
      </c>
      <c r="AZ222" s="38">
        <f ca="1">IF(NOTA[[#This Row],[NB NOTA_C_QTY]]="","",ROW()-2)</f>
        <v>220</v>
      </c>
    </row>
    <row r="223" spans="1:52" ht="20.100000000000001" customHeight="1">
      <c r="A2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3" s="25">
        <f ca="1">IF(NOTA[[#This Row],[NAMA BARANG]]="","",INDEX(NOTA[ID],MATCH(,INDIRECT(ADDRESS(ROW(NOTA[ID]),COLUMN(NOTA[ID]))&amp;":"&amp;ADDRESS(ROW(),COLUMN(NOTA[ID]))),-1)))</f>
        <v>42</v>
      </c>
      <c r="E223" s="33"/>
      <c r="H223" s="34"/>
      <c r="L223" s="39" t="s">
        <v>435</v>
      </c>
      <c r="N223" s="25">
        <v>48</v>
      </c>
      <c r="O223" s="25" t="s">
        <v>110</v>
      </c>
      <c r="P223" s="28">
        <v>22500</v>
      </c>
      <c r="Q223" s="29"/>
      <c r="R223" s="35"/>
      <c r="S223" s="36"/>
      <c r="V223" s="37"/>
      <c r="W223" s="32"/>
      <c r="X223" s="37">
        <f>IF(NOTA[[#This Row],[HARGA/ CTN]]="",NOTA[[#This Row],[JUMLAH_H]],NOTA[[#This Row],[HARGA/ CTN]]*IF(NOTA[[#This Row],[C]]="",0,NOTA[[#This Row],[C]]))</f>
        <v>1080000</v>
      </c>
      <c r="Y223" s="37">
        <f>IF(NOTA[[#This Row],[JUMLAH]]="","",NOTA[[#This Row],[JUMLAH]]*NOTA[[#This Row],[DISC 1]])</f>
        <v>0</v>
      </c>
      <c r="Z223" s="37">
        <f>IF(NOTA[[#This Row],[JUMLAH]]="","",(NOTA[[#This Row],[JUMLAH]]-NOTA[[#This Row],[DISC 1-]])*NOTA[[#This Row],[DISC 2]])</f>
        <v>0</v>
      </c>
      <c r="AA223" s="37">
        <f>IF(NOTA[[#This Row],[JUMLAH]]="","",(NOTA[[#This Row],[JUMLAH]]-NOTA[[#This Row],[DISC 1-]]-NOTA[[#This Row],[DISC 2-]])*NOTA[[#This Row],[DISC 3]])</f>
        <v>0</v>
      </c>
      <c r="AB223" s="37">
        <f>IF(NOTA[[#This Row],[JUMLAH]]="","",NOTA[[#This Row],[DISC 1-]]+NOTA[[#This Row],[DISC 2-]]+NOTA[[#This Row],[DISC 3-]])</f>
        <v>0</v>
      </c>
      <c r="AC223" s="37">
        <f>IF(NOTA[[#This Row],[JUMLAH]]="","",NOTA[[#This Row],[JUMLAH]]-NOTA[[#This Row],[DISC]])</f>
        <v>1080000</v>
      </c>
      <c r="AD223" s="37"/>
      <c r="AE2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3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23" s="37">
        <f>IF(OR(NOTA[[#This Row],[QTY]]="",NOTA[[#This Row],[HARGA SATUAN]]="",),"",NOTA[[#This Row],[QTY]]*NOTA[[#This Row],[HARGA SATUAN]])</f>
        <v>1080000</v>
      </c>
      <c r="AI223" s="26">
        <f ca="1">IF(NOTA[[#This Row],[ID_H]]="","",INDEX(NOTA[TANGGAL],MATCH(,INDIRECT(ADDRESS(ROW(NOTA[TANGGAL]),COLUMN(NOTA[TANGGAL]))&amp;":"&amp;ADDRESS(ROW(),COLUMN(NOTA[TANGGAL]))),-1)))</f>
        <v>45461</v>
      </c>
      <c r="AJ223" s="26">
        <f ca="1">IF(NOTA[[#This Row],[ID_H]]="","",INDEX(NOTA[TGL.NOTA],MATCH(,INDIRECT(ADDRESS(ROW(NOTA[TGL.NOTA]),COLUMN(NOTA[TGL.NOTA]))&amp;":"&amp;ADDRESS(ROW(),COLUMN(NOTA[TGL.NOTA]))),-1)))</f>
        <v>45451</v>
      </c>
      <c r="AK223" s="26" t="str">
        <f ca="1">IF(NOTA[[#This Row],[ID_H]]="","",INDEX(NOTA[NO.NOTA],MATCH(NOTA[[#This Row],[ID_H]],NOTA[ID_H],0)))</f>
        <v>SO2024060086054</v>
      </c>
      <c r="AL223" s="28" t="str">
        <f ca="1">IF(NOTA[[#This Row],[NAMA BARANG]]="","",INDEX(NOTA[SUPPLIER],MATCH(,INDIRECT(ADDRESS(ROW(NOTA[ID]),COLUMN(NOTA[ID]))&amp;":"&amp;ADDRESS(ROW(),COLUMN(NOTA[ID]))),-1)))</f>
        <v>BINTANG SAUDARA</v>
      </c>
      <c r="AM223" s="28" t="str">
        <f ca="1">IF(NOTA[[#This Row],[ID_H]]="","",IF(NOTA[[#This Row],[FAKTUR]]="",INDIRECT(ADDRESS(ROW()-1,COLUMN())),NOTA[[#This Row],[FAKTUR]]))</f>
        <v>UNTANA</v>
      </c>
      <c r="AN223" s="25" t="str">
        <f ca="1">IF(NOTA[[#This Row],[ID]]="","",COUNTIF(NOTA[ID_H],NOTA[[#This Row],[ID_H]]))</f>
        <v/>
      </c>
      <c r="AO223" s="25">
        <f ca="1">IF(NOTA[[#This Row],[TGL.NOTA]]="",IF(NOTA[[#This Row],[SUPPLIER_H]]="","",AO222),MONTH(NOTA[[#This Row],[TGL.NOTA]]))</f>
        <v>6</v>
      </c>
      <c r="AP223" s="25" t="str">
        <f>LOWER(SUBSTITUTE(SUBSTITUTE(SUBSTITUTE(SUBSTITUTE(SUBSTITUTE(SUBSTITUTE(SUBSTITUTE(SUBSTITUTE(SUBSTITUTE(NOTA[[#This Row],[NAMA BARANG]]," ",),".",""),"-",""),"(",""),")",""),",",""),"/",""),"""",""),"+",""))</f>
        <v>gelpenkoalagp168hhjmuda</v>
      </c>
      <c r="AQ2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gelpenkoalagp168hhjmuda1080000</v>
      </c>
      <c r="AR2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gelpenkoalagp168hhjmuda22500</v>
      </c>
      <c r="AS2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3" s="25"/>
      <c r="AU223" s="25">
        <f>IF(NOTA[[#This Row],[CONCAT1]]="","",MATCH(NOTA[[#This Row],[CONCAT1]],[3]!db[NB NOTA_C],0))</f>
        <v>3355</v>
      </c>
      <c r="AV223" s="25" t="str">
        <f>IF(NOTA[[#This Row],[QTY/ CTN]]="","",TRUE)</f>
        <v/>
      </c>
      <c r="AW223" s="25" t="str">
        <f ca="1">IF(NOTA[[#This Row],[ID_H]]="","",IF(NOTA[[#This Row],[Column3]]=TRUE,NOTA[[#This Row],[QTY/ CTN]],INDEX([3]!db[QTY/ CTN],NOTA[[#This Row],[//DB]])))</f>
        <v>144 LSN</v>
      </c>
      <c r="AX2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gelpenkoalagp168hhjmuda144lsnuntana</v>
      </c>
      <c r="AY223" s="25">
        <f ca="1">IF(NOTA[[#This Row],[ID_H]]="","",MATCH(NOTA[[#This Row],[NB NOTA_C_QTY]],[3]!db[NB NOTA_C_QTY+F],0))</f>
        <v>3355</v>
      </c>
      <c r="AZ223" s="38">
        <f ca="1">IF(NOTA[[#This Row],[NB NOTA_C_QTY]]="","",ROW()-2)</f>
        <v>221</v>
      </c>
    </row>
    <row r="224" spans="1:52" ht="20.100000000000001" customHeight="1">
      <c r="A2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4" s="25">
        <f ca="1">IF(NOTA[[#This Row],[NAMA BARANG]]="","",INDEX(NOTA[ID],MATCH(,INDIRECT(ADDRESS(ROW(NOTA[ID]),COLUMN(NOTA[ID]))&amp;":"&amp;ADDRESS(ROW(),COLUMN(NOTA[ID]))),-1)))</f>
        <v>42</v>
      </c>
      <c r="E224" s="33"/>
      <c r="H224" s="34"/>
      <c r="L224" s="39" t="s">
        <v>436</v>
      </c>
      <c r="N224" s="25">
        <v>48</v>
      </c>
      <c r="O224" s="25" t="s">
        <v>110</v>
      </c>
      <c r="P224" s="28">
        <v>22500</v>
      </c>
      <c r="Q224" s="29"/>
      <c r="R224" s="35"/>
      <c r="S224" s="36"/>
      <c r="V224" s="37"/>
      <c r="W224" s="32"/>
      <c r="X224" s="37">
        <f>IF(NOTA[[#This Row],[HARGA/ CTN]]="",NOTA[[#This Row],[JUMLAH_H]],NOTA[[#This Row],[HARGA/ CTN]]*IF(NOTA[[#This Row],[C]]="",0,NOTA[[#This Row],[C]]))</f>
        <v>1080000</v>
      </c>
      <c r="Y224" s="37">
        <f>IF(NOTA[[#This Row],[JUMLAH]]="","",NOTA[[#This Row],[JUMLAH]]*NOTA[[#This Row],[DISC 1]])</f>
        <v>0</v>
      </c>
      <c r="Z224" s="37">
        <f>IF(NOTA[[#This Row],[JUMLAH]]="","",(NOTA[[#This Row],[JUMLAH]]-NOTA[[#This Row],[DISC 1-]])*NOTA[[#This Row],[DISC 2]])</f>
        <v>0</v>
      </c>
      <c r="AA224" s="37">
        <f>IF(NOTA[[#This Row],[JUMLAH]]="","",(NOTA[[#This Row],[JUMLAH]]-NOTA[[#This Row],[DISC 1-]]-NOTA[[#This Row],[DISC 2-]])*NOTA[[#This Row],[DISC 3]])</f>
        <v>0</v>
      </c>
      <c r="AB224" s="37">
        <f>IF(NOTA[[#This Row],[JUMLAH]]="","",NOTA[[#This Row],[DISC 1-]]+NOTA[[#This Row],[DISC 2-]]+NOTA[[#This Row],[DISC 3-]])</f>
        <v>0</v>
      </c>
      <c r="AC224" s="37">
        <f>IF(NOTA[[#This Row],[JUMLAH]]="","",NOTA[[#This Row],[JUMLAH]]-NOTA[[#This Row],[DISC]])</f>
        <v>1080000</v>
      </c>
      <c r="AD224" s="37"/>
      <c r="AE2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4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24" s="37">
        <f>IF(OR(NOTA[[#This Row],[QTY]]="",NOTA[[#This Row],[HARGA SATUAN]]="",),"",NOTA[[#This Row],[QTY]]*NOTA[[#This Row],[HARGA SATUAN]])</f>
        <v>1080000</v>
      </c>
      <c r="AI224" s="26">
        <f ca="1">IF(NOTA[[#This Row],[ID_H]]="","",INDEX(NOTA[TANGGAL],MATCH(,INDIRECT(ADDRESS(ROW(NOTA[TANGGAL]),COLUMN(NOTA[TANGGAL]))&amp;":"&amp;ADDRESS(ROW(),COLUMN(NOTA[TANGGAL]))),-1)))</f>
        <v>45461</v>
      </c>
      <c r="AJ224" s="26">
        <f ca="1">IF(NOTA[[#This Row],[ID_H]]="","",INDEX(NOTA[TGL.NOTA],MATCH(,INDIRECT(ADDRESS(ROW(NOTA[TGL.NOTA]),COLUMN(NOTA[TGL.NOTA]))&amp;":"&amp;ADDRESS(ROW(),COLUMN(NOTA[TGL.NOTA]))),-1)))</f>
        <v>45451</v>
      </c>
      <c r="AK224" s="26" t="str">
        <f ca="1">IF(NOTA[[#This Row],[ID_H]]="","",INDEX(NOTA[NO.NOTA],MATCH(NOTA[[#This Row],[ID_H]],NOTA[ID_H],0)))</f>
        <v>SO2024060086054</v>
      </c>
      <c r="AL224" s="28" t="str">
        <f ca="1">IF(NOTA[[#This Row],[NAMA BARANG]]="","",INDEX(NOTA[SUPPLIER],MATCH(,INDIRECT(ADDRESS(ROW(NOTA[ID]),COLUMN(NOTA[ID]))&amp;":"&amp;ADDRESS(ROW(),COLUMN(NOTA[ID]))),-1)))</f>
        <v>BINTANG SAUDARA</v>
      </c>
      <c r="AM224" s="28" t="str">
        <f ca="1">IF(NOTA[[#This Row],[ID_H]]="","",IF(NOTA[[#This Row],[FAKTUR]]="",INDIRECT(ADDRESS(ROW()-1,COLUMN())),NOTA[[#This Row],[FAKTUR]]))</f>
        <v>UNTANA</v>
      </c>
      <c r="AN224" s="25" t="str">
        <f ca="1">IF(NOTA[[#This Row],[ID]]="","",COUNTIF(NOTA[ID_H],NOTA[[#This Row],[ID_H]]))</f>
        <v/>
      </c>
      <c r="AO224" s="25">
        <f ca="1">IF(NOTA[[#This Row],[TGL.NOTA]]="",IF(NOTA[[#This Row],[SUPPLIER_H]]="","",AO223),MONTH(NOTA[[#This Row],[TGL.NOTA]]))</f>
        <v>6</v>
      </c>
      <c r="AP224" s="25" t="str">
        <f>LOWER(SUBSTITUTE(SUBSTITUTE(SUBSTITUTE(SUBSTITUTE(SUBSTITUTE(SUBSTITUTE(SUBSTITUTE(SUBSTITUTE(SUBSTITUTE(NOTA[[#This Row],[NAMA BARANG]]," ",),".",""),"-",""),"(",""),")",""),",",""),"/",""),"""",""),"+",""))</f>
        <v>gelpenkoalagp168icoklat</v>
      </c>
      <c r="AQ2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gelpenkoalagp168icoklat1080000</v>
      </c>
      <c r="AR2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gelpenkoalagp168icoklat22500</v>
      </c>
      <c r="AS2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4" s="25"/>
      <c r="AU224" s="25">
        <f>IF(NOTA[[#This Row],[CONCAT1]]="","",MATCH(NOTA[[#This Row],[CONCAT1]],[3]!db[NB NOTA_C],0))</f>
        <v>3356</v>
      </c>
      <c r="AV224" s="25" t="str">
        <f>IF(NOTA[[#This Row],[QTY/ CTN]]="","",TRUE)</f>
        <v/>
      </c>
      <c r="AW224" s="25" t="str">
        <f ca="1">IF(NOTA[[#This Row],[ID_H]]="","",IF(NOTA[[#This Row],[Column3]]=TRUE,NOTA[[#This Row],[QTY/ CTN]],INDEX([3]!db[QTY/ CTN],NOTA[[#This Row],[//DB]])))</f>
        <v>144 LSN</v>
      </c>
      <c r="AX2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gelpenkoalagp168icoklat144lsnuntana</v>
      </c>
      <c r="AY224" s="25">
        <f ca="1">IF(NOTA[[#This Row],[ID_H]]="","",MATCH(NOTA[[#This Row],[NB NOTA_C_QTY]],[3]!db[NB NOTA_C_QTY+F],0))</f>
        <v>3356</v>
      </c>
      <c r="AZ224" s="38">
        <f ca="1">IF(NOTA[[#This Row],[NB NOTA_C_QTY]]="","",ROW()-2)</f>
        <v>222</v>
      </c>
    </row>
    <row r="225" spans="1:52" ht="20.100000000000001" customHeight="1">
      <c r="A2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5" s="25">
        <f ca="1">IF(NOTA[[#This Row],[NAMA BARANG]]="","",INDEX(NOTA[ID],MATCH(,INDIRECT(ADDRESS(ROW(NOTA[ID]),COLUMN(NOTA[ID]))&amp;":"&amp;ADDRESS(ROW(),COLUMN(NOTA[ID]))),-1)))</f>
        <v>42</v>
      </c>
      <c r="E225" s="33"/>
      <c r="H225" s="34"/>
      <c r="L225" s="39" t="s">
        <v>437</v>
      </c>
      <c r="N225" s="25">
        <v>48</v>
      </c>
      <c r="O225" s="25" t="s">
        <v>110</v>
      </c>
      <c r="P225" s="28">
        <v>22500</v>
      </c>
      <c r="Q225" s="29"/>
      <c r="R225" s="35"/>
      <c r="S225" s="36"/>
      <c r="V225" s="37"/>
      <c r="W225" s="32"/>
      <c r="X225" s="37">
        <f>IF(NOTA[[#This Row],[HARGA/ CTN]]="",NOTA[[#This Row],[JUMLAH_H]],NOTA[[#This Row],[HARGA/ CTN]]*IF(NOTA[[#This Row],[C]]="",0,NOTA[[#This Row],[C]]))</f>
        <v>1080000</v>
      </c>
      <c r="Y225" s="37">
        <f>IF(NOTA[[#This Row],[JUMLAH]]="","",NOTA[[#This Row],[JUMLAH]]*NOTA[[#This Row],[DISC 1]])</f>
        <v>0</v>
      </c>
      <c r="Z225" s="37">
        <f>IF(NOTA[[#This Row],[JUMLAH]]="","",(NOTA[[#This Row],[JUMLAH]]-NOTA[[#This Row],[DISC 1-]])*NOTA[[#This Row],[DISC 2]])</f>
        <v>0</v>
      </c>
      <c r="AA225" s="37">
        <f>IF(NOTA[[#This Row],[JUMLAH]]="","",(NOTA[[#This Row],[JUMLAH]]-NOTA[[#This Row],[DISC 1-]]-NOTA[[#This Row],[DISC 2-]])*NOTA[[#This Row],[DISC 3]])</f>
        <v>0</v>
      </c>
      <c r="AB225" s="37">
        <f>IF(NOTA[[#This Row],[JUMLAH]]="","",NOTA[[#This Row],[DISC 1-]]+NOTA[[#This Row],[DISC 2-]]+NOTA[[#This Row],[DISC 3-]])</f>
        <v>0</v>
      </c>
      <c r="AC225" s="37">
        <f>IF(NOTA[[#This Row],[JUMLAH]]="","",NOTA[[#This Row],[JUMLAH]]-NOTA[[#This Row],[DISC]])</f>
        <v>1080000</v>
      </c>
      <c r="AD225" s="37"/>
      <c r="AE22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2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10800000</v>
      </c>
      <c r="AG225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25" s="37">
        <f>IF(OR(NOTA[[#This Row],[QTY]]="",NOTA[[#This Row],[HARGA SATUAN]]="",),"",NOTA[[#This Row],[QTY]]*NOTA[[#This Row],[HARGA SATUAN]])</f>
        <v>1080000</v>
      </c>
      <c r="AI225" s="26">
        <f ca="1">IF(NOTA[[#This Row],[ID_H]]="","",INDEX(NOTA[TANGGAL],MATCH(,INDIRECT(ADDRESS(ROW(NOTA[TANGGAL]),COLUMN(NOTA[TANGGAL]))&amp;":"&amp;ADDRESS(ROW(),COLUMN(NOTA[TANGGAL]))),-1)))</f>
        <v>45461</v>
      </c>
      <c r="AJ225" s="26">
        <f ca="1">IF(NOTA[[#This Row],[ID_H]]="","",INDEX(NOTA[TGL.NOTA],MATCH(,INDIRECT(ADDRESS(ROW(NOTA[TGL.NOTA]),COLUMN(NOTA[TGL.NOTA]))&amp;":"&amp;ADDRESS(ROW(),COLUMN(NOTA[TGL.NOTA]))),-1)))</f>
        <v>45451</v>
      </c>
      <c r="AK225" s="26" t="str">
        <f ca="1">IF(NOTA[[#This Row],[ID_H]]="","",INDEX(NOTA[NO.NOTA],MATCH(NOTA[[#This Row],[ID_H]],NOTA[ID_H],0)))</f>
        <v>SO2024060086054</v>
      </c>
      <c r="AL225" s="28" t="str">
        <f ca="1">IF(NOTA[[#This Row],[NAMA BARANG]]="","",INDEX(NOTA[SUPPLIER],MATCH(,INDIRECT(ADDRESS(ROW(NOTA[ID]),COLUMN(NOTA[ID]))&amp;":"&amp;ADDRESS(ROW(),COLUMN(NOTA[ID]))),-1)))</f>
        <v>BINTANG SAUDARA</v>
      </c>
      <c r="AM225" s="28" t="str">
        <f ca="1">IF(NOTA[[#This Row],[ID_H]]="","",IF(NOTA[[#This Row],[FAKTUR]]="",INDIRECT(ADDRESS(ROW()-1,COLUMN())),NOTA[[#This Row],[FAKTUR]]))</f>
        <v>UNTANA</v>
      </c>
      <c r="AN225" s="25" t="str">
        <f ca="1">IF(NOTA[[#This Row],[ID]]="","",COUNTIF(NOTA[ID_H],NOTA[[#This Row],[ID_H]]))</f>
        <v/>
      </c>
      <c r="AO225" s="25">
        <f ca="1">IF(NOTA[[#This Row],[TGL.NOTA]]="",IF(NOTA[[#This Row],[SUPPLIER_H]]="","",AO224),MONTH(NOTA[[#This Row],[TGL.NOTA]]))</f>
        <v>6</v>
      </c>
      <c r="AP225" s="25" t="str">
        <f>LOWER(SUBSTITUTE(SUBSTITUTE(SUBSTITUTE(SUBSTITUTE(SUBSTITUTE(SUBSTITUTE(SUBSTITUTE(SUBSTITUTE(SUBSTITUTE(NOTA[[#This Row],[NAMA BARANG]]," ",),".",""),"-",""),"(",""),")",""),",",""),"/",""),"""",""),"+",""))</f>
        <v>gelpenkoalagp168jkng</v>
      </c>
      <c r="AQ2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gelpenkoalagp168jkng1080000</v>
      </c>
      <c r="AR2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gelpenkoalagp168jkng22500</v>
      </c>
      <c r="AS2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5" s="25"/>
      <c r="AU225" s="25">
        <f>IF(NOTA[[#This Row],[CONCAT1]]="","",MATCH(NOTA[[#This Row],[CONCAT1]],[3]!db[NB NOTA_C],0))</f>
        <v>3357</v>
      </c>
      <c r="AV225" s="25" t="str">
        <f>IF(NOTA[[#This Row],[QTY/ CTN]]="","",TRUE)</f>
        <v/>
      </c>
      <c r="AW225" s="25" t="str">
        <f ca="1">IF(NOTA[[#This Row],[ID_H]]="","",IF(NOTA[[#This Row],[Column3]]=TRUE,NOTA[[#This Row],[QTY/ CTN]],INDEX([3]!db[QTY/ CTN],NOTA[[#This Row],[//DB]])))</f>
        <v>144 LSN</v>
      </c>
      <c r="AX2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gelpenkoalagp168jkng144lsnuntana</v>
      </c>
      <c r="AY225" s="25">
        <f ca="1">IF(NOTA[[#This Row],[ID_H]]="","",MATCH(NOTA[[#This Row],[NB NOTA_C_QTY]],[3]!db[NB NOTA_C_QTY+F],0))</f>
        <v>3357</v>
      </c>
      <c r="AZ225" s="38">
        <f ca="1">IF(NOTA[[#This Row],[NB NOTA_C_QTY]]="","",ROW()-2)</f>
        <v>223</v>
      </c>
    </row>
    <row r="226" spans="1:52" ht="20.100000000000001" customHeight="1">
      <c r="A2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6" s="25" t="str">
        <f ca="1">IF(NOTA[[#This Row],[NAMA BARANG]]="","",INDEX(NOTA[ID],MATCH(,INDIRECT(ADDRESS(ROW(NOTA[ID]),COLUMN(NOTA[ID]))&amp;":"&amp;ADDRESS(ROW(),COLUMN(NOTA[ID]))),-1)))</f>
        <v/>
      </c>
      <c r="E226" s="33"/>
      <c r="H226" s="34"/>
      <c r="Q226" s="29"/>
      <c r="R226" s="35"/>
      <c r="S226" s="36"/>
      <c r="V226" s="37"/>
      <c r="W226" s="32"/>
      <c r="X226" s="37" t="str">
        <f>IF(NOTA[[#This Row],[HARGA/ CTN]]="",NOTA[[#This Row],[JUMLAH_H]],NOTA[[#This Row],[HARGA/ CTN]]*IF(NOTA[[#This Row],[C]]="",0,NOTA[[#This Row],[C]]))</f>
        <v/>
      </c>
      <c r="Y226" s="37" t="str">
        <f>IF(NOTA[[#This Row],[JUMLAH]]="","",NOTA[[#This Row],[JUMLAH]]*NOTA[[#This Row],[DISC 1]])</f>
        <v/>
      </c>
      <c r="Z226" s="37" t="str">
        <f>IF(NOTA[[#This Row],[JUMLAH]]="","",(NOTA[[#This Row],[JUMLAH]]-NOTA[[#This Row],[DISC 1-]])*NOTA[[#This Row],[DISC 2]])</f>
        <v/>
      </c>
      <c r="AA226" s="37" t="str">
        <f>IF(NOTA[[#This Row],[JUMLAH]]="","",(NOTA[[#This Row],[JUMLAH]]-NOTA[[#This Row],[DISC 1-]]-NOTA[[#This Row],[DISC 2-]])*NOTA[[#This Row],[DISC 3]])</f>
        <v/>
      </c>
      <c r="AB226" s="37" t="str">
        <f>IF(NOTA[[#This Row],[JUMLAH]]="","",NOTA[[#This Row],[DISC 1-]]+NOTA[[#This Row],[DISC 2-]]+NOTA[[#This Row],[DISC 3-]])</f>
        <v/>
      </c>
      <c r="AC226" s="37" t="str">
        <f>IF(NOTA[[#This Row],[JUMLAH]]="","",NOTA[[#This Row],[JUMLAH]]-NOTA[[#This Row],[DISC]])</f>
        <v/>
      </c>
      <c r="AD226" s="37"/>
      <c r="AE2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6" s="37" t="str">
        <f>IF(OR(NOTA[[#This Row],[QTY]]="",NOTA[[#This Row],[HARGA SATUAN]]="",),"",NOTA[[#This Row],[QTY]]*NOTA[[#This Row],[HARGA SATUAN]])</f>
        <v/>
      </c>
      <c r="AI226" s="26" t="str">
        <f ca="1">IF(NOTA[[#This Row],[ID_H]]="","",INDEX(NOTA[TANGGAL],MATCH(,INDIRECT(ADDRESS(ROW(NOTA[TANGGAL]),COLUMN(NOTA[TANGGAL]))&amp;":"&amp;ADDRESS(ROW(),COLUMN(NOTA[TANGGAL]))),-1)))</f>
        <v/>
      </c>
      <c r="AJ226" s="26" t="str">
        <f ca="1">IF(NOTA[[#This Row],[ID_H]]="","",INDEX(NOTA[TGL.NOTA],MATCH(,INDIRECT(ADDRESS(ROW(NOTA[TGL.NOTA]),COLUMN(NOTA[TGL.NOTA]))&amp;":"&amp;ADDRESS(ROW(),COLUMN(NOTA[TGL.NOTA]))),-1)))</f>
        <v/>
      </c>
      <c r="AK226" s="26" t="str">
        <f ca="1">IF(NOTA[[#This Row],[ID_H]]="","",INDEX(NOTA[NO.NOTA],MATCH(NOTA[[#This Row],[ID_H]],NOTA[ID_H],0)))</f>
        <v/>
      </c>
      <c r="AL226" s="28" t="str">
        <f ca="1">IF(NOTA[[#This Row],[NAMA BARANG]]="","",INDEX(NOTA[SUPPLIER],MATCH(,INDIRECT(ADDRESS(ROW(NOTA[ID]),COLUMN(NOTA[ID]))&amp;":"&amp;ADDRESS(ROW(),COLUMN(NOTA[ID]))),-1)))</f>
        <v/>
      </c>
      <c r="AM226" s="28" t="str">
        <f ca="1">IF(NOTA[[#This Row],[ID_H]]="","",IF(NOTA[[#This Row],[FAKTUR]]="",INDIRECT(ADDRESS(ROW()-1,COLUMN())),NOTA[[#This Row],[FAKTUR]]))</f>
        <v/>
      </c>
      <c r="AN226" s="25" t="str">
        <f ca="1">IF(NOTA[[#This Row],[ID]]="","",COUNTIF(NOTA[ID_H],NOTA[[#This Row],[ID_H]]))</f>
        <v/>
      </c>
      <c r="AO226" s="25" t="str">
        <f ca="1">IF(NOTA[[#This Row],[TGL.NOTA]]="",IF(NOTA[[#This Row],[SUPPLIER_H]]="","",AO225),MONTH(NOTA[[#This Row],[TGL.NOTA]]))</f>
        <v/>
      </c>
      <c r="AP2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6" s="25"/>
      <c r="AU226" s="25" t="str">
        <f>IF(NOTA[[#This Row],[CONCAT1]]="","",MATCH(NOTA[[#This Row],[CONCAT1]],[3]!db[NB NOTA_C],0))</f>
        <v/>
      </c>
      <c r="AV226" s="25" t="str">
        <f>IF(NOTA[[#This Row],[QTY/ CTN]]="","",TRUE)</f>
        <v/>
      </c>
      <c r="AW226" s="25" t="str">
        <f ca="1">IF(NOTA[[#This Row],[ID_H]]="","",IF(NOTA[[#This Row],[Column3]]=TRUE,NOTA[[#This Row],[QTY/ CTN]],INDEX([3]!db[QTY/ CTN],NOTA[[#This Row],[//DB]])))</f>
        <v/>
      </c>
      <c r="AX2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6" s="25" t="str">
        <f ca="1">IF(NOTA[[#This Row],[ID_H]]="","",MATCH(NOTA[[#This Row],[NB NOTA_C_QTY]],[3]!db[NB NOTA_C_QTY+F],0))</f>
        <v/>
      </c>
      <c r="AZ226" s="38" t="str">
        <f ca="1">IF(NOTA[[#This Row],[NB NOTA_C_QTY]]="","",ROW()-2)</f>
        <v/>
      </c>
    </row>
    <row r="227" spans="1:52" ht="20.100000000000001" customHeight="1">
      <c r="A227" s="28">
        <f ca="1">IF(INDIRECT(ADDRESS(ROW()-1,COLUMN(NOTA[[#Headers],[ID]])))="ID",1,IF(NOTA[[#This Row],[FAKTUR]]="","",COUNT(INDIRECT(ADDRESS(ROW(NOTA[ID]),COLUMN(NOTA[ID]))&amp;":"&amp;ADDRESS(ROW()-1,COLUMN(NOTA[ID]))))+1))</f>
        <v>43</v>
      </c>
      <c r="B22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PMJ_1806_-4</v>
      </c>
      <c r="D227" s="25">
        <f ca="1">IF(NOTA[[#This Row],[NAMA BARANG]]="","",INDEX(NOTA[ID],MATCH(,INDIRECT(ADDRESS(ROW(NOTA[ID]),COLUMN(NOTA[ID]))&amp;":"&amp;ADDRESS(ROW(),COLUMN(NOTA[ID]))),-1)))</f>
        <v>43</v>
      </c>
      <c r="E227" s="33"/>
      <c r="F227" s="25" t="s">
        <v>342</v>
      </c>
      <c r="G227" s="25" t="s">
        <v>109</v>
      </c>
      <c r="H227" s="34"/>
      <c r="J227" s="26">
        <v>45456</v>
      </c>
      <c r="L227" s="25" t="s">
        <v>439</v>
      </c>
      <c r="M227" s="27">
        <v>1</v>
      </c>
      <c r="N227" s="25">
        <v>16</v>
      </c>
      <c r="O227" s="25" t="s">
        <v>110</v>
      </c>
      <c r="P227" s="28">
        <v>47000</v>
      </c>
      <c r="Q227" s="29"/>
      <c r="R227" s="35"/>
      <c r="S227" s="36"/>
      <c r="V227" s="37"/>
      <c r="W227" s="32"/>
      <c r="X227" s="37">
        <f>IF(NOTA[[#This Row],[HARGA/ CTN]]="",NOTA[[#This Row],[JUMLAH_H]],NOTA[[#This Row],[HARGA/ CTN]]*IF(NOTA[[#This Row],[C]]="",0,NOTA[[#This Row],[C]]))</f>
        <v>752000</v>
      </c>
      <c r="Y227" s="37">
        <f>IF(NOTA[[#This Row],[JUMLAH]]="","",NOTA[[#This Row],[JUMLAH]]*NOTA[[#This Row],[DISC 1]])</f>
        <v>0</v>
      </c>
      <c r="Z227" s="37">
        <f>IF(NOTA[[#This Row],[JUMLAH]]="","",(NOTA[[#This Row],[JUMLAH]]-NOTA[[#This Row],[DISC 1-]])*NOTA[[#This Row],[DISC 2]])</f>
        <v>0</v>
      </c>
      <c r="AA227" s="37">
        <f>IF(NOTA[[#This Row],[JUMLAH]]="","",(NOTA[[#This Row],[JUMLAH]]-NOTA[[#This Row],[DISC 1-]]-NOTA[[#This Row],[DISC 2-]])*NOTA[[#This Row],[DISC 3]])</f>
        <v>0</v>
      </c>
      <c r="AB227" s="37">
        <f>IF(NOTA[[#This Row],[JUMLAH]]="","",NOTA[[#This Row],[DISC 1-]]+NOTA[[#This Row],[DISC 2-]]+NOTA[[#This Row],[DISC 3-]])</f>
        <v>0</v>
      </c>
      <c r="AC227" s="37">
        <f>IF(NOTA[[#This Row],[JUMLAH]]="","",NOTA[[#This Row],[JUMLAH]]-NOTA[[#This Row],[DISC]])</f>
        <v>752000</v>
      </c>
      <c r="AD227" s="37"/>
      <c r="AE2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7" s="28">
        <f>IF(NOTA[[#This Row],[NAMA BARANG]]="","",IF(NOTA[[#This Row],[JUMLAH_H]]="",NOTA[[#This Row],[HARGA/ CTN]],NOTA[[#This Row],[QTY]]*NOTA[[#This Row],[HARGA SATUAN]]/IF(ISNUMBER(NOTA[[#This Row],[C]]),NOTA[[#This Row],[C]],1)))</f>
        <v>752000</v>
      </c>
      <c r="AH227" s="37">
        <f>IF(OR(NOTA[[#This Row],[QTY]]="",NOTA[[#This Row],[HARGA SATUAN]]="",),"",NOTA[[#This Row],[QTY]]*NOTA[[#This Row],[HARGA SATUAN]])</f>
        <v>752000</v>
      </c>
      <c r="AI227" s="26">
        <f ca="1">IF(NOTA[[#This Row],[ID_H]]="","",INDEX(NOTA[TANGGAL],MATCH(,INDIRECT(ADDRESS(ROW(NOTA[TANGGAL]),COLUMN(NOTA[TANGGAL]))&amp;":"&amp;ADDRESS(ROW(),COLUMN(NOTA[TANGGAL]))),-1)))</f>
        <v>45461</v>
      </c>
      <c r="AJ227" s="26">
        <f ca="1">IF(NOTA[[#This Row],[ID_H]]="","",INDEX(NOTA[TGL.NOTA],MATCH(,INDIRECT(ADDRESS(ROW(NOTA[TGL.NOTA]),COLUMN(NOTA[TGL.NOTA]))&amp;":"&amp;ADDRESS(ROW(),COLUMN(NOTA[TGL.NOTA]))),-1)))</f>
        <v>45456</v>
      </c>
      <c r="AK227" s="26">
        <f ca="1">IF(NOTA[[#This Row],[ID_H]]="","",INDEX(NOTA[NO.NOTA],MATCH(NOTA[[#This Row],[ID_H]],NOTA[ID_H],0)))</f>
        <v>0</v>
      </c>
      <c r="AL227" s="28" t="str">
        <f ca="1">IF(NOTA[[#This Row],[NAMA BARANG]]="","",INDEX(NOTA[SUPPLIER],MATCH(,INDIRECT(ADDRESS(ROW(NOTA[ID]),COLUMN(NOTA[ID]))&amp;":"&amp;ADDRESS(ROW(),COLUMN(NOTA[ID]))),-1)))</f>
        <v>PMJP</v>
      </c>
      <c r="AM227" s="28" t="str">
        <f ca="1">IF(NOTA[[#This Row],[ID_H]]="","",IF(NOTA[[#This Row],[FAKTUR]]="",INDIRECT(ADDRESS(ROW()-1,COLUMN())),NOTA[[#This Row],[FAKTUR]]))</f>
        <v>UNTANA</v>
      </c>
      <c r="AN227" s="25">
        <f ca="1">IF(NOTA[[#This Row],[ID]]="","",COUNTIF(NOTA[ID_H],NOTA[[#This Row],[ID_H]]))</f>
        <v>4</v>
      </c>
      <c r="AO227" s="25">
        <f>IF(NOTA[[#This Row],[TGL.NOTA]]="",IF(NOTA[[#This Row],[SUPPLIER_H]]="","",AO226),MONTH(NOTA[[#This Row],[TGL.NOTA]]))</f>
        <v>6</v>
      </c>
      <c r="AP227" s="25" t="str">
        <f>LOWER(SUBSTITUTE(SUBSTITUTE(SUBSTITUTE(SUBSTITUTE(SUBSTITUTE(SUBSTITUTE(SUBSTITUTE(SUBSTITUTE(SUBSTITUTE(NOTA[[#This Row],[NAMA BARANG]]," ",),".",""),"-",""),"(",""),")",""),",",""),"/",""),"""",""),"+",""))</f>
        <v>celengans</v>
      </c>
      <c r="AQ2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celengans752000</v>
      </c>
      <c r="AR2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celengans752000</v>
      </c>
      <c r="AS227" s="25" t="str">
        <f>IF(NOTA[[#This Row],[SUPPLIER]]="","",NOTA[[#This Row],[SUPPLIER]]&amp;NOTA[[#This Row],[FAKTUR]]&amp;NOTA[[#This Row],[NO.NOTA]]&amp;NOTA[[#This Row],[NO.SJ]]&amp;NOTA[[#This Row],[TGL.NOTA]]&amp;NOTA[[#This Row],[CONCAT1]])</f>
        <v>PMJPUNTANA45456celengans</v>
      </c>
      <c r="AT227" s="25"/>
      <c r="AU227" s="25">
        <f>IF(NOTA[[#This Row],[CONCAT1]]="","",MATCH(NOTA[[#This Row],[CONCAT1]],[3]!db[NB NOTA_C],0))</f>
        <v>654</v>
      </c>
      <c r="AV227" s="25" t="str">
        <f>IF(NOTA[[#This Row],[QTY/ CTN]]="","",TRUE)</f>
        <v/>
      </c>
      <c r="AW227" s="25" t="str">
        <f ca="1">IF(NOTA[[#This Row],[ID_H]]="","",IF(NOTA[[#This Row],[Column3]]=TRUE,NOTA[[#This Row],[QTY/ CTN]],INDEX([3]!db[QTY/ CTN],NOTA[[#This Row],[//DB]])))</f>
        <v>16 LSN</v>
      </c>
      <c r="AX2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celengans16lsnuntana</v>
      </c>
      <c r="AY227" s="25">
        <f ca="1">IF(NOTA[[#This Row],[ID_H]]="","",MATCH(NOTA[[#This Row],[NB NOTA_C_QTY]],[3]!db[NB NOTA_C_QTY+F],0))</f>
        <v>654</v>
      </c>
      <c r="AZ227" s="38">
        <f ca="1">IF(NOTA[[#This Row],[NB NOTA_C_QTY]]="","",ROW()-2)</f>
        <v>225</v>
      </c>
    </row>
    <row r="228" spans="1:52" ht="20.100000000000001" customHeight="1">
      <c r="A2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8" s="25">
        <f ca="1">IF(NOTA[[#This Row],[NAMA BARANG]]="","",INDEX(NOTA[ID],MATCH(,INDIRECT(ADDRESS(ROW(NOTA[ID]),COLUMN(NOTA[ID]))&amp;":"&amp;ADDRESS(ROW(),COLUMN(NOTA[ID]))),-1)))</f>
        <v>43</v>
      </c>
      <c r="E228" s="33"/>
      <c r="H228" s="34"/>
      <c r="L228" s="25" t="s">
        <v>440</v>
      </c>
      <c r="M228" s="27">
        <v>1</v>
      </c>
      <c r="N228" s="25">
        <v>16</v>
      </c>
      <c r="O228" s="25" t="s">
        <v>110</v>
      </c>
      <c r="P228" s="28">
        <v>56000</v>
      </c>
      <c r="Q228" s="29"/>
      <c r="R228" s="35"/>
      <c r="S228" s="36"/>
      <c r="V228" s="37"/>
      <c r="W228" s="32"/>
      <c r="X228" s="37">
        <f>IF(NOTA[[#This Row],[HARGA/ CTN]]="",NOTA[[#This Row],[JUMLAH_H]],NOTA[[#This Row],[HARGA/ CTN]]*IF(NOTA[[#This Row],[C]]="",0,NOTA[[#This Row],[C]]))</f>
        <v>896000</v>
      </c>
      <c r="Y228" s="37">
        <f>IF(NOTA[[#This Row],[JUMLAH]]="","",NOTA[[#This Row],[JUMLAH]]*NOTA[[#This Row],[DISC 1]])</f>
        <v>0</v>
      </c>
      <c r="Z228" s="37">
        <f>IF(NOTA[[#This Row],[JUMLAH]]="","",(NOTA[[#This Row],[JUMLAH]]-NOTA[[#This Row],[DISC 1-]])*NOTA[[#This Row],[DISC 2]])</f>
        <v>0</v>
      </c>
      <c r="AA228" s="37">
        <f>IF(NOTA[[#This Row],[JUMLAH]]="","",(NOTA[[#This Row],[JUMLAH]]-NOTA[[#This Row],[DISC 1-]]-NOTA[[#This Row],[DISC 2-]])*NOTA[[#This Row],[DISC 3]])</f>
        <v>0</v>
      </c>
      <c r="AB228" s="37">
        <f>IF(NOTA[[#This Row],[JUMLAH]]="","",NOTA[[#This Row],[DISC 1-]]+NOTA[[#This Row],[DISC 2-]]+NOTA[[#This Row],[DISC 3-]])</f>
        <v>0</v>
      </c>
      <c r="AC228" s="37">
        <f>IF(NOTA[[#This Row],[JUMLAH]]="","",NOTA[[#This Row],[JUMLAH]]-NOTA[[#This Row],[DISC]])</f>
        <v>896000</v>
      </c>
      <c r="AD228" s="37"/>
      <c r="AE2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8" s="28">
        <f>IF(NOTA[[#This Row],[NAMA BARANG]]="","",IF(NOTA[[#This Row],[JUMLAH_H]]="",NOTA[[#This Row],[HARGA/ CTN]],NOTA[[#This Row],[QTY]]*NOTA[[#This Row],[HARGA SATUAN]]/IF(ISNUMBER(NOTA[[#This Row],[C]]),NOTA[[#This Row],[C]],1)))</f>
        <v>896000</v>
      </c>
      <c r="AH228" s="37">
        <f>IF(OR(NOTA[[#This Row],[QTY]]="",NOTA[[#This Row],[HARGA SATUAN]]="",),"",NOTA[[#This Row],[QTY]]*NOTA[[#This Row],[HARGA SATUAN]])</f>
        <v>896000</v>
      </c>
      <c r="AI228" s="26">
        <f ca="1">IF(NOTA[[#This Row],[ID_H]]="","",INDEX(NOTA[TANGGAL],MATCH(,INDIRECT(ADDRESS(ROW(NOTA[TANGGAL]),COLUMN(NOTA[TANGGAL]))&amp;":"&amp;ADDRESS(ROW(),COLUMN(NOTA[TANGGAL]))),-1)))</f>
        <v>45461</v>
      </c>
      <c r="AJ228" s="26">
        <f ca="1">IF(NOTA[[#This Row],[ID_H]]="","",INDEX(NOTA[TGL.NOTA],MATCH(,INDIRECT(ADDRESS(ROW(NOTA[TGL.NOTA]),COLUMN(NOTA[TGL.NOTA]))&amp;":"&amp;ADDRESS(ROW(),COLUMN(NOTA[TGL.NOTA]))),-1)))</f>
        <v>45456</v>
      </c>
      <c r="AK228" s="26">
        <f ca="1">IF(NOTA[[#This Row],[ID_H]]="","",INDEX(NOTA[NO.NOTA],MATCH(NOTA[[#This Row],[ID_H]],NOTA[ID_H],0)))</f>
        <v>0</v>
      </c>
      <c r="AL228" s="28" t="str">
        <f ca="1">IF(NOTA[[#This Row],[NAMA BARANG]]="","",INDEX(NOTA[SUPPLIER],MATCH(,INDIRECT(ADDRESS(ROW(NOTA[ID]),COLUMN(NOTA[ID]))&amp;":"&amp;ADDRESS(ROW(),COLUMN(NOTA[ID]))),-1)))</f>
        <v>PMJP</v>
      </c>
      <c r="AM228" s="28" t="str">
        <f ca="1">IF(NOTA[[#This Row],[ID_H]]="","",IF(NOTA[[#This Row],[FAKTUR]]="",INDIRECT(ADDRESS(ROW()-1,COLUMN())),NOTA[[#This Row],[FAKTUR]]))</f>
        <v>UNTANA</v>
      </c>
      <c r="AN228" s="25" t="str">
        <f ca="1">IF(NOTA[[#This Row],[ID]]="","",COUNTIF(NOTA[ID_H],NOTA[[#This Row],[ID_H]]))</f>
        <v/>
      </c>
      <c r="AO228" s="25">
        <f ca="1">IF(NOTA[[#This Row],[TGL.NOTA]]="",IF(NOTA[[#This Row],[SUPPLIER_H]]="","",AO227),MONTH(NOTA[[#This Row],[TGL.NOTA]]))</f>
        <v>6</v>
      </c>
      <c r="AP228" s="25" t="str">
        <f>LOWER(SUBSTITUTE(SUBSTITUTE(SUBSTITUTE(SUBSTITUTE(SUBSTITUTE(SUBSTITUTE(SUBSTITUTE(SUBSTITUTE(SUBSTITUTE(NOTA[[#This Row],[NAMA BARANG]]," ",),".",""),"-",""),"(",""),")",""),",",""),"/",""),"""",""),"+",""))</f>
        <v>celenganm</v>
      </c>
      <c r="AQ2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celenganm896000</v>
      </c>
      <c r="AR2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celenganm896000</v>
      </c>
      <c r="AS2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8" s="25"/>
      <c r="AU228" s="25">
        <f>IF(NOTA[[#This Row],[CONCAT1]]="","",MATCH(NOTA[[#This Row],[CONCAT1]],[3]!db[NB NOTA_C],0))</f>
        <v>653</v>
      </c>
      <c r="AV228" s="25" t="str">
        <f>IF(NOTA[[#This Row],[QTY/ CTN]]="","",TRUE)</f>
        <v/>
      </c>
      <c r="AW228" s="25" t="str">
        <f ca="1">IF(NOTA[[#This Row],[ID_H]]="","",IF(NOTA[[#This Row],[Column3]]=TRUE,NOTA[[#This Row],[QTY/ CTN]],INDEX([3]!db[QTY/ CTN],NOTA[[#This Row],[//DB]])))</f>
        <v>10 LSN</v>
      </c>
      <c r="AX2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celenganm10lsnuntana</v>
      </c>
      <c r="AY228" s="25">
        <f ca="1">IF(NOTA[[#This Row],[ID_H]]="","",MATCH(NOTA[[#This Row],[NB NOTA_C_QTY]],[3]!db[NB NOTA_C_QTY+F],0))</f>
        <v>653</v>
      </c>
      <c r="AZ228" s="38">
        <f ca="1">IF(NOTA[[#This Row],[NB NOTA_C_QTY]]="","",ROW()-2)</f>
        <v>226</v>
      </c>
    </row>
    <row r="229" spans="1:52" ht="20.100000000000001" customHeight="1">
      <c r="A2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9" s="25">
        <f ca="1">IF(NOTA[[#This Row],[NAMA BARANG]]="","",INDEX(NOTA[ID],MATCH(,INDIRECT(ADDRESS(ROW(NOTA[ID]),COLUMN(NOTA[ID]))&amp;":"&amp;ADDRESS(ROW(),COLUMN(NOTA[ID]))),-1)))</f>
        <v>43</v>
      </c>
      <c r="E229" s="33"/>
      <c r="H229" s="34"/>
      <c r="L229" s="25" t="s">
        <v>441</v>
      </c>
      <c r="M229" s="27">
        <v>1</v>
      </c>
      <c r="N229" s="25">
        <v>10</v>
      </c>
      <c r="O229" s="25" t="s">
        <v>110</v>
      </c>
      <c r="P229" s="28">
        <v>70000</v>
      </c>
      <c r="Q229" s="29"/>
      <c r="R229" s="35"/>
      <c r="S229" s="36"/>
      <c r="V229" s="37"/>
      <c r="W229" s="32"/>
      <c r="X229" s="37">
        <f>IF(NOTA[[#This Row],[HARGA/ CTN]]="",NOTA[[#This Row],[JUMLAH_H]],NOTA[[#This Row],[HARGA/ CTN]]*IF(NOTA[[#This Row],[C]]="",0,NOTA[[#This Row],[C]]))</f>
        <v>700000</v>
      </c>
      <c r="Y229" s="37">
        <f>IF(NOTA[[#This Row],[JUMLAH]]="","",NOTA[[#This Row],[JUMLAH]]*NOTA[[#This Row],[DISC 1]])</f>
        <v>0</v>
      </c>
      <c r="Z229" s="37">
        <f>IF(NOTA[[#This Row],[JUMLAH]]="","",(NOTA[[#This Row],[JUMLAH]]-NOTA[[#This Row],[DISC 1-]])*NOTA[[#This Row],[DISC 2]])</f>
        <v>0</v>
      </c>
      <c r="AA229" s="37">
        <f>IF(NOTA[[#This Row],[JUMLAH]]="","",(NOTA[[#This Row],[JUMLAH]]-NOTA[[#This Row],[DISC 1-]]-NOTA[[#This Row],[DISC 2-]])*NOTA[[#This Row],[DISC 3]])</f>
        <v>0</v>
      </c>
      <c r="AB229" s="37">
        <f>IF(NOTA[[#This Row],[JUMLAH]]="","",NOTA[[#This Row],[DISC 1-]]+NOTA[[#This Row],[DISC 2-]]+NOTA[[#This Row],[DISC 3-]])</f>
        <v>0</v>
      </c>
      <c r="AC229" s="37">
        <f>IF(NOTA[[#This Row],[JUMLAH]]="","",NOTA[[#This Row],[JUMLAH]]-NOTA[[#This Row],[DISC]])</f>
        <v>700000</v>
      </c>
      <c r="AD229" s="37"/>
      <c r="AE2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9" s="28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H229" s="37">
        <f>IF(OR(NOTA[[#This Row],[QTY]]="",NOTA[[#This Row],[HARGA SATUAN]]="",),"",NOTA[[#This Row],[QTY]]*NOTA[[#This Row],[HARGA SATUAN]])</f>
        <v>700000</v>
      </c>
      <c r="AI229" s="26">
        <f ca="1">IF(NOTA[[#This Row],[ID_H]]="","",INDEX(NOTA[TANGGAL],MATCH(,INDIRECT(ADDRESS(ROW(NOTA[TANGGAL]),COLUMN(NOTA[TANGGAL]))&amp;":"&amp;ADDRESS(ROW(),COLUMN(NOTA[TANGGAL]))),-1)))</f>
        <v>45461</v>
      </c>
      <c r="AJ229" s="26">
        <f ca="1">IF(NOTA[[#This Row],[ID_H]]="","",INDEX(NOTA[TGL.NOTA],MATCH(,INDIRECT(ADDRESS(ROW(NOTA[TGL.NOTA]),COLUMN(NOTA[TGL.NOTA]))&amp;":"&amp;ADDRESS(ROW(),COLUMN(NOTA[TGL.NOTA]))),-1)))</f>
        <v>45456</v>
      </c>
      <c r="AK229" s="26">
        <f ca="1">IF(NOTA[[#This Row],[ID_H]]="","",INDEX(NOTA[NO.NOTA],MATCH(NOTA[[#This Row],[ID_H]],NOTA[ID_H],0)))</f>
        <v>0</v>
      </c>
      <c r="AL229" s="28" t="str">
        <f ca="1">IF(NOTA[[#This Row],[NAMA BARANG]]="","",INDEX(NOTA[SUPPLIER],MATCH(,INDIRECT(ADDRESS(ROW(NOTA[ID]),COLUMN(NOTA[ID]))&amp;":"&amp;ADDRESS(ROW(),COLUMN(NOTA[ID]))),-1)))</f>
        <v>PMJP</v>
      </c>
      <c r="AM229" s="28" t="str">
        <f ca="1">IF(NOTA[[#This Row],[ID_H]]="","",IF(NOTA[[#This Row],[FAKTUR]]="",INDIRECT(ADDRESS(ROW()-1,COLUMN())),NOTA[[#This Row],[FAKTUR]]))</f>
        <v>UNTANA</v>
      </c>
      <c r="AN229" s="25" t="str">
        <f ca="1">IF(NOTA[[#This Row],[ID]]="","",COUNTIF(NOTA[ID_H],NOTA[[#This Row],[ID_H]]))</f>
        <v/>
      </c>
      <c r="AO229" s="25">
        <f ca="1">IF(NOTA[[#This Row],[TGL.NOTA]]="",IF(NOTA[[#This Row],[SUPPLIER_H]]="","",AO228),MONTH(NOTA[[#This Row],[TGL.NOTA]]))</f>
        <v>6</v>
      </c>
      <c r="AP229" s="25" t="str">
        <f>LOWER(SUBSTITUTE(SUBSTITUTE(SUBSTITUTE(SUBSTITUTE(SUBSTITUTE(SUBSTITUTE(SUBSTITUTE(SUBSTITUTE(SUBSTITUTE(NOTA[[#This Row],[NAMA BARANG]]," ",),".",""),"-",""),"(",""),")",""),",",""),"/",""),"""",""),"+",""))</f>
        <v>celenganl</v>
      </c>
      <c r="AQ2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celenganl700000</v>
      </c>
      <c r="AR2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celenganl700000</v>
      </c>
      <c r="AS2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9" s="25"/>
      <c r="AU229" s="25">
        <f>IF(NOTA[[#This Row],[CONCAT1]]="","",MATCH(NOTA[[#This Row],[CONCAT1]],[3]!db[NB NOTA_C],0))</f>
        <v>652</v>
      </c>
      <c r="AV229" s="25" t="str">
        <f>IF(NOTA[[#This Row],[QTY/ CTN]]="","",TRUE)</f>
        <v/>
      </c>
      <c r="AW229" s="25" t="str">
        <f ca="1">IF(NOTA[[#This Row],[ID_H]]="","",IF(NOTA[[#This Row],[Column3]]=TRUE,NOTA[[#This Row],[QTY/ CTN]],INDEX([3]!db[QTY/ CTN],NOTA[[#This Row],[//DB]])))</f>
        <v>10 LSN</v>
      </c>
      <c r="AX2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celenganl10lsnuntana</v>
      </c>
      <c r="AY229" s="25">
        <f ca="1">IF(NOTA[[#This Row],[ID_H]]="","",MATCH(NOTA[[#This Row],[NB NOTA_C_QTY]],[3]!db[NB NOTA_C_QTY+F],0))</f>
        <v>652</v>
      </c>
      <c r="AZ229" s="38">
        <f ca="1">IF(NOTA[[#This Row],[NB NOTA_C_QTY]]="","",ROW()-2)</f>
        <v>227</v>
      </c>
    </row>
    <row r="230" spans="1:52" ht="20.100000000000001" customHeight="1">
      <c r="A2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30" s="25">
        <f ca="1">IF(NOTA[[#This Row],[NAMA BARANG]]="","",INDEX(NOTA[ID],MATCH(,INDIRECT(ADDRESS(ROW(NOTA[ID]),COLUMN(NOTA[ID]))&amp;":"&amp;ADDRESS(ROW(),COLUMN(NOTA[ID]))),-1)))</f>
        <v>43</v>
      </c>
      <c r="E230" s="33"/>
      <c r="H230" s="34"/>
      <c r="L230" s="25" t="s">
        <v>442</v>
      </c>
      <c r="M230" s="27">
        <v>1</v>
      </c>
      <c r="N230" s="25">
        <v>6</v>
      </c>
      <c r="O230" s="25" t="s">
        <v>110</v>
      </c>
      <c r="P230" s="28">
        <v>85000</v>
      </c>
      <c r="Q230" s="29"/>
      <c r="R230" s="35"/>
      <c r="S230" s="36"/>
      <c r="V230" s="37"/>
      <c r="W230" s="32"/>
      <c r="X230" s="37">
        <f>IF(NOTA[[#This Row],[HARGA/ CTN]]="",NOTA[[#This Row],[JUMLAH_H]],NOTA[[#This Row],[HARGA/ CTN]]*IF(NOTA[[#This Row],[C]]="",0,NOTA[[#This Row],[C]]))</f>
        <v>510000</v>
      </c>
      <c r="Y230" s="37">
        <f>IF(NOTA[[#This Row],[JUMLAH]]="","",NOTA[[#This Row],[JUMLAH]]*NOTA[[#This Row],[DISC 1]])</f>
        <v>0</v>
      </c>
      <c r="Z230" s="37">
        <f>IF(NOTA[[#This Row],[JUMLAH]]="","",(NOTA[[#This Row],[JUMLAH]]-NOTA[[#This Row],[DISC 1-]])*NOTA[[#This Row],[DISC 2]])</f>
        <v>0</v>
      </c>
      <c r="AA230" s="37">
        <f>IF(NOTA[[#This Row],[JUMLAH]]="","",(NOTA[[#This Row],[JUMLAH]]-NOTA[[#This Row],[DISC 1-]]-NOTA[[#This Row],[DISC 2-]])*NOTA[[#This Row],[DISC 3]])</f>
        <v>0</v>
      </c>
      <c r="AB230" s="37">
        <f>IF(NOTA[[#This Row],[JUMLAH]]="","",NOTA[[#This Row],[DISC 1-]]+NOTA[[#This Row],[DISC 2-]]+NOTA[[#This Row],[DISC 3-]])</f>
        <v>0</v>
      </c>
      <c r="AC230" s="37">
        <f>IF(NOTA[[#This Row],[JUMLAH]]="","",NOTA[[#This Row],[JUMLAH]]-NOTA[[#This Row],[DISC]])</f>
        <v>510000</v>
      </c>
      <c r="AD230" s="37"/>
      <c r="AE23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3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2858000</v>
      </c>
      <c r="AG230" s="28">
        <f>IF(NOTA[[#This Row],[NAMA BARANG]]="","",IF(NOTA[[#This Row],[JUMLAH_H]]="",NOTA[[#This Row],[HARGA/ CTN]],NOTA[[#This Row],[QTY]]*NOTA[[#This Row],[HARGA SATUAN]]/IF(ISNUMBER(NOTA[[#This Row],[C]]),NOTA[[#This Row],[C]],1)))</f>
        <v>510000</v>
      </c>
      <c r="AH230" s="37">
        <f>IF(OR(NOTA[[#This Row],[QTY]]="",NOTA[[#This Row],[HARGA SATUAN]]="",),"",NOTA[[#This Row],[QTY]]*NOTA[[#This Row],[HARGA SATUAN]])</f>
        <v>510000</v>
      </c>
      <c r="AI230" s="26">
        <f ca="1">IF(NOTA[[#This Row],[ID_H]]="","",INDEX(NOTA[TANGGAL],MATCH(,INDIRECT(ADDRESS(ROW(NOTA[TANGGAL]),COLUMN(NOTA[TANGGAL]))&amp;":"&amp;ADDRESS(ROW(),COLUMN(NOTA[TANGGAL]))),-1)))</f>
        <v>45461</v>
      </c>
      <c r="AJ230" s="26">
        <f ca="1">IF(NOTA[[#This Row],[ID_H]]="","",INDEX(NOTA[TGL.NOTA],MATCH(,INDIRECT(ADDRESS(ROW(NOTA[TGL.NOTA]),COLUMN(NOTA[TGL.NOTA]))&amp;":"&amp;ADDRESS(ROW(),COLUMN(NOTA[TGL.NOTA]))),-1)))</f>
        <v>45456</v>
      </c>
      <c r="AK230" s="26">
        <f ca="1">IF(NOTA[[#This Row],[ID_H]]="","",INDEX(NOTA[NO.NOTA],MATCH(NOTA[[#This Row],[ID_H]],NOTA[ID_H],0)))</f>
        <v>0</v>
      </c>
      <c r="AL230" s="28" t="str">
        <f ca="1">IF(NOTA[[#This Row],[NAMA BARANG]]="","",INDEX(NOTA[SUPPLIER],MATCH(,INDIRECT(ADDRESS(ROW(NOTA[ID]),COLUMN(NOTA[ID]))&amp;":"&amp;ADDRESS(ROW(),COLUMN(NOTA[ID]))),-1)))</f>
        <v>PMJP</v>
      </c>
      <c r="AM230" s="28" t="str">
        <f ca="1">IF(NOTA[[#This Row],[ID_H]]="","",IF(NOTA[[#This Row],[FAKTUR]]="",INDIRECT(ADDRESS(ROW()-1,COLUMN())),NOTA[[#This Row],[FAKTUR]]))</f>
        <v>UNTANA</v>
      </c>
      <c r="AN230" s="25" t="str">
        <f ca="1">IF(NOTA[[#This Row],[ID]]="","",COUNTIF(NOTA[ID_H],NOTA[[#This Row],[ID_H]]))</f>
        <v/>
      </c>
      <c r="AO230" s="25">
        <f ca="1">IF(NOTA[[#This Row],[TGL.NOTA]]="",IF(NOTA[[#This Row],[SUPPLIER_H]]="","",AO229),MONTH(NOTA[[#This Row],[TGL.NOTA]]))</f>
        <v>6</v>
      </c>
      <c r="AP230" s="25" t="str">
        <f>LOWER(SUBSTITUTE(SUBSTITUTE(SUBSTITUTE(SUBSTITUTE(SUBSTITUTE(SUBSTITUTE(SUBSTITUTE(SUBSTITUTE(SUBSTITUTE(NOTA[[#This Row],[NAMA BARANG]]," ",),".",""),"-",""),"(",""),")",""),",",""),"/",""),"""",""),"+",""))</f>
        <v>celenganxl</v>
      </c>
      <c r="AQ2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celenganxl510000</v>
      </c>
      <c r="AR2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celenganxl510000</v>
      </c>
      <c r="AS2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0" s="25"/>
      <c r="AU230" s="25">
        <f>IF(NOTA[[#This Row],[CONCAT1]]="","",MATCH(NOTA[[#This Row],[CONCAT1]],[3]!db[NB NOTA_C],0))</f>
        <v>655</v>
      </c>
      <c r="AV230" s="25" t="str">
        <f>IF(NOTA[[#This Row],[QTY/ CTN]]="","",TRUE)</f>
        <v/>
      </c>
      <c r="AW230" s="25" t="str">
        <f ca="1">IF(NOTA[[#This Row],[ID_H]]="","",IF(NOTA[[#This Row],[Column3]]=TRUE,NOTA[[#This Row],[QTY/ CTN]],INDEX([3]!db[QTY/ CTN],NOTA[[#This Row],[//DB]])))</f>
        <v>6 LSN</v>
      </c>
      <c r="AX2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celenganxl6lsnuntana</v>
      </c>
      <c r="AY230" s="25">
        <f ca="1">IF(NOTA[[#This Row],[ID_H]]="","",MATCH(NOTA[[#This Row],[NB NOTA_C_QTY]],[3]!db[NB NOTA_C_QTY+F],0))</f>
        <v>655</v>
      </c>
      <c r="AZ230" s="38">
        <f ca="1">IF(NOTA[[#This Row],[NB NOTA_C_QTY]]="","",ROW()-2)</f>
        <v>228</v>
      </c>
    </row>
    <row r="231" spans="1:52" ht="20.100000000000001" customHeight="1">
      <c r="A2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31" s="25" t="str">
        <f ca="1">IF(NOTA[[#This Row],[NAMA BARANG]]="","",INDEX(NOTA[ID],MATCH(,INDIRECT(ADDRESS(ROW(NOTA[ID]),COLUMN(NOTA[ID]))&amp;":"&amp;ADDRESS(ROW(),COLUMN(NOTA[ID]))),-1)))</f>
        <v/>
      </c>
      <c r="E231" s="33"/>
      <c r="H231" s="34"/>
      <c r="Q231" s="29"/>
      <c r="R231" s="35"/>
      <c r="S231" s="36"/>
      <c r="V231" s="37"/>
      <c r="W231" s="32"/>
      <c r="X231" s="37" t="str">
        <f>IF(NOTA[[#This Row],[HARGA/ CTN]]="",NOTA[[#This Row],[JUMLAH_H]],NOTA[[#This Row],[HARGA/ CTN]]*IF(NOTA[[#This Row],[C]]="",0,NOTA[[#This Row],[C]]))</f>
        <v/>
      </c>
      <c r="Y231" s="37" t="str">
        <f>IF(NOTA[[#This Row],[JUMLAH]]="","",NOTA[[#This Row],[JUMLAH]]*NOTA[[#This Row],[DISC 1]])</f>
        <v/>
      </c>
      <c r="Z231" s="37" t="str">
        <f>IF(NOTA[[#This Row],[JUMLAH]]="","",(NOTA[[#This Row],[JUMLAH]]-NOTA[[#This Row],[DISC 1-]])*NOTA[[#This Row],[DISC 2]])</f>
        <v/>
      </c>
      <c r="AA231" s="37" t="str">
        <f>IF(NOTA[[#This Row],[JUMLAH]]="","",(NOTA[[#This Row],[JUMLAH]]-NOTA[[#This Row],[DISC 1-]]-NOTA[[#This Row],[DISC 2-]])*NOTA[[#This Row],[DISC 3]])</f>
        <v/>
      </c>
      <c r="AB231" s="37" t="str">
        <f>IF(NOTA[[#This Row],[JUMLAH]]="","",NOTA[[#This Row],[DISC 1-]]+NOTA[[#This Row],[DISC 2-]]+NOTA[[#This Row],[DISC 3-]])</f>
        <v/>
      </c>
      <c r="AC231" s="37" t="str">
        <f>IF(NOTA[[#This Row],[JUMLAH]]="","",NOTA[[#This Row],[JUMLAH]]-NOTA[[#This Row],[DISC]])</f>
        <v/>
      </c>
      <c r="AD231" s="37"/>
      <c r="AE2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1" s="37" t="str">
        <f>IF(OR(NOTA[[#This Row],[QTY]]="",NOTA[[#This Row],[HARGA SATUAN]]="",),"",NOTA[[#This Row],[QTY]]*NOTA[[#This Row],[HARGA SATUAN]])</f>
        <v/>
      </c>
      <c r="AI231" s="26" t="str">
        <f ca="1">IF(NOTA[[#This Row],[ID_H]]="","",INDEX(NOTA[TANGGAL],MATCH(,INDIRECT(ADDRESS(ROW(NOTA[TANGGAL]),COLUMN(NOTA[TANGGAL]))&amp;":"&amp;ADDRESS(ROW(),COLUMN(NOTA[TANGGAL]))),-1)))</f>
        <v/>
      </c>
      <c r="AJ231" s="26" t="str">
        <f ca="1">IF(NOTA[[#This Row],[ID_H]]="","",INDEX(NOTA[TGL.NOTA],MATCH(,INDIRECT(ADDRESS(ROW(NOTA[TGL.NOTA]),COLUMN(NOTA[TGL.NOTA]))&amp;":"&amp;ADDRESS(ROW(),COLUMN(NOTA[TGL.NOTA]))),-1)))</f>
        <v/>
      </c>
      <c r="AK231" s="26" t="str">
        <f ca="1">IF(NOTA[[#This Row],[ID_H]]="","",INDEX(NOTA[NO.NOTA],MATCH(NOTA[[#This Row],[ID_H]],NOTA[ID_H],0)))</f>
        <v/>
      </c>
      <c r="AL231" s="28" t="str">
        <f ca="1">IF(NOTA[[#This Row],[NAMA BARANG]]="","",INDEX(NOTA[SUPPLIER],MATCH(,INDIRECT(ADDRESS(ROW(NOTA[ID]),COLUMN(NOTA[ID]))&amp;":"&amp;ADDRESS(ROW(),COLUMN(NOTA[ID]))),-1)))</f>
        <v/>
      </c>
      <c r="AM231" s="28" t="str">
        <f ca="1">IF(NOTA[[#This Row],[ID_H]]="","",IF(NOTA[[#This Row],[FAKTUR]]="",INDIRECT(ADDRESS(ROW()-1,COLUMN())),NOTA[[#This Row],[FAKTUR]]))</f>
        <v/>
      </c>
      <c r="AN231" s="25" t="str">
        <f ca="1">IF(NOTA[[#This Row],[ID]]="","",COUNTIF(NOTA[ID_H],NOTA[[#This Row],[ID_H]]))</f>
        <v/>
      </c>
      <c r="AO231" s="25" t="str">
        <f ca="1">IF(NOTA[[#This Row],[TGL.NOTA]]="",IF(NOTA[[#This Row],[SUPPLIER_H]]="","",AO230),MONTH(NOTA[[#This Row],[TGL.NOTA]]))</f>
        <v/>
      </c>
      <c r="AP2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1" s="25"/>
      <c r="AU231" s="25" t="str">
        <f>IF(NOTA[[#This Row],[CONCAT1]]="","",MATCH(NOTA[[#This Row],[CONCAT1]],[3]!db[NB NOTA_C],0))</f>
        <v/>
      </c>
      <c r="AV231" s="25" t="str">
        <f>IF(NOTA[[#This Row],[QTY/ CTN]]="","",TRUE)</f>
        <v/>
      </c>
      <c r="AW231" s="25" t="str">
        <f ca="1">IF(NOTA[[#This Row],[ID_H]]="","",IF(NOTA[[#This Row],[Column3]]=TRUE,NOTA[[#This Row],[QTY/ CTN]],INDEX([3]!db[QTY/ CTN],NOTA[[#This Row],[//DB]])))</f>
        <v/>
      </c>
      <c r="AX2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1" s="25" t="str">
        <f ca="1">IF(NOTA[[#This Row],[ID_H]]="","",MATCH(NOTA[[#This Row],[NB NOTA_C_QTY]],[3]!db[NB NOTA_C_QTY+F],0))</f>
        <v/>
      </c>
      <c r="AZ231" s="38" t="str">
        <f ca="1">IF(NOTA[[#This Row],[NB NOTA_C_QTY]]="","",ROW()-2)</f>
        <v/>
      </c>
    </row>
    <row r="232" spans="1:52" ht="20.100000000000001" customHeight="1">
      <c r="A232" s="28">
        <f ca="1">IF(INDIRECT(ADDRESS(ROW()-1,COLUMN(NOTA[[#Headers],[ID]])))="ID",1,IF(NOTA[[#This Row],[FAKTUR]]="","",COUNT(INDIRECT(ADDRESS(ROW(NOTA[ID]),COLUMN(NOTA[ID]))&amp;":"&amp;ADDRESS(ROW()-1,COLUMN(NOTA[ID]))))+1))</f>
        <v>44</v>
      </c>
      <c r="B23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GLO_1806_-1</v>
      </c>
      <c r="D232" s="25">
        <f ca="1">IF(NOTA[[#This Row],[NAMA BARANG]]="","",INDEX(NOTA[ID],MATCH(,INDIRECT(ADDRESS(ROW(NOTA[ID]),COLUMN(NOTA[ID]))&amp;":"&amp;ADDRESS(ROW(),COLUMN(NOTA[ID]))),-1)))</f>
        <v>44</v>
      </c>
      <c r="E232" s="33"/>
      <c r="F232" s="25" t="s">
        <v>324</v>
      </c>
      <c r="G232" s="25" t="s">
        <v>109</v>
      </c>
      <c r="H232" s="34"/>
      <c r="J232" s="26">
        <v>45461</v>
      </c>
      <c r="L232" s="39" t="s">
        <v>467</v>
      </c>
      <c r="N232" s="25">
        <v>7</v>
      </c>
      <c r="O232" s="25" t="s">
        <v>110</v>
      </c>
      <c r="P232" s="28">
        <v>161000</v>
      </c>
      <c r="Q232" s="29"/>
      <c r="R232" s="35"/>
      <c r="S232" s="36"/>
      <c r="V232" s="37"/>
      <c r="W232" s="32" t="s">
        <v>443</v>
      </c>
      <c r="X232" s="37">
        <f>IF(NOTA[[#This Row],[HARGA/ CTN]]="",NOTA[[#This Row],[JUMLAH_H]],NOTA[[#This Row],[HARGA/ CTN]]*IF(NOTA[[#This Row],[C]]="",0,NOTA[[#This Row],[C]]))</f>
        <v>1127000</v>
      </c>
      <c r="Y232" s="37">
        <f>IF(NOTA[[#This Row],[JUMLAH]]="","",NOTA[[#This Row],[JUMLAH]]*NOTA[[#This Row],[DISC 1]])</f>
        <v>0</v>
      </c>
      <c r="Z232" s="37">
        <f>IF(NOTA[[#This Row],[JUMLAH]]="","",(NOTA[[#This Row],[JUMLAH]]-NOTA[[#This Row],[DISC 1-]])*NOTA[[#This Row],[DISC 2]])</f>
        <v>0</v>
      </c>
      <c r="AA232" s="37">
        <f>IF(NOTA[[#This Row],[JUMLAH]]="","",(NOTA[[#This Row],[JUMLAH]]-NOTA[[#This Row],[DISC 1-]]-NOTA[[#This Row],[DISC 2-]])*NOTA[[#This Row],[DISC 3]])</f>
        <v>0</v>
      </c>
      <c r="AB232" s="37">
        <f>IF(NOTA[[#This Row],[JUMLAH]]="","",NOTA[[#This Row],[DISC 1-]]+NOTA[[#This Row],[DISC 2-]]+NOTA[[#This Row],[DISC 3-]])</f>
        <v>0</v>
      </c>
      <c r="AC232" s="37">
        <f>IF(NOTA[[#This Row],[JUMLAH]]="","",NOTA[[#This Row],[JUMLAH]]-NOTA[[#This Row],[DISC]])</f>
        <v>1127000</v>
      </c>
      <c r="AD232" s="37"/>
      <c r="AE23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3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1127000</v>
      </c>
      <c r="AG232" s="28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H232" s="37">
        <f>IF(OR(NOTA[[#This Row],[QTY]]="",NOTA[[#This Row],[HARGA SATUAN]]="",),"",NOTA[[#This Row],[QTY]]*NOTA[[#This Row],[HARGA SATUAN]])</f>
        <v>1127000</v>
      </c>
      <c r="AI232" s="26">
        <f ca="1">IF(NOTA[[#This Row],[ID_H]]="","",INDEX(NOTA[TANGGAL],MATCH(,INDIRECT(ADDRESS(ROW(NOTA[TANGGAL]),COLUMN(NOTA[TANGGAL]))&amp;":"&amp;ADDRESS(ROW(),COLUMN(NOTA[TANGGAL]))),-1)))</f>
        <v>45461</v>
      </c>
      <c r="AJ232" s="26">
        <f ca="1">IF(NOTA[[#This Row],[ID_H]]="","",INDEX(NOTA[TGL.NOTA],MATCH(,INDIRECT(ADDRESS(ROW(NOTA[TGL.NOTA]),COLUMN(NOTA[TGL.NOTA]))&amp;":"&amp;ADDRESS(ROW(),COLUMN(NOTA[TGL.NOTA]))),-1)))</f>
        <v>45461</v>
      </c>
      <c r="AK232" s="26">
        <f ca="1">IF(NOTA[[#This Row],[ID_H]]="","",INDEX(NOTA[NO.NOTA],MATCH(NOTA[[#This Row],[ID_H]],NOTA[ID_H],0)))</f>
        <v>0</v>
      </c>
      <c r="AL232" s="28" t="str">
        <f ca="1">IF(NOTA[[#This Row],[NAMA BARANG]]="","",INDEX(NOTA[SUPPLIER],MATCH(,INDIRECT(ADDRESS(ROW(NOTA[ID]),COLUMN(NOTA[ID]))&amp;":"&amp;ADDRESS(ROW(),COLUMN(NOTA[ID]))),-1)))</f>
        <v>GLORY</v>
      </c>
      <c r="AM232" s="28" t="str">
        <f ca="1">IF(NOTA[[#This Row],[ID_H]]="","",IF(NOTA[[#This Row],[FAKTUR]]="",INDIRECT(ADDRESS(ROW()-1,COLUMN())),NOTA[[#This Row],[FAKTUR]]))</f>
        <v>UNTANA</v>
      </c>
      <c r="AN232" s="25">
        <f ca="1">IF(NOTA[[#This Row],[ID]]="","",COUNTIF(NOTA[ID_H],NOTA[[#This Row],[ID_H]]))</f>
        <v>1</v>
      </c>
      <c r="AO232" s="25">
        <f>IF(NOTA[[#This Row],[TGL.NOTA]]="",IF(NOTA[[#This Row],[SUPPLIER_H]]="","",AO231),MONTH(NOTA[[#This Row],[TGL.NOTA]]))</f>
        <v>6</v>
      </c>
      <c r="AP232" s="25" t="str">
        <f>LOWER(SUBSTITUTE(SUBSTITUTE(SUBSTITUTE(SUBSTITUTE(SUBSTITUTE(SUBSTITUTE(SUBSTITUTE(SUBSTITUTE(SUBSTITUTE(NOTA[[#This Row],[NAMA BARANG]]," ",),".",""),"-",""),"(",""),")",""),",",""),"/",""),"""",""),"+",""))</f>
        <v>bktamu15batik</v>
      </c>
      <c r="AQ2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bktamu15batik1127000</v>
      </c>
      <c r="AR2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bktamu15batik161000</v>
      </c>
      <c r="AS232" s="25" t="str">
        <f>IF(NOTA[[#This Row],[SUPPLIER]]="","",NOTA[[#This Row],[SUPPLIER]]&amp;NOTA[[#This Row],[FAKTUR]]&amp;NOTA[[#This Row],[NO.NOTA]]&amp;NOTA[[#This Row],[NO.SJ]]&amp;NOTA[[#This Row],[TGL.NOTA]]&amp;NOTA[[#This Row],[CONCAT1]])</f>
        <v>GLORYUNTANA45461bktamu15batik</v>
      </c>
      <c r="AT232" s="25"/>
      <c r="AU232" s="25" t="e">
        <f>IF(NOTA[[#This Row],[CONCAT1]]="","",MATCH(NOTA[[#This Row],[CONCAT1]],[3]!db[NB NOTA_C],0))</f>
        <v>#N/A</v>
      </c>
      <c r="AV232" s="25" t="str">
        <f>IF(NOTA[[#This Row],[QTY/ CTN]]="","",TRUE)</f>
        <v/>
      </c>
      <c r="AW232" s="25" t="e">
        <f ca="1">IF(NOTA[[#This Row],[ID_H]]="","",IF(NOTA[[#This Row],[Column3]]=TRUE,NOTA[[#This Row],[QTY/ CTN]],INDEX([3]!db[QTY/ CTN],NOTA[[#This Row],[//DB]])))</f>
        <v>#N/A</v>
      </c>
      <c r="AX232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32" s="25" t="e">
        <f ca="1">IF(NOTA[[#This Row],[ID_H]]="","",MATCH(NOTA[[#This Row],[NB NOTA_C_QTY]],[3]!db[NB NOTA_C_QTY+F],0))</f>
        <v>#N/A</v>
      </c>
      <c r="AZ232" s="38" t="e">
        <f ca="1">IF(NOTA[[#This Row],[NB NOTA_C_QTY]]="","",ROW()-2)</f>
        <v>#N/A</v>
      </c>
    </row>
    <row r="233" spans="1:52" ht="20.100000000000001" customHeight="1">
      <c r="A2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33" s="25" t="str">
        <f ca="1">IF(NOTA[[#This Row],[NAMA BARANG]]="","",INDEX(NOTA[ID],MATCH(,INDIRECT(ADDRESS(ROW(NOTA[ID]),COLUMN(NOTA[ID]))&amp;":"&amp;ADDRESS(ROW(),COLUMN(NOTA[ID]))),-1)))</f>
        <v/>
      </c>
      <c r="E233" s="33"/>
      <c r="H233" s="34"/>
      <c r="Q233" s="29"/>
      <c r="R233" s="35"/>
      <c r="S233" s="36"/>
      <c r="V233" s="37"/>
      <c r="W233" s="32"/>
      <c r="X233" s="37" t="str">
        <f>IF(NOTA[[#This Row],[HARGA/ CTN]]="",NOTA[[#This Row],[JUMLAH_H]],NOTA[[#This Row],[HARGA/ CTN]]*IF(NOTA[[#This Row],[C]]="",0,NOTA[[#This Row],[C]]))</f>
        <v/>
      </c>
      <c r="Y233" s="37" t="str">
        <f>IF(NOTA[[#This Row],[JUMLAH]]="","",NOTA[[#This Row],[JUMLAH]]*NOTA[[#This Row],[DISC 1]])</f>
        <v/>
      </c>
      <c r="Z233" s="37" t="str">
        <f>IF(NOTA[[#This Row],[JUMLAH]]="","",(NOTA[[#This Row],[JUMLAH]]-NOTA[[#This Row],[DISC 1-]])*NOTA[[#This Row],[DISC 2]])</f>
        <v/>
      </c>
      <c r="AA233" s="37" t="str">
        <f>IF(NOTA[[#This Row],[JUMLAH]]="","",(NOTA[[#This Row],[JUMLAH]]-NOTA[[#This Row],[DISC 1-]]-NOTA[[#This Row],[DISC 2-]])*NOTA[[#This Row],[DISC 3]])</f>
        <v/>
      </c>
      <c r="AB233" s="37" t="str">
        <f>IF(NOTA[[#This Row],[JUMLAH]]="","",NOTA[[#This Row],[DISC 1-]]+NOTA[[#This Row],[DISC 2-]]+NOTA[[#This Row],[DISC 3-]])</f>
        <v/>
      </c>
      <c r="AC233" s="37" t="str">
        <f>IF(NOTA[[#This Row],[JUMLAH]]="","",NOTA[[#This Row],[JUMLAH]]-NOTA[[#This Row],[DISC]])</f>
        <v/>
      </c>
      <c r="AD233" s="37"/>
      <c r="AE2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3" s="37" t="str">
        <f>IF(OR(NOTA[[#This Row],[QTY]]="",NOTA[[#This Row],[HARGA SATUAN]]="",),"",NOTA[[#This Row],[QTY]]*NOTA[[#This Row],[HARGA SATUAN]])</f>
        <v/>
      </c>
      <c r="AI233" s="26" t="str">
        <f ca="1">IF(NOTA[[#This Row],[ID_H]]="","",INDEX(NOTA[TANGGAL],MATCH(,INDIRECT(ADDRESS(ROW(NOTA[TANGGAL]),COLUMN(NOTA[TANGGAL]))&amp;":"&amp;ADDRESS(ROW(),COLUMN(NOTA[TANGGAL]))),-1)))</f>
        <v/>
      </c>
      <c r="AJ233" s="26" t="str">
        <f ca="1">IF(NOTA[[#This Row],[ID_H]]="","",INDEX(NOTA[TGL.NOTA],MATCH(,INDIRECT(ADDRESS(ROW(NOTA[TGL.NOTA]),COLUMN(NOTA[TGL.NOTA]))&amp;":"&amp;ADDRESS(ROW(),COLUMN(NOTA[TGL.NOTA]))),-1)))</f>
        <v/>
      </c>
      <c r="AK233" s="26" t="str">
        <f ca="1">IF(NOTA[[#This Row],[ID_H]]="","",INDEX(NOTA[NO.NOTA],MATCH(NOTA[[#This Row],[ID_H]],NOTA[ID_H],0)))</f>
        <v/>
      </c>
      <c r="AL233" s="28" t="str">
        <f ca="1">IF(NOTA[[#This Row],[NAMA BARANG]]="","",INDEX(NOTA[SUPPLIER],MATCH(,INDIRECT(ADDRESS(ROW(NOTA[ID]),COLUMN(NOTA[ID]))&amp;":"&amp;ADDRESS(ROW(),COLUMN(NOTA[ID]))),-1)))</f>
        <v/>
      </c>
      <c r="AM233" s="28" t="str">
        <f ca="1">IF(NOTA[[#This Row],[ID_H]]="","",IF(NOTA[[#This Row],[FAKTUR]]="",INDIRECT(ADDRESS(ROW()-1,COLUMN())),NOTA[[#This Row],[FAKTUR]]))</f>
        <v/>
      </c>
      <c r="AN233" s="25" t="str">
        <f ca="1">IF(NOTA[[#This Row],[ID]]="","",COUNTIF(NOTA[ID_H],NOTA[[#This Row],[ID_H]]))</f>
        <v/>
      </c>
      <c r="AO233" s="25" t="str">
        <f ca="1">IF(NOTA[[#This Row],[TGL.NOTA]]="",IF(NOTA[[#This Row],[SUPPLIER_H]]="","",AO232),MONTH(NOTA[[#This Row],[TGL.NOTA]]))</f>
        <v/>
      </c>
      <c r="AP2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3" s="25"/>
      <c r="AU233" s="25" t="str">
        <f>IF(NOTA[[#This Row],[CONCAT1]]="","",MATCH(NOTA[[#This Row],[CONCAT1]],[3]!db[NB NOTA_C],0))</f>
        <v/>
      </c>
      <c r="AV233" s="25" t="str">
        <f>IF(NOTA[[#This Row],[QTY/ CTN]]="","",TRUE)</f>
        <v/>
      </c>
      <c r="AW233" s="25" t="str">
        <f ca="1">IF(NOTA[[#This Row],[ID_H]]="","",IF(NOTA[[#This Row],[Column3]]=TRUE,NOTA[[#This Row],[QTY/ CTN]],INDEX([3]!db[QTY/ CTN],NOTA[[#This Row],[//DB]])))</f>
        <v/>
      </c>
      <c r="AX2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3" s="25" t="str">
        <f ca="1">IF(NOTA[[#This Row],[ID_H]]="","",MATCH(NOTA[[#This Row],[NB NOTA_C_QTY]],[3]!db[NB NOTA_C_QTY+F],0))</f>
        <v/>
      </c>
      <c r="AZ233" s="38" t="str">
        <f ca="1">IF(NOTA[[#This Row],[NB NOTA_C_QTY]]="","",ROW()-2)</f>
        <v/>
      </c>
    </row>
    <row r="234" spans="1:52" ht="20.100000000000001" customHeight="1">
      <c r="A234" s="28">
        <f ca="1">IF(INDIRECT(ADDRESS(ROW()-1,COLUMN(NOTA[[#Headers],[ID]])))="ID",1,IF(NOTA[[#This Row],[FAKTUR]]="","",COUNT(INDIRECT(ADDRESS(ROW(NOTA[ID]),COLUMN(NOTA[ID]))&amp;":"&amp;ADDRESS(ROW()-1,COLUMN(NOTA[ID]))))+1))</f>
        <v>45</v>
      </c>
      <c r="B23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DBS_2206_524-9</v>
      </c>
      <c r="D234" s="25">
        <f ca="1">IF(NOTA[[#This Row],[NAMA BARANG]]="","",INDEX(NOTA[ID],MATCH(,INDIRECT(ADDRESS(ROW(NOTA[ID]),COLUMN(NOTA[ID]))&amp;":"&amp;ADDRESS(ROW(),COLUMN(NOTA[ID]))),-1)))</f>
        <v>45</v>
      </c>
      <c r="E234" s="33">
        <v>45465</v>
      </c>
      <c r="F234" s="25" t="s">
        <v>165</v>
      </c>
      <c r="G234" s="25" t="s">
        <v>109</v>
      </c>
      <c r="H234" s="34" t="s">
        <v>444</v>
      </c>
      <c r="J234" s="26">
        <v>45462</v>
      </c>
      <c r="L234" s="25" t="s">
        <v>445</v>
      </c>
      <c r="M234" s="27">
        <v>3</v>
      </c>
      <c r="N234" s="25">
        <v>540</v>
      </c>
      <c r="O234" s="25" t="s">
        <v>111</v>
      </c>
      <c r="P234" s="28">
        <v>11000</v>
      </c>
      <c r="Q234" s="29"/>
      <c r="R234" s="35" t="s">
        <v>454</v>
      </c>
      <c r="S234" s="36"/>
      <c r="V234" s="37"/>
      <c r="W234" s="32" t="s">
        <v>455</v>
      </c>
      <c r="X234" s="37">
        <f>IF(NOTA[[#This Row],[HARGA/ CTN]]="",NOTA[[#This Row],[JUMLAH_H]],NOTA[[#This Row],[HARGA/ CTN]]*IF(NOTA[[#This Row],[C]]="",0,NOTA[[#This Row],[C]]))</f>
        <v>5940000</v>
      </c>
      <c r="Y234" s="37">
        <f>IF(NOTA[[#This Row],[JUMLAH]]="","",NOTA[[#This Row],[JUMLAH]]*NOTA[[#This Row],[DISC 1]])</f>
        <v>0</v>
      </c>
      <c r="Z234" s="37">
        <f>IF(NOTA[[#This Row],[JUMLAH]]="","",(NOTA[[#This Row],[JUMLAH]]-NOTA[[#This Row],[DISC 1-]])*NOTA[[#This Row],[DISC 2]])</f>
        <v>0</v>
      </c>
      <c r="AA234" s="37">
        <f>IF(NOTA[[#This Row],[JUMLAH]]="","",(NOTA[[#This Row],[JUMLAH]]-NOTA[[#This Row],[DISC 1-]]-NOTA[[#This Row],[DISC 2-]])*NOTA[[#This Row],[DISC 3]])</f>
        <v>0</v>
      </c>
      <c r="AB234" s="37">
        <f>IF(NOTA[[#This Row],[JUMLAH]]="","",NOTA[[#This Row],[DISC 1-]]+NOTA[[#This Row],[DISC 2-]]+NOTA[[#This Row],[DISC 3-]])</f>
        <v>0</v>
      </c>
      <c r="AC234" s="37">
        <f>IF(NOTA[[#This Row],[JUMLAH]]="","",NOTA[[#This Row],[JUMLAH]]-NOTA[[#This Row],[DISC]])</f>
        <v>5940000</v>
      </c>
      <c r="AD234" s="37"/>
      <c r="AE2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4" s="28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H234" s="37">
        <f>IF(OR(NOTA[[#This Row],[QTY]]="",NOTA[[#This Row],[HARGA SATUAN]]="",),"",NOTA[[#This Row],[QTY]]*NOTA[[#This Row],[HARGA SATUAN]])</f>
        <v>5940000</v>
      </c>
      <c r="AI234" s="26">
        <f ca="1">IF(NOTA[[#This Row],[ID_H]]="","",INDEX(NOTA[TANGGAL],MATCH(,INDIRECT(ADDRESS(ROW(NOTA[TANGGAL]),COLUMN(NOTA[TANGGAL]))&amp;":"&amp;ADDRESS(ROW(),COLUMN(NOTA[TANGGAL]))),-1)))</f>
        <v>45465</v>
      </c>
      <c r="AJ234" s="26">
        <f ca="1">IF(NOTA[[#This Row],[ID_H]]="","",INDEX(NOTA[TGL.NOTA],MATCH(,INDIRECT(ADDRESS(ROW(NOTA[TGL.NOTA]),COLUMN(NOTA[TGL.NOTA]))&amp;":"&amp;ADDRESS(ROW(),COLUMN(NOTA[TGL.NOTA]))),-1)))</f>
        <v>45462</v>
      </c>
      <c r="AK234" s="26" t="str">
        <f ca="1">IF(NOTA[[#This Row],[ID_H]]="","",INDEX(NOTA[NO.NOTA],MATCH(NOTA[[#This Row],[ID_H]],NOTA[ID_H],0)))</f>
        <v>JUF415/24</v>
      </c>
      <c r="AL234" s="28" t="str">
        <f ca="1">IF(NOTA[[#This Row],[NAMA BARANG]]="","",INDEX(NOTA[SUPPLIER],MATCH(,INDIRECT(ADDRESS(ROW(NOTA[ID]),COLUMN(NOTA[ID]))&amp;":"&amp;ADDRESS(ROW(),COLUMN(NOTA[ID]))),-1)))</f>
        <v>DB STATIONERY</v>
      </c>
      <c r="AM234" s="28" t="str">
        <f ca="1">IF(NOTA[[#This Row],[ID_H]]="","",IF(NOTA[[#This Row],[FAKTUR]]="",INDIRECT(ADDRESS(ROW()-1,COLUMN())),NOTA[[#This Row],[FAKTUR]]))</f>
        <v>UNTANA</v>
      </c>
      <c r="AN234" s="25">
        <f ca="1">IF(NOTA[[#This Row],[ID]]="","",COUNTIF(NOTA[ID_H],NOTA[[#This Row],[ID_H]]))</f>
        <v>9</v>
      </c>
      <c r="AO234" s="25">
        <f>IF(NOTA[[#This Row],[TGL.NOTA]]="",IF(NOTA[[#This Row],[SUPPLIER_H]]="","",AO233),MONTH(NOTA[[#This Row],[TGL.NOTA]]))</f>
        <v>6</v>
      </c>
      <c r="AP234" s="25" t="str">
        <f>LOWER(SUBSTITUTE(SUBSTITUTE(SUBSTITUTE(SUBSTITUTE(SUBSTITUTE(SUBSTITUTE(SUBSTITUTE(SUBSTITUTE(SUBSTITUTE(NOTA[[#This Row],[NAMA BARANG]]," ",),".",""),"-",""),"(",""),")",""),",",""),"/",""),"""",""),"+",""))</f>
        <v>tpbdxlgbd18028</v>
      </c>
      <c r="AQ2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tpbdxlgbd180281980000</v>
      </c>
      <c r="AR2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tpbdxlgbd180281980000</v>
      </c>
      <c r="AS234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STATIONERYUNTANAJUF415/2445462tpbdxlgbd18028</v>
      </c>
      <c r="AT234" s="25"/>
      <c r="AU234" s="25">
        <f>IF(NOTA[[#This Row],[CONCAT1]]="","",MATCH(NOTA[[#This Row],[CONCAT1]],[3]!db[NB NOTA_C],0))</f>
        <v>3426</v>
      </c>
      <c r="AV234" s="25" t="b">
        <f>IF(NOTA[[#This Row],[QTY/ CTN]]="","",TRUE)</f>
        <v>1</v>
      </c>
      <c r="AW234" s="25" t="str">
        <f ca="1">IF(NOTA[[#This Row],[ID_H]]="","",IF(NOTA[[#This Row],[Column3]]=TRUE,NOTA[[#This Row],[QTY/ CTN]],INDEX([3]!db[QTY/ CTN],NOTA[[#This Row],[//DB]])))</f>
        <v>180 PCS</v>
      </c>
      <c r="AX2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tpbdxlgbd18028180pcsuntana</v>
      </c>
      <c r="AY234" s="25">
        <f ca="1">IF(NOTA[[#This Row],[ID_H]]="","",MATCH(NOTA[[#This Row],[NB NOTA_C_QTY]],[3]!db[NB NOTA_C_QTY+F],0))</f>
        <v>3426</v>
      </c>
      <c r="AZ234" s="38">
        <f ca="1">IF(NOTA[[#This Row],[NB NOTA_C_QTY]]="","",ROW()-2)</f>
        <v>232</v>
      </c>
    </row>
    <row r="235" spans="1:52" ht="20.100000000000001" customHeight="1">
      <c r="A2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35" s="25">
        <f ca="1">IF(NOTA[[#This Row],[NAMA BARANG]]="","",INDEX(NOTA[ID],MATCH(,INDIRECT(ADDRESS(ROW(NOTA[ID]),COLUMN(NOTA[ID]))&amp;":"&amp;ADDRESS(ROW(),COLUMN(NOTA[ID]))),-1)))</f>
        <v>45</v>
      </c>
      <c r="E235" s="33"/>
      <c r="H235" s="34"/>
      <c r="L235" s="25" t="s">
        <v>446</v>
      </c>
      <c r="M235" s="27">
        <v>3</v>
      </c>
      <c r="N235" s="25">
        <v>540</v>
      </c>
      <c r="O235" s="25" t="s">
        <v>111</v>
      </c>
      <c r="P235" s="28">
        <v>11500</v>
      </c>
      <c r="Q235" s="29"/>
      <c r="R235" s="35" t="s">
        <v>454</v>
      </c>
      <c r="S235" s="36"/>
      <c r="V235" s="37"/>
      <c r="W235" s="32" t="s">
        <v>455</v>
      </c>
      <c r="X235" s="37">
        <f>IF(NOTA[[#This Row],[HARGA/ CTN]]="",NOTA[[#This Row],[JUMLAH_H]],NOTA[[#This Row],[HARGA/ CTN]]*IF(NOTA[[#This Row],[C]]="",0,NOTA[[#This Row],[C]]))</f>
        <v>6210000</v>
      </c>
      <c r="Y235" s="37">
        <f>IF(NOTA[[#This Row],[JUMLAH]]="","",NOTA[[#This Row],[JUMLAH]]*NOTA[[#This Row],[DISC 1]])</f>
        <v>0</v>
      </c>
      <c r="Z235" s="37">
        <f>IF(NOTA[[#This Row],[JUMLAH]]="","",(NOTA[[#This Row],[JUMLAH]]-NOTA[[#This Row],[DISC 1-]])*NOTA[[#This Row],[DISC 2]])</f>
        <v>0</v>
      </c>
      <c r="AA235" s="37">
        <f>IF(NOTA[[#This Row],[JUMLAH]]="","",(NOTA[[#This Row],[JUMLAH]]-NOTA[[#This Row],[DISC 1-]]-NOTA[[#This Row],[DISC 2-]])*NOTA[[#This Row],[DISC 3]])</f>
        <v>0</v>
      </c>
      <c r="AB235" s="37">
        <f>IF(NOTA[[#This Row],[JUMLAH]]="","",NOTA[[#This Row],[DISC 1-]]+NOTA[[#This Row],[DISC 2-]]+NOTA[[#This Row],[DISC 3-]])</f>
        <v>0</v>
      </c>
      <c r="AC235" s="37">
        <f>IF(NOTA[[#This Row],[JUMLAH]]="","",NOTA[[#This Row],[JUMLAH]]-NOTA[[#This Row],[DISC]])</f>
        <v>6210000</v>
      </c>
      <c r="AD235" s="37"/>
      <c r="AE2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5" s="28">
        <f>IF(NOTA[[#This Row],[NAMA BARANG]]="","",IF(NOTA[[#This Row],[JUMLAH_H]]="",NOTA[[#This Row],[HARGA/ CTN]],NOTA[[#This Row],[QTY]]*NOTA[[#This Row],[HARGA SATUAN]]/IF(ISNUMBER(NOTA[[#This Row],[C]]),NOTA[[#This Row],[C]],1)))</f>
        <v>2070000</v>
      </c>
      <c r="AH235" s="37">
        <f>IF(OR(NOTA[[#This Row],[QTY]]="",NOTA[[#This Row],[HARGA SATUAN]]="",),"",NOTA[[#This Row],[QTY]]*NOTA[[#This Row],[HARGA SATUAN]])</f>
        <v>6210000</v>
      </c>
      <c r="AI235" s="26">
        <f ca="1">IF(NOTA[[#This Row],[ID_H]]="","",INDEX(NOTA[TANGGAL],MATCH(,INDIRECT(ADDRESS(ROW(NOTA[TANGGAL]),COLUMN(NOTA[TANGGAL]))&amp;":"&amp;ADDRESS(ROW(),COLUMN(NOTA[TANGGAL]))),-1)))</f>
        <v>45465</v>
      </c>
      <c r="AJ235" s="26">
        <f ca="1">IF(NOTA[[#This Row],[ID_H]]="","",INDEX(NOTA[TGL.NOTA],MATCH(,INDIRECT(ADDRESS(ROW(NOTA[TGL.NOTA]),COLUMN(NOTA[TGL.NOTA]))&amp;":"&amp;ADDRESS(ROW(),COLUMN(NOTA[TGL.NOTA]))),-1)))</f>
        <v>45462</v>
      </c>
      <c r="AK235" s="26" t="str">
        <f ca="1">IF(NOTA[[#This Row],[ID_H]]="","",INDEX(NOTA[NO.NOTA],MATCH(NOTA[[#This Row],[ID_H]],NOTA[ID_H],0)))</f>
        <v>JUF415/24</v>
      </c>
      <c r="AL235" s="28" t="str">
        <f ca="1">IF(NOTA[[#This Row],[NAMA BARANG]]="","",INDEX(NOTA[SUPPLIER],MATCH(,INDIRECT(ADDRESS(ROW(NOTA[ID]),COLUMN(NOTA[ID]))&amp;":"&amp;ADDRESS(ROW(),COLUMN(NOTA[ID]))),-1)))</f>
        <v>DB STATIONERY</v>
      </c>
      <c r="AM235" s="28" t="str">
        <f ca="1">IF(NOTA[[#This Row],[ID_H]]="","",IF(NOTA[[#This Row],[FAKTUR]]="",INDIRECT(ADDRESS(ROW()-1,COLUMN())),NOTA[[#This Row],[FAKTUR]]))</f>
        <v>UNTANA</v>
      </c>
      <c r="AN235" s="25" t="str">
        <f ca="1">IF(NOTA[[#This Row],[ID]]="","",COUNTIF(NOTA[ID_H],NOTA[[#This Row],[ID_H]]))</f>
        <v/>
      </c>
      <c r="AO235" s="25">
        <f ca="1">IF(NOTA[[#This Row],[TGL.NOTA]]="",IF(NOTA[[#This Row],[SUPPLIER_H]]="","",AO234),MONTH(NOTA[[#This Row],[TGL.NOTA]]))</f>
        <v>6</v>
      </c>
      <c r="AP235" s="25" t="str">
        <f>LOWER(SUBSTITUTE(SUBSTITUTE(SUBSTITUTE(SUBSTITUTE(SUBSTITUTE(SUBSTITUTE(SUBSTITUTE(SUBSTITUTE(SUBSTITUTE(NOTA[[#This Row],[NAMA BARANG]]," ",),".",""),"-",""),"(",""),")",""),",",""),"/",""),"""",""),"+",""))</f>
        <v>tpbdxlgbd180f</v>
      </c>
      <c r="AQ2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tpbdxlgbd180f2070000</v>
      </c>
      <c r="AR2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tpbdxlgbd180f2070000</v>
      </c>
      <c r="AS2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5" s="25"/>
      <c r="AU235" s="25">
        <f>IF(NOTA[[#This Row],[CONCAT1]]="","",MATCH(NOTA[[#This Row],[CONCAT1]],[3]!db[NB NOTA_C],0))</f>
        <v>3427</v>
      </c>
      <c r="AV235" s="25" t="b">
        <f>IF(NOTA[[#This Row],[QTY/ CTN]]="","",TRUE)</f>
        <v>1</v>
      </c>
      <c r="AW235" s="25" t="str">
        <f ca="1">IF(NOTA[[#This Row],[ID_H]]="","",IF(NOTA[[#This Row],[Column3]]=TRUE,NOTA[[#This Row],[QTY/ CTN]],INDEX([3]!db[QTY/ CTN],NOTA[[#This Row],[//DB]])))</f>
        <v>180 PCS</v>
      </c>
      <c r="AX2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tpbdxlgbd180f180pcsuntana</v>
      </c>
      <c r="AY235" s="25">
        <f ca="1">IF(NOTA[[#This Row],[ID_H]]="","",MATCH(NOTA[[#This Row],[NB NOTA_C_QTY]],[3]!db[NB NOTA_C_QTY+F],0))</f>
        <v>3427</v>
      </c>
      <c r="AZ235" s="38">
        <f ca="1">IF(NOTA[[#This Row],[NB NOTA_C_QTY]]="","",ROW()-2)</f>
        <v>233</v>
      </c>
    </row>
    <row r="236" spans="1:52" ht="20.100000000000001" customHeight="1">
      <c r="A2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36" s="25">
        <f ca="1">IF(NOTA[[#This Row],[NAMA BARANG]]="","",INDEX(NOTA[ID],MATCH(,INDIRECT(ADDRESS(ROW(NOTA[ID]),COLUMN(NOTA[ID]))&amp;":"&amp;ADDRESS(ROW(),COLUMN(NOTA[ID]))),-1)))</f>
        <v>45</v>
      </c>
      <c r="E236" s="33"/>
      <c r="H236" s="34"/>
      <c r="L236" s="25" t="s">
        <v>447</v>
      </c>
      <c r="M236" s="27">
        <v>3</v>
      </c>
      <c r="N236" s="25">
        <v>540</v>
      </c>
      <c r="O236" s="25" t="s">
        <v>111</v>
      </c>
      <c r="P236" s="28">
        <v>17500</v>
      </c>
      <c r="Q236" s="29"/>
      <c r="R236" s="35" t="s">
        <v>454</v>
      </c>
      <c r="S236" s="36"/>
      <c r="V236" s="37"/>
      <c r="W236" s="32" t="s">
        <v>455</v>
      </c>
      <c r="X236" s="37">
        <f>IF(NOTA[[#This Row],[HARGA/ CTN]]="",NOTA[[#This Row],[JUMLAH_H]],NOTA[[#This Row],[HARGA/ CTN]]*IF(NOTA[[#This Row],[C]]="",0,NOTA[[#This Row],[C]]))</f>
        <v>9450000</v>
      </c>
      <c r="Y236" s="37">
        <f>IF(NOTA[[#This Row],[JUMLAH]]="","",NOTA[[#This Row],[JUMLAH]]*NOTA[[#This Row],[DISC 1]])</f>
        <v>0</v>
      </c>
      <c r="Z236" s="37">
        <f>IF(NOTA[[#This Row],[JUMLAH]]="","",(NOTA[[#This Row],[JUMLAH]]-NOTA[[#This Row],[DISC 1-]])*NOTA[[#This Row],[DISC 2]])</f>
        <v>0</v>
      </c>
      <c r="AA236" s="37">
        <f>IF(NOTA[[#This Row],[JUMLAH]]="","",(NOTA[[#This Row],[JUMLAH]]-NOTA[[#This Row],[DISC 1-]]-NOTA[[#This Row],[DISC 2-]])*NOTA[[#This Row],[DISC 3]])</f>
        <v>0</v>
      </c>
      <c r="AB236" s="37">
        <f>IF(NOTA[[#This Row],[JUMLAH]]="","",NOTA[[#This Row],[DISC 1-]]+NOTA[[#This Row],[DISC 2-]]+NOTA[[#This Row],[DISC 3-]])</f>
        <v>0</v>
      </c>
      <c r="AC236" s="37">
        <f>IF(NOTA[[#This Row],[JUMLAH]]="","",NOTA[[#This Row],[JUMLAH]]-NOTA[[#This Row],[DISC]])</f>
        <v>9450000</v>
      </c>
      <c r="AD236" s="37"/>
      <c r="AE2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6" s="28">
        <f>IF(NOTA[[#This Row],[NAMA BARANG]]="","",IF(NOTA[[#This Row],[JUMLAH_H]]="",NOTA[[#This Row],[HARGA/ CTN]],NOTA[[#This Row],[QTY]]*NOTA[[#This Row],[HARGA SATUAN]]/IF(ISNUMBER(NOTA[[#This Row],[C]]),NOTA[[#This Row],[C]],1)))</f>
        <v>3150000</v>
      </c>
      <c r="AH236" s="37">
        <f>IF(OR(NOTA[[#This Row],[QTY]]="",NOTA[[#This Row],[HARGA SATUAN]]="",),"",NOTA[[#This Row],[QTY]]*NOTA[[#This Row],[HARGA SATUAN]])</f>
        <v>9450000</v>
      </c>
      <c r="AI236" s="26">
        <f ca="1">IF(NOTA[[#This Row],[ID_H]]="","",INDEX(NOTA[TANGGAL],MATCH(,INDIRECT(ADDRESS(ROW(NOTA[TANGGAL]),COLUMN(NOTA[TANGGAL]))&amp;":"&amp;ADDRESS(ROW(),COLUMN(NOTA[TANGGAL]))),-1)))</f>
        <v>45465</v>
      </c>
      <c r="AJ236" s="26">
        <f ca="1">IF(NOTA[[#This Row],[ID_H]]="","",INDEX(NOTA[TGL.NOTA],MATCH(,INDIRECT(ADDRESS(ROW(NOTA[TGL.NOTA]),COLUMN(NOTA[TGL.NOTA]))&amp;":"&amp;ADDRESS(ROW(),COLUMN(NOTA[TGL.NOTA]))),-1)))</f>
        <v>45462</v>
      </c>
      <c r="AK236" s="26" t="str">
        <f ca="1">IF(NOTA[[#This Row],[ID_H]]="","",INDEX(NOTA[NO.NOTA],MATCH(NOTA[[#This Row],[ID_H]],NOTA[ID_H],0)))</f>
        <v>JUF415/24</v>
      </c>
      <c r="AL236" s="28" t="str">
        <f ca="1">IF(NOTA[[#This Row],[NAMA BARANG]]="","",INDEX(NOTA[SUPPLIER],MATCH(,INDIRECT(ADDRESS(ROW(NOTA[ID]),COLUMN(NOTA[ID]))&amp;":"&amp;ADDRESS(ROW(),COLUMN(NOTA[ID]))),-1)))</f>
        <v>DB STATIONERY</v>
      </c>
      <c r="AM236" s="28" t="str">
        <f ca="1">IF(NOTA[[#This Row],[ID_H]]="","",IF(NOTA[[#This Row],[FAKTUR]]="",INDIRECT(ADDRESS(ROW()-1,COLUMN())),NOTA[[#This Row],[FAKTUR]]))</f>
        <v>UNTANA</v>
      </c>
      <c r="AN236" s="25" t="str">
        <f ca="1">IF(NOTA[[#This Row],[ID]]="","",COUNTIF(NOTA[ID_H],NOTA[[#This Row],[ID_H]]))</f>
        <v/>
      </c>
      <c r="AO236" s="25">
        <f ca="1">IF(NOTA[[#This Row],[TGL.NOTA]]="",IF(NOTA[[#This Row],[SUPPLIER_H]]="","",AO235),MONTH(NOTA[[#This Row],[TGL.NOTA]]))</f>
        <v>6</v>
      </c>
      <c r="AP236" s="25" t="str">
        <f>LOWER(SUBSTITUTE(SUBSTITUTE(SUBSTITUTE(SUBSTITUTE(SUBSTITUTE(SUBSTITUTE(SUBSTITUTE(SUBSTITUTE(SUBSTITUTE(NOTA[[#This Row],[NAMA BARANG]]," ",),".",""),"-",""),"(",""),")",""),",",""),"/",""),"""",""),"+",""))</f>
        <v>tpbdxlgbd191f</v>
      </c>
      <c r="AQ2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tpbdxlgbd191f3150000</v>
      </c>
      <c r="AR2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tpbdxlgbd191f3150000</v>
      </c>
      <c r="AS2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6" s="25"/>
      <c r="AU236" s="25">
        <f>IF(NOTA[[#This Row],[CONCAT1]]="","",MATCH(NOTA[[#This Row],[CONCAT1]],[3]!db[NB NOTA_C],0))</f>
        <v>3428</v>
      </c>
      <c r="AV236" s="25" t="b">
        <f>IF(NOTA[[#This Row],[QTY/ CTN]]="","",TRUE)</f>
        <v>1</v>
      </c>
      <c r="AW236" s="25" t="str">
        <f ca="1">IF(NOTA[[#This Row],[ID_H]]="","",IF(NOTA[[#This Row],[Column3]]=TRUE,NOTA[[#This Row],[QTY/ CTN]],INDEX([3]!db[QTY/ CTN],NOTA[[#This Row],[//DB]])))</f>
        <v>180 PCS</v>
      </c>
      <c r="AX2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tpbdxlgbd191f180pcsuntana</v>
      </c>
      <c r="AY236" s="25">
        <f ca="1">IF(NOTA[[#This Row],[ID_H]]="","",MATCH(NOTA[[#This Row],[NB NOTA_C_QTY]],[3]!db[NB NOTA_C_QTY+F],0))</f>
        <v>3428</v>
      </c>
      <c r="AZ236" s="38">
        <f ca="1">IF(NOTA[[#This Row],[NB NOTA_C_QTY]]="","",ROW()-2)</f>
        <v>234</v>
      </c>
    </row>
    <row r="237" spans="1:52" ht="20.100000000000001" customHeight="1">
      <c r="A2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37" s="25">
        <f ca="1">IF(NOTA[[#This Row],[NAMA BARANG]]="","",INDEX(NOTA[ID],MATCH(,INDIRECT(ADDRESS(ROW(NOTA[ID]),COLUMN(NOTA[ID]))&amp;":"&amp;ADDRESS(ROW(),COLUMN(NOTA[ID]))),-1)))</f>
        <v>45</v>
      </c>
      <c r="E237" s="33"/>
      <c r="H237" s="34"/>
      <c r="L237" s="25" t="s">
        <v>448</v>
      </c>
      <c r="M237" s="27">
        <v>3</v>
      </c>
      <c r="N237" s="25">
        <v>540</v>
      </c>
      <c r="O237" s="25" t="s">
        <v>111</v>
      </c>
      <c r="P237" s="28">
        <v>17000</v>
      </c>
      <c r="Q237" s="29"/>
      <c r="R237" s="35" t="s">
        <v>454</v>
      </c>
      <c r="S237" s="36"/>
      <c r="V237" s="37"/>
      <c r="W237" s="32" t="s">
        <v>455</v>
      </c>
      <c r="X237" s="37">
        <f>IF(NOTA[[#This Row],[HARGA/ CTN]]="",NOTA[[#This Row],[JUMLAH_H]],NOTA[[#This Row],[HARGA/ CTN]]*IF(NOTA[[#This Row],[C]]="",0,NOTA[[#This Row],[C]]))</f>
        <v>9180000</v>
      </c>
      <c r="Y237" s="37">
        <f>IF(NOTA[[#This Row],[JUMLAH]]="","",NOTA[[#This Row],[JUMLAH]]*NOTA[[#This Row],[DISC 1]])</f>
        <v>0</v>
      </c>
      <c r="Z237" s="37">
        <f>IF(NOTA[[#This Row],[JUMLAH]]="","",(NOTA[[#This Row],[JUMLAH]]-NOTA[[#This Row],[DISC 1-]])*NOTA[[#This Row],[DISC 2]])</f>
        <v>0</v>
      </c>
      <c r="AA237" s="37">
        <f>IF(NOTA[[#This Row],[JUMLAH]]="","",(NOTA[[#This Row],[JUMLAH]]-NOTA[[#This Row],[DISC 1-]]-NOTA[[#This Row],[DISC 2-]])*NOTA[[#This Row],[DISC 3]])</f>
        <v>0</v>
      </c>
      <c r="AB237" s="37">
        <f>IF(NOTA[[#This Row],[JUMLAH]]="","",NOTA[[#This Row],[DISC 1-]]+NOTA[[#This Row],[DISC 2-]]+NOTA[[#This Row],[DISC 3-]])</f>
        <v>0</v>
      </c>
      <c r="AC237" s="37">
        <f>IF(NOTA[[#This Row],[JUMLAH]]="","",NOTA[[#This Row],[JUMLAH]]-NOTA[[#This Row],[DISC]])</f>
        <v>9180000</v>
      </c>
      <c r="AD237" s="37"/>
      <c r="AE2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7" s="28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H237" s="37">
        <f>IF(OR(NOTA[[#This Row],[QTY]]="",NOTA[[#This Row],[HARGA SATUAN]]="",),"",NOTA[[#This Row],[QTY]]*NOTA[[#This Row],[HARGA SATUAN]])</f>
        <v>9180000</v>
      </c>
      <c r="AI237" s="26">
        <f ca="1">IF(NOTA[[#This Row],[ID_H]]="","",INDEX(NOTA[TANGGAL],MATCH(,INDIRECT(ADDRESS(ROW(NOTA[TANGGAL]),COLUMN(NOTA[TANGGAL]))&amp;":"&amp;ADDRESS(ROW(),COLUMN(NOTA[TANGGAL]))),-1)))</f>
        <v>45465</v>
      </c>
      <c r="AJ237" s="26">
        <f ca="1">IF(NOTA[[#This Row],[ID_H]]="","",INDEX(NOTA[TGL.NOTA],MATCH(,INDIRECT(ADDRESS(ROW(NOTA[TGL.NOTA]),COLUMN(NOTA[TGL.NOTA]))&amp;":"&amp;ADDRESS(ROW(),COLUMN(NOTA[TGL.NOTA]))),-1)))</f>
        <v>45462</v>
      </c>
      <c r="AK237" s="26" t="str">
        <f ca="1">IF(NOTA[[#This Row],[ID_H]]="","",INDEX(NOTA[NO.NOTA],MATCH(NOTA[[#This Row],[ID_H]],NOTA[ID_H],0)))</f>
        <v>JUF415/24</v>
      </c>
      <c r="AL237" s="28" t="str">
        <f ca="1">IF(NOTA[[#This Row],[NAMA BARANG]]="","",INDEX(NOTA[SUPPLIER],MATCH(,INDIRECT(ADDRESS(ROW(NOTA[ID]),COLUMN(NOTA[ID]))&amp;":"&amp;ADDRESS(ROW(),COLUMN(NOTA[ID]))),-1)))</f>
        <v>DB STATIONERY</v>
      </c>
      <c r="AM237" s="28" t="str">
        <f ca="1">IF(NOTA[[#This Row],[ID_H]]="","",IF(NOTA[[#This Row],[FAKTUR]]="",INDIRECT(ADDRESS(ROW()-1,COLUMN())),NOTA[[#This Row],[FAKTUR]]))</f>
        <v>UNTANA</v>
      </c>
      <c r="AN237" s="25" t="str">
        <f ca="1">IF(NOTA[[#This Row],[ID]]="","",COUNTIF(NOTA[ID_H],NOTA[[#This Row],[ID_H]]))</f>
        <v/>
      </c>
      <c r="AO237" s="25">
        <f ca="1">IF(NOTA[[#This Row],[TGL.NOTA]]="",IF(NOTA[[#This Row],[SUPPLIER_H]]="","",AO236),MONTH(NOTA[[#This Row],[TGL.NOTA]]))</f>
        <v>6</v>
      </c>
      <c r="AP237" s="25" t="str">
        <f>LOWER(SUBSTITUTE(SUBSTITUTE(SUBSTITUTE(SUBSTITUTE(SUBSTITUTE(SUBSTITUTE(SUBSTITUTE(SUBSTITUTE(SUBSTITUTE(NOTA[[#This Row],[NAMA BARANG]]," ",),".",""),"-",""),"(",""),")",""),",",""),"/",""),"""",""),"+",""))</f>
        <v>tpbdxlgbd19127</v>
      </c>
      <c r="AQ2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tpbdxlgbd191273060000</v>
      </c>
      <c r="AR2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tpbdxlgbd191273060000</v>
      </c>
      <c r="AS2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7" s="25"/>
      <c r="AU237" s="25">
        <f>IF(NOTA[[#This Row],[CONCAT1]]="","",MATCH(NOTA[[#This Row],[CONCAT1]],[3]!db[NB NOTA_C],0))</f>
        <v>3429</v>
      </c>
      <c r="AV237" s="25" t="b">
        <f>IF(NOTA[[#This Row],[QTY/ CTN]]="","",TRUE)</f>
        <v>1</v>
      </c>
      <c r="AW237" s="25" t="str">
        <f ca="1">IF(NOTA[[#This Row],[ID_H]]="","",IF(NOTA[[#This Row],[Column3]]=TRUE,NOTA[[#This Row],[QTY/ CTN]],INDEX([3]!db[QTY/ CTN],NOTA[[#This Row],[//DB]])))</f>
        <v>180 PCS</v>
      </c>
      <c r="AX2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tpbdxlgbd19127180pcsuntana</v>
      </c>
      <c r="AY237" s="25">
        <f ca="1">IF(NOTA[[#This Row],[ID_H]]="","",MATCH(NOTA[[#This Row],[NB NOTA_C_QTY]],[3]!db[NB NOTA_C_QTY+F],0))</f>
        <v>3429</v>
      </c>
      <c r="AZ237" s="38">
        <f ca="1">IF(NOTA[[#This Row],[NB NOTA_C_QTY]]="","",ROW()-2)</f>
        <v>235</v>
      </c>
    </row>
    <row r="238" spans="1:52" ht="20.100000000000001" customHeight="1">
      <c r="A2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38" s="25">
        <f ca="1">IF(NOTA[[#This Row],[NAMA BARANG]]="","",INDEX(NOTA[ID],MATCH(,INDIRECT(ADDRESS(ROW(NOTA[ID]),COLUMN(NOTA[ID]))&amp;":"&amp;ADDRESS(ROW(),COLUMN(NOTA[ID]))),-1)))</f>
        <v>45</v>
      </c>
      <c r="E238" s="33"/>
      <c r="H238" s="34"/>
      <c r="L238" s="25" t="s">
        <v>449</v>
      </c>
      <c r="M238" s="27">
        <v>3</v>
      </c>
      <c r="N238" s="25">
        <v>540</v>
      </c>
      <c r="O238" s="25" t="s">
        <v>111</v>
      </c>
      <c r="P238" s="28">
        <v>16000</v>
      </c>
      <c r="Q238" s="29"/>
      <c r="R238" s="35" t="s">
        <v>454</v>
      </c>
      <c r="S238" s="36"/>
      <c r="V238" s="37"/>
      <c r="W238" s="32" t="s">
        <v>455</v>
      </c>
      <c r="X238" s="37">
        <f>IF(NOTA[[#This Row],[HARGA/ CTN]]="",NOTA[[#This Row],[JUMLAH_H]],NOTA[[#This Row],[HARGA/ CTN]]*IF(NOTA[[#This Row],[C]]="",0,NOTA[[#This Row],[C]]))</f>
        <v>8640000</v>
      </c>
      <c r="Y238" s="37">
        <f>IF(NOTA[[#This Row],[JUMLAH]]="","",NOTA[[#This Row],[JUMLAH]]*NOTA[[#This Row],[DISC 1]])</f>
        <v>0</v>
      </c>
      <c r="Z238" s="37">
        <f>IF(NOTA[[#This Row],[JUMLAH]]="","",(NOTA[[#This Row],[JUMLAH]]-NOTA[[#This Row],[DISC 1-]])*NOTA[[#This Row],[DISC 2]])</f>
        <v>0</v>
      </c>
      <c r="AA238" s="37">
        <f>IF(NOTA[[#This Row],[JUMLAH]]="","",(NOTA[[#This Row],[JUMLAH]]-NOTA[[#This Row],[DISC 1-]]-NOTA[[#This Row],[DISC 2-]])*NOTA[[#This Row],[DISC 3]])</f>
        <v>0</v>
      </c>
      <c r="AB238" s="37">
        <f>IF(NOTA[[#This Row],[JUMLAH]]="","",NOTA[[#This Row],[DISC 1-]]+NOTA[[#This Row],[DISC 2-]]+NOTA[[#This Row],[DISC 3-]])</f>
        <v>0</v>
      </c>
      <c r="AC238" s="37">
        <f>IF(NOTA[[#This Row],[JUMLAH]]="","",NOTA[[#This Row],[JUMLAH]]-NOTA[[#This Row],[DISC]])</f>
        <v>8640000</v>
      </c>
      <c r="AD238" s="37"/>
      <c r="AE2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8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H238" s="37">
        <f>IF(OR(NOTA[[#This Row],[QTY]]="",NOTA[[#This Row],[HARGA SATUAN]]="",),"",NOTA[[#This Row],[QTY]]*NOTA[[#This Row],[HARGA SATUAN]])</f>
        <v>8640000</v>
      </c>
      <c r="AI238" s="26">
        <f ca="1">IF(NOTA[[#This Row],[ID_H]]="","",INDEX(NOTA[TANGGAL],MATCH(,INDIRECT(ADDRESS(ROW(NOTA[TANGGAL]),COLUMN(NOTA[TANGGAL]))&amp;":"&amp;ADDRESS(ROW(),COLUMN(NOTA[TANGGAL]))),-1)))</f>
        <v>45465</v>
      </c>
      <c r="AJ238" s="26">
        <f ca="1">IF(NOTA[[#This Row],[ID_H]]="","",INDEX(NOTA[TGL.NOTA],MATCH(,INDIRECT(ADDRESS(ROW(NOTA[TGL.NOTA]),COLUMN(NOTA[TGL.NOTA]))&amp;":"&amp;ADDRESS(ROW(),COLUMN(NOTA[TGL.NOTA]))),-1)))</f>
        <v>45462</v>
      </c>
      <c r="AK238" s="26" t="str">
        <f ca="1">IF(NOTA[[#This Row],[ID_H]]="","",INDEX(NOTA[NO.NOTA],MATCH(NOTA[[#This Row],[ID_H]],NOTA[ID_H],0)))</f>
        <v>JUF415/24</v>
      </c>
      <c r="AL238" s="28" t="str">
        <f ca="1">IF(NOTA[[#This Row],[NAMA BARANG]]="","",INDEX(NOTA[SUPPLIER],MATCH(,INDIRECT(ADDRESS(ROW(NOTA[ID]),COLUMN(NOTA[ID]))&amp;":"&amp;ADDRESS(ROW(),COLUMN(NOTA[ID]))),-1)))</f>
        <v>DB STATIONERY</v>
      </c>
      <c r="AM238" s="28" t="str">
        <f ca="1">IF(NOTA[[#This Row],[ID_H]]="","",IF(NOTA[[#This Row],[FAKTUR]]="",INDIRECT(ADDRESS(ROW()-1,COLUMN())),NOTA[[#This Row],[FAKTUR]]))</f>
        <v>UNTANA</v>
      </c>
      <c r="AN238" s="25" t="str">
        <f ca="1">IF(NOTA[[#This Row],[ID]]="","",COUNTIF(NOTA[ID_H],NOTA[[#This Row],[ID_H]]))</f>
        <v/>
      </c>
      <c r="AO238" s="25">
        <f ca="1">IF(NOTA[[#This Row],[TGL.NOTA]]="",IF(NOTA[[#This Row],[SUPPLIER_H]]="","",AO237),MONTH(NOTA[[#This Row],[TGL.NOTA]]))</f>
        <v>6</v>
      </c>
      <c r="AP238" s="25" t="str">
        <f>LOWER(SUBSTITUTE(SUBSTITUTE(SUBSTITUTE(SUBSTITUTE(SUBSTITUTE(SUBSTITUTE(SUBSTITUTE(SUBSTITUTE(SUBSTITUTE(NOTA[[#This Row],[NAMA BARANG]]," ",),".",""),"-",""),"(",""),")",""),",",""),"/",""),"""",""),"+",""))</f>
        <v>tpbdxlgbd19327</v>
      </c>
      <c r="AQ2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tpbdxlgbd193272880000</v>
      </c>
      <c r="AR2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tpbdxlgbd193272880000</v>
      </c>
      <c r="AS2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8" s="25"/>
      <c r="AU238" s="25">
        <f>IF(NOTA[[#This Row],[CONCAT1]]="","",MATCH(NOTA[[#This Row],[CONCAT1]],[3]!db[NB NOTA_C],0))</f>
        <v>3430</v>
      </c>
      <c r="AV238" s="25" t="b">
        <f>IF(NOTA[[#This Row],[QTY/ CTN]]="","",TRUE)</f>
        <v>1</v>
      </c>
      <c r="AW238" s="25" t="str">
        <f ca="1">IF(NOTA[[#This Row],[ID_H]]="","",IF(NOTA[[#This Row],[Column3]]=TRUE,NOTA[[#This Row],[QTY/ CTN]],INDEX([3]!db[QTY/ CTN],NOTA[[#This Row],[//DB]])))</f>
        <v>180 PCS</v>
      </c>
      <c r="AX2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tpbdxlgbd19327180pcsuntana</v>
      </c>
      <c r="AY238" s="25">
        <f ca="1">IF(NOTA[[#This Row],[ID_H]]="","",MATCH(NOTA[[#This Row],[NB NOTA_C_QTY]],[3]!db[NB NOTA_C_QTY+F],0))</f>
        <v>3430</v>
      </c>
      <c r="AZ238" s="38">
        <f ca="1">IF(NOTA[[#This Row],[NB NOTA_C_QTY]]="","",ROW()-2)</f>
        <v>236</v>
      </c>
    </row>
    <row r="239" spans="1:52" ht="20.100000000000001" customHeight="1">
      <c r="A2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39" s="25">
        <f ca="1">IF(NOTA[[#This Row],[NAMA BARANG]]="","",INDEX(NOTA[ID],MATCH(,INDIRECT(ADDRESS(ROW(NOTA[ID]),COLUMN(NOTA[ID]))&amp;":"&amp;ADDRESS(ROW(),COLUMN(NOTA[ID]))),-1)))</f>
        <v>45</v>
      </c>
      <c r="E239" s="33"/>
      <c r="H239" s="34"/>
      <c r="L239" s="25" t="s">
        <v>450</v>
      </c>
      <c r="M239" s="27">
        <v>3</v>
      </c>
      <c r="N239" s="25">
        <v>540</v>
      </c>
      <c r="O239" s="25" t="s">
        <v>111</v>
      </c>
      <c r="P239" s="28">
        <v>16000</v>
      </c>
      <c r="Q239" s="29"/>
      <c r="R239" s="35" t="s">
        <v>454</v>
      </c>
      <c r="S239" s="36"/>
      <c r="V239" s="37"/>
      <c r="W239" s="32" t="s">
        <v>455</v>
      </c>
      <c r="X239" s="37">
        <f>IF(NOTA[[#This Row],[HARGA/ CTN]]="",NOTA[[#This Row],[JUMLAH_H]],NOTA[[#This Row],[HARGA/ CTN]]*IF(NOTA[[#This Row],[C]]="",0,NOTA[[#This Row],[C]]))</f>
        <v>8640000</v>
      </c>
      <c r="Y239" s="37">
        <f>IF(NOTA[[#This Row],[JUMLAH]]="","",NOTA[[#This Row],[JUMLAH]]*NOTA[[#This Row],[DISC 1]])</f>
        <v>0</v>
      </c>
      <c r="Z239" s="37">
        <f>IF(NOTA[[#This Row],[JUMLAH]]="","",(NOTA[[#This Row],[JUMLAH]]-NOTA[[#This Row],[DISC 1-]])*NOTA[[#This Row],[DISC 2]])</f>
        <v>0</v>
      </c>
      <c r="AA239" s="37">
        <f>IF(NOTA[[#This Row],[JUMLAH]]="","",(NOTA[[#This Row],[JUMLAH]]-NOTA[[#This Row],[DISC 1-]]-NOTA[[#This Row],[DISC 2-]])*NOTA[[#This Row],[DISC 3]])</f>
        <v>0</v>
      </c>
      <c r="AB239" s="37">
        <f>IF(NOTA[[#This Row],[JUMLAH]]="","",NOTA[[#This Row],[DISC 1-]]+NOTA[[#This Row],[DISC 2-]]+NOTA[[#This Row],[DISC 3-]])</f>
        <v>0</v>
      </c>
      <c r="AC239" s="37">
        <f>IF(NOTA[[#This Row],[JUMLAH]]="","",NOTA[[#This Row],[JUMLAH]]-NOTA[[#This Row],[DISC]])</f>
        <v>8640000</v>
      </c>
      <c r="AD239" s="37"/>
      <c r="AE2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9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H239" s="37">
        <f>IF(OR(NOTA[[#This Row],[QTY]]="",NOTA[[#This Row],[HARGA SATUAN]]="",),"",NOTA[[#This Row],[QTY]]*NOTA[[#This Row],[HARGA SATUAN]])</f>
        <v>8640000</v>
      </c>
      <c r="AI239" s="26">
        <f ca="1">IF(NOTA[[#This Row],[ID_H]]="","",INDEX(NOTA[TANGGAL],MATCH(,INDIRECT(ADDRESS(ROW(NOTA[TANGGAL]),COLUMN(NOTA[TANGGAL]))&amp;":"&amp;ADDRESS(ROW(),COLUMN(NOTA[TANGGAL]))),-1)))</f>
        <v>45465</v>
      </c>
      <c r="AJ239" s="26">
        <f ca="1">IF(NOTA[[#This Row],[ID_H]]="","",INDEX(NOTA[TGL.NOTA],MATCH(,INDIRECT(ADDRESS(ROW(NOTA[TGL.NOTA]),COLUMN(NOTA[TGL.NOTA]))&amp;":"&amp;ADDRESS(ROW(),COLUMN(NOTA[TGL.NOTA]))),-1)))</f>
        <v>45462</v>
      </c>
      <c r="AK239" s="26" t="str">
        <f ca="1">IF(NOTA[[#This Row],[ID_H]]="","",INDEX(NOTA[NO.NOTA],MATCH(NOTA[[#This Row],[ID_H]],NOTA[ID_H],0)))</f>
        <v>JUF415/24</v>
      </c>
      <c r="AL239" s="28" t="str">
        <f ca="1">IF(NOTA[[#This Row],[NAMA BARANG]]="","",INDEX(NOTA[SUPPLIER],MATCH(,INDIRECT(ADDRESS(ROW(NOTA[ID]),COLUMN(NOTA[ID]))&amp;":"&amp;ADDRESS(ROW(),COLUMN(NOTA[ID]))),-1)))</f>
        <v>DB STATIONERY</v>
      </c>
      <c r="AM239" s="28" t="str">
        <f ca="1">IF(NOTA[[#This Row],[ID_H]]="","",IF(NOTA[[#This Row],[FAKTUR]]="",INDIRECT(ADDRESS(ROW()-1,COLUMN())),NOTA[[#This Row],[FAKTUR]]))</f>
        <v>UNTANA</v>
      </c>
      <c r="AN239" s="25" t="str">
        <f ca="1">IF(NOTA[[#This Row],[ID]]="","",COUNTIF(NOTA[ID_H],NOTA[[#This Row],[ID_H]]))</f>
        <v/>
      </c>
      <c r="AO239" s="25">
        <f ca="1">IF(NOTA[[#This Row],[TGL.NOTA]]="",IF(NOTA[[#This Row],[SUPPLIER_H]]="","",AO238),MONTH(NOTA[[#This Row],[TGL.NOTA]]))</f>
        <v>6</v>
      </c>
      <c r="AP239" s="25" t="str">
        <f>LOWER(SUBSTITUTE(SUBSTITUTE(SUBSTITUTE(SUBSTITUTE(SUBSTITUTE(SUBSTITUTE(SUBSTITUTE(SUBSTITUTE(SUBSTITUTE(NOTA[[#This Row],[NAMA BARANG]]," ",),".",""),"-",""),"(",""),")",""),",",""),"/",""),"""",""),"+",""))</f>
        <v>tpbdxlgbd19426</v>
      </c>
      <c r="AQ2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tpbdxlgbd194262880000</v>
      </c>
      <c r="AR2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tpbdxlgbd194262880000</v>
      </c>
      <c r="AS2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9" s="25"/>
      <c r="AU239" s="25">
        <f>IF(NOTA[[#This Row],[CONCAT1]]="","",MATCH(NOTA[[#This Row],[CONCAT1]],[3]!db[NB NOTA_C],0))</f>
        <v>3431</v>
      </c>
      <c r="AV239" s="25" t="b">
        <f>IF(NOTA[[#This Row],[QTY/ CTN]]="","",TRUE)</f>
        <v>1</v>
      </c>
      <c r="AW239" s="25" t="str">
        <f ca="1">IF(NOTA[[#This Row],[ID_H]]="","",IF(NOTA[[#This Row],[Column3]]=TRUE,NOTA[[#This Row],[QTY/ CTN]],INDEX([3]!db[QTY/ CTN],NOTA[[#This Row],[//DB]])))</f>
        <v>180 PCS</v>
      </c>
      <c r="AX2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tpbdxlgbd19426180pcsuntana</v>
      </c>
      <c r="AY239" s="25">
        <f ca="1">IF(NOTA[[#This Row],[ID_H]]="","",MATCH(NOTA[[#This Row],[NB NOTA_C_QTY]],[3]!db[NB NOTA_C_QTY+F],0))</f>
        <v>3431</v>
      </c>
      <c r="AZ239" s="38">
        <f ca="1">IF(NOTA[[#This Row],[NB NOTA_C_QTY]]="","",ROW()-2)</f>
        <v>237</v>
      </c>
    </row>
    <row r="240" spans="1:52" ht="20.100000000000001" customHeight="1">
      <c r="A2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40" s="25">
        <f ca="1">IF(NOTA[[#This Row],[NAMA BARANG]]="","",INDEX(NOTA[ID],MATCH(,INDIRECT(ADDRESS(ROW(NOTA[ID]),COLUMN(NOTA[ID]))&amp;":"&amp;ADDRESS(ROW(),COLUMN(NOTA[ID]))),-1)))</f>
        <v>45</v>
      </c>
      <c r="E240" s="33"/>
      <c r="H240" s="34"/>
      <c r="L240" s="25" t="s">
        <v>451</v>
      </c>
      <c r="M240" s="27">
        <v>3</v>
      </c>
      <c r="N240" s="25">
        <v>540</v>
      </c>
      <c r="O240" s="25" t="s">
        <v>111</v>
      </c>
      <c r="P240" s="28">
        <v>18500</v>
      </c>
      <c r="Q240" s="29"/>
      <c r="R240" s="35" t="s">
        <v>454</v>
      </c>
      <c r="S240" s="36"/>
      <c r="V240" s="37"/>
      <c r="W240" s="32" t="s">
        <v>455</v>
      </c>
      <c r="X240" s="37">
        <f>IF(NOTA[[#This Row],[HARGA/ CTN]]="",NOTA[[#This Row],[JUMLAH_H]],NOTA[[#This Row],[HARGA/ CTN]]*IF(NOTA[[#This Row],[C]]="",0,NOTA[[#This Row],[C]]))</f>
        <v>9990000</v>
      </c>
      <c r="Y240" s="37">
        <f>IF(NOTA[[#This Row],[JUMLAH]]="","",NOTA[[#This Row],[JUMLAH]]*NOTA[[#This Row],[DISC 1]])</f>
        <v>0</v>
      </c>
      <c r="Z240" s="37">
        <f>IF(NOTA[[#This Row],[JUMLAH]]="","",(NOTA[[#This Row],[JUMLAH]]-NOTA[[#This Row],[DISC 1-]])*NOTA[[#This Row],[DISC 2]])</f>
        <v>0</v>
      </c>
      <c r="AA240" s="37">
        <f>IF(NOTA[[#This Row],[JUMLAH]]="","",(NOTA[[#This Row],[JUMLAH]]-NOTA[[#This Row],[DISC 1-]]-NOTA[[#This Row],[DISC 2-]])*NOTA[[#This Row],[DISC 3]])</f>
        <v>0</v>
      </c>
      <c r="AB240" s="37">
        <f>IF(NOTA[[#This Row],[JUMLAH]]="","",NOTA[[#This Row],[DISC 1-]]+NOTA[[#This Row],[DISC 2-]]+NOTA[[#This Row],[DISC 3-]])</f>
        <v>0</v>
      </c>
      <c r="AC240" s="37">
        <f>IF(NOTA[[#This Row],[JUMLAH]]="","",NOTA[[#This Row],[JUMLAH]]-NOTA[[#This Row],[DISC]])</f>
        <v>9990000</v>
      </c>
      <c r="AD240" s="37"/>
      <c r="AE2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0" s="28">
        <f>IF(NOTA[[#This Row],[NAMA BARANG]]="","",IF(NOTA[[#This Row],[JUMLAH_H]]="",NOTA[[#This Row],[HARGA/ CTN]],NOTA[[#This Row],[QTY]]*NOTA[[#This Row],[HARGA SATUAN]]/IF(ISNUMBER(NOTA[[#This Row],[C]]),NOTA[[#This Row],[C]],1)))</f>
        <v>3330000</v>
      </c>
      <c r="AH240" s="37">
        <f>IF(OR(NOTA[[#This Row],[QTY]]="",NOTA[[#This Row],[HARGA SATUAN]]="",),"",NOTA[[#This Row],[QTY]]*NOTA[[#This Row],[HARGA SATUAN]])</f>
        <v>9990000</v>
      </c>
      <c r="AI240" s="26">
        <f ca="1">IF(NOTA[[#This Row],[ID_H]]="","",INDEX(NOTA[TANGGAL],MATCH(,INDIRECT(ADDRESS(ROW(NOTA[TANGGAL]),COLUMN(NOTA[TANGGAL]))&amp;":"&amp;ADDRESS(ROW(),COLUMN(NOTA[TANGGAL]))),-1)))</f>
        <v>45465</v>
      </c>
      <c r="AJ240" s="26">
        <f ca="1">IF(NOTA[[#This Row],[ID_H]]="","",INDEX(NOTA[TGL.NOTA],MATCH(,INDIRECT(ADDRESS(ROW(NOTA[TGL.NOTA]),COLUMN(NOTA[TGL.NOTA]))&amp;":"&amp;ADDRESS(ROW(),COLUMN(NOTA[TGL.NOTA]))),-1)))</f>
        <v>45462</v>
      </c>
      <c r="AK240" s="26" t="str">
        <f ca="1">IF(NOTA[[#This Row],[ID_H]]="","",INDEX(NOTA[NO.NOTA],MATCH(NOTA[[#This Row],[ID_H]],NOTA[ID_H],0)))</f>
        <v>JUF415/24</v>
      </c>
      <c r="AL240" s="28" t="str">
        <f ca="1">IF(NOTA[[#This Row],[NAMA BARANG]]="","",INDEX(NOTA[SUPPLIER],MATCH(,INDIRECT(ADDRESS(ROW(NOTA[ID]),COLUMN(NOTA[ID]))&amp;":"&amp;ADDRESS(ROW(),COLUMN(NOTA[ID]))),-1)))</f>
        <v>DB STATIONERY</v>
      </c>
      <c r="AM240" s="28" t="str">
        <f ca="1">IF(NOTA[[#This Row],[ID_H]]="","",IF(NOTA[[#This Row],[FAKTUR]]="",INDIRECT(ADDRESS(ROW()-1,COLUMN())),NOTA[[#This Row],[FAKTUR]]))</f>
        <v>UNTANA</v>
      </c>
      <c r="AN240" s="25" t="str">
        <f ca="1">IF(NOTA[[#This Row],[ID]]="","",COUNTIF(NOTA[ID_H],NOTA[[#This Row],[ID_H]]))</f>
        <v/>
      </c>
      <c r="AO240" s="25">
        <f ca="1">IF(NOTA[[#This Row],[TGL.NOTA]]="",IF(NOTA[[#This Row],[SUPPLIER_H]]="","",AO239),MONTH(NOTA[[#This Row],[TGL.NOTA]]))</f>
        <v>6</v>
      </c>
      <c r="AP240" s="25" t="str">
        <f>LOWER(SUBSTITUTE(SUBSTITUTE(SUBSTITUTE(SUBSTITUTE(SUBSTITUTE(SUBSTITUTE(SUBSTITUTE(SUBSTITUTE(SUBSTITUTE(NOTA[[#This Row],[NAMA BARANG]]," ",),".",""),"-",""),"(",""),")",""),",",""),"/",""),"""",""),"+",""))</f>
        <v>tpbdxlgbd93101</v>
      </c>
      <c r="AQ2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tpbdxlgbd931013330000</v>
      </c>
      <c r="AR2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tpbdxlgbd931013330000</v>
      </c>
      <c r="AS2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0" s="25"/>
      <c r="AU240" s="25">
        <f>IF(NOTA[[#This Row],[CONCAT1]]="","",MATCH(NOTA[[#This Row],[CONCAT1]],[3]!db[NB NOTA_C],0))</f>
        <v>3432</v>
      </c>
      <c r="AV240" s="25" t="b">
        <f>IF(NOTA[[#This Row],[QTY/ CTN]]="","",TRUE)</f>
        <v>1</v>
      </c>
      <c r="AW240" s="25" t="str">
        <f ca="1">IF(NOTA[[#This Row],[ID_H]]="","",IF(NOTA[[#This Row],[Column3]]=TRUE,NOTA[[#This Row],[QTY/ CTN]],INDEX([3]!db[QTY/ CTN],NOTA[[#This Row],[//DB]])))</f>
        <v>180 PCS</v>
      </c>
      <c r="AX2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tpbdxlgbd93101180pcsuntana</v>
      </c>
      <c r="AY240" s="25">
        <f ca="1">IF(NOTA[[#This Row],[ID_H]]="","",MATCH(NOTA[[#This Row],[NB NOTA_C_QTY]],[3]!db[NB NOTA_C_QTY+F],0))</f>
        <v>3432</v>
      </c>
      <c r="AZ240" s="38">
        <f ca="1">IF(NOTA[[#This Row],[NB NOTA_C_QTY]]="","",ROW()-2)</f>
        <v>238</v>
      </c>
    </row>
    <row r="241" spans="1:52" ht="20.100000000000001" customHeight="1">
      <c r="A2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41" s="25">
        <f ca="1">IF(NOTA[[#This Row],[NAMA BARANG]]="","",INDEX(NOTA[ID],MATCH(,INDIRECT(ADDRESS(ROW(NOTA[ID]),COLUMN(NOTA[ID]))&amp;":"&amp;ADDRESS(ROW(),COLUMN(NOTA[ID]))),-1)))</f>
        <v>45</v>
      </c>
      <c r="E241" s="33"/>
      <c r="H241" s="34"/>
      <c r="L241" s="25" t="s">
        <v>452</v>
      </c>
      <c r="M241" s="27">
        <v>3</v>
      </c>
      <c r="N241" s="25">
        <v>540</v>
      </c>
      <c r="O241" s="25" t="s">
        <v>111</v>
      </c>
      <c r="P241" s="28">
        <v>23500</v>
      </c>
      <c r="Q241" s="29"/>
      <c r="R241" s="35" t="s">
        <v>454</v>
      </c>
      <c r="S241" s="36"/>
      <c r="V241" s="37"/>
      <c r="W241" s="32" t="s">
        <v>455</v>
      </c>
      <c r="X241" s="37">
        <f>IF(NOTA[[#This Row],[HARGA/ CTN]]="",NOTA[[#This Row],[JUMLAH_H]],NOTA[[#This Row],[HARGA/ CTN]]*IF(NOTA[[#This Row],[C]]="",0,NOTA[[#This Row],[C]]))</f>
        <v>12690000</v>
      </c>
      <c r="Y241" s="37">
        <f>IF(NOTA[[#This Row],[JUMLAH]]="","",NOTA[[#This Row],[JUMLAH]]*NOTA[[#This Row],[DISC 1]])</f>
        <v>0</v>
      </c>
      <c r="Z241" s="37">
        <f>IF(NOTA[[#This Row],[JUMLAH]]="","",(NOTA[[#This Row],[JUMLAH]]-NOTA[[#This Row],[DISC 1-]])*NOTA[[#This Row],[DISC 2]])</f>
        <v>0</v>
      </c>
      <c r="AA241" s="37">
        <f>IF(NOTA[[#This Row],[JUMLAH]]="","",(NOTA[[#This Row],[JUMLAH]]-NOTA[[#This Row],[DISC 1-]]-NOTA[[#This Row],[DISC 2-]])*NOTA[[#This Row],[DISC 3]])</f>
        <v>0</v>
      </c>
      <c r="AB241" s="37">
        <f>IF(NOTA[[#This Row],[JUMLAH]]="","",NOTA[[#This Row],[DISC 1-]]+NOTA[[#This Row],[DISC 2-]]+NOTA[[#This Row],[DISC 3-]])</f>
        <v>0</v>
      </c>
      <c r="AC241" s="37">
        <f>IF(NOTA[[#This Row],[JUMLAH]]="","",NOTA[[#This Row],[JUMLAH]]-NOTA[[#This Row],[DISC]])</f>
        <v>12690000</v>
      </c>
      <c r="AD241" s="37"/>
      <c r="AE2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1" s="28">
        <f>IF(NOTA[[#This Row],[NAMA BARANG]]="","",IF(NOTA[[#This Row],[JUMLAH_H]]="",NOTA[[#This Row],[HARGA/ CTN]],NOTA[[#This Row],[QTY]]*NOTA[[#This Row],[HARGA SATUAN]]/IF(ISNUMBER(NOTA[[#This Row],[C]]),NOTA[[#This Row],[C]],1)))</f>
        <v>4230000</v>
      </c>
      <c r="AH241" s="37">
        <f>IF(OR(NOTA[[#This Row],[QTY]]="",NOTA[[#This Row],[HARGA SATUAN]]="",),"",NOTA[[#This Row],[QTY]]*NOTA[[#This Row],[HARGA SATUAN]])</f>
        <v>12690000</v>
      </c>
      <c r="AI241" s="26">
        <f ca="1">IF(NOTA[[#This Row],[ID_H]]="","",INDEX(NOTA[TANGGAL],MATCH(,INDIRECT(ADDRESS(ROW(NOTA[TANGGAL]),COLUMN(NOTA[TANGGAL]))&amp;":"&amp;ADDRESS(ROW(),COLUMN(NOTA[TANGGAL]))),-1)))</f>
        <v>45465</v>
      </c>
      <c r="AJ241" s="26">
        <f ca="1">IF(NOTA[[#This Row],[ID_H]]="","",INDEX(NOTA[TGL.NOTA],MATCH(,INDIRECT(ADDRESS(ROW(NOTA[TGL.NOTA]),COLUMN(NOTA[TGL.NOTA]))&amp;":"&amp;ADDRESS(ROW(),COLUMN(NOTA[TGL.NOTA]))),-1)))</f>
        <v>45462</v>
      </c>
      <c r="AK241" s="26" t="str">
        <f ca="1">IF(NOTA[[#This Row],[ID_H]]="","",INDEX(NOTA[NO.NOTA],MATCH(NOTA[[#This Row],[ID_H]],NOTA[ID_H],0)))</f>
        <v>JUF415/24</v>
      </c>
      <c r="AL241" s="28" t="str">
        <f ca="1">IF(NOTA[[#This Row],[NAMA BARANG]]="","",INDEX(NOTA[SUPPLIER],MATCH(,INDIRECT(ADDRESS(ROW(NOTA[ID]),COLUMN(NOTA[ID]))&amp;":"&amp;ADDRESS(ROW(),COLUMN(NOTA[ID]))),-1)))</f>
        <v>DB STATIONERY</v>
      </c>
      <c r="AM241" s="28" t="str">
        <f ca="1">IF(NOTA[[#This Row],[ID_H]]="","",IF(NOTA[[#This Row],[FAKTUR]]="",INDIRECT(ADDRESS(ROW()-1,COLUMN())),NOTA[[#This Row],[FAKTUR]]))</f>
        <v>UNTANA</v>
      </c>
      <c r="AN241" s="25" t="str">
        <f ca="1">IF(NOTA[[#This Row],[ID]]="","",COUNTIF(NOTA[ID_H],NOTA[[#This Row],[ID_H]]))</f>
        <v/>
      </c>
      <c r="AO241" s="25">
        <f ca="1">IF(NOTA[[#This Row],[TGL.NOTA]]="",IF(NOTA[[#This Row],[SUPPLIER_H]]="","",AO240),MONTH(NOTA[[#This Row],[TGL.NOTA]]))</f>
        <v>6</v>
      </c>
      <c r="AP241" s="25" t="str">
        <f>LOWER(SUBSTITUTE(SUBSTITUTE(SUBSTITUTE(SUBSTITUTE(SUBSTITUTE(SUBSTITUTE(SUBSTITUTE(SUBSTITUTE(SUBSTITUTE(NOTA[[#This Row],[NAMA BARANG]]," ",),".",""),"-",""),"(",""),")",""),",",""),"/",""),"""",""),"+",""))</f>
        <v>tpbdxlgbd932f</v>
      </c>
      <c r="AQ2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tpbdxlgbd932f4230000</v>
      </c>
      <c r="AR2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tpbdxlgbd932f4230000</v>
      </c>
      <c r="AS2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1" s="25"/>
      <c r="AU241" s="25">
        <f>IF(NOTA[[#This Row],[CONCAT1]]="","",MATCH(NOTA[[#This Row],[CONCAT1]],[3]!db[NB NOTA_C],0))</f>
        <v>3433</v>
      </c>
      <c r="AV241" s="25" t="b">
        <f>IF(NOTA[[#This Row],[QTY/ CTN]]="","",TRUE)</f>
        <v>1</v>
      </c>
      <c r="AW241" s="25" t="str">
        <f ca="1">IF(NOTA[[#This Row],[ID_H]]="","",IF(NOTA[[#This Row],[Column3]]=TRUE,NOTA[[#This Row],[QTY/ CTN]],INDEX([3]!db[QTY/ CTN],NOTA[[#This Row],[//DB]])))</f>
        <v>180 PCS</v>
      </c>
      <c r="AX2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tpbdxlgbd932f180pcsuntana</v>
      </c>
      <c r="AY241" s="25">
        <f ca="1">IF(NOTA[[#This Row],[ID_H]]="","",MATCH(NOTA[[#This Row],[NB NOTA_C_QTY]],[3]!db[NB NOTA_C_QTY+F],0))</f>
        <v>3433</v>
      </c>
      <c r="AZ241" s="38">
        <f ca="1">IF(NOTA[[#This Row],[NB NOTA_C_QTY]]="","",ROW()-2)</f>
        <v>239</v>
      </c>
    </row>
    <row r="242" spans="1:52" ht="20.100000000000001" customHeight="1">
      <c r="A2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42" s="25">
        <f ca="1">IF(NOTA[[#This Row],[NAMA BARANG]]="","",INDEX(NOTA[ID],MATCH(,INDIRECT(ADDRESS(ROW(NOTA[ID]),COLUMN(NOTA[ID]))&amp;":"&amp;ADDRESS(ROW(),COLUMN(NOTA[ID]))),-1)))</f>
        <v>45</v>
      </c>
      <c r="E242" s="33"/>
      <c r="H242" s="34"/>
      <c r="L242" s="25" t="s">
        <v>453</v>
      </c>
      <c r="M242" s="27">
        <v>3</v>
      </c>
      <c r="N242" s="25">
        <v>540</v>
      </c>
      <c r="O242" s="25" t="s">
        <v>111</v>
      </c>
      <c r="P242" s="28">
        <v>11000</v>
      </c>
      <c r="Q242" s="29"/>
      <c r="R242" s="35" t="s">
        <v>454</v>
      </c>
      <c r="S242" s="36"/>
      <c r="V242" s="37">
        <v>1917000</v>
      </c>
      <c r="W242" s="32" t="s">
        <v>455</v>
      </c>
      <c r="X242" s="37">
        <f>IF(NOTA[[#This Row],[HARGA/ CTN]]="",NOTA[[#This Row],[JUMLAH_H]],NOTA[[#This Row],[HARGA/ CTN]]*IF(NOTA[[#This Row],[C]]="",0,NOTA[[#This Row],[C]]))</f>
        <v>5940000</v>
      </c>
      <c r="Y242" s="37">
        <f>IF(NOTA[[#This Row],[JUMLAH]]="","",NOTA[[#This Row],[JUMLAH]]*NOTA[[#This Row],[DISC 1]])</f>
        <v>0</v>
      </c>
      <c r="Z242" s="37">
        <f>IF(NOTA[[#This Row],[JUMLAH]]="","",(NOTA[[#This Row],[JUMLAH]]-NOTA[[#This Row],[DISC 1-]])*NOTA[[#This Row],[DISC 2]])</f>
        <v>0</v>
      </c>
      <c r="AA242" s="37">
        <f>IF(NOTA[[#This Row],[JUMLAH]]="","",(NOTA[[#This Row],[JUMLAH]]-NOTA[[#This Row],[DISC 1-]]-NOTA[[#This Row],[DISC 2-]])*NOTA[[#This Row],[DISC 3]])</f>
        <v>0</v>
      </c>
      <c r="AB242" s="37">
        <f>IF(NOTA[[#This Row],[JUMLAH]]="","",NOTA[[#This Row],[DISC 1-]]+NOTA[[#This Row],[DISC 2-]]+NOTA[[#This Row],[DISC 3-]])</f>
        <v>0</v>
      </c>
      <c r="AC242" s="37">
        <f>IF(NOTA[[#This Row],[JUMLAH]]="","",NOTA[[#This Row],[JUMLAH]]-NOTA[[#This Row],[DISC]])</f>
        <v>5940000</v>
      </c>
      <c r="AD242" s="37"/>
      <c r="AE24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1917000</v>
      </c>
      <c r="AF24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74763000</v>
      </c>
      <c r="AG242" s="28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H242" s="37">
        <f>IF(OR(NOTA[[#This Row],[QTY]]="",NOTA[[#This Row],[HARGA SATUAN]]="",),"",NOTA[[#This Row],[QTY]]*NOTA[[#This Row],[HARGA SATUAN]])</f>
        <v>5940000</v>
      </c>
      <c r="AI242" s="26">
        <f ca="1">IF(NOTA[[#This Row],[ID_H]]="","",INDEX(NOTA[TANGGAL],MATCH(,INDIRECT(ADDRESS(ROW(NOTA[TANGGAL]),COLUMN(NOTA[TANGGAL]))&amp;":"&amp;ADDRESS(ROW(),COLUMN(NOTA[TANGGAL]))),-1)))</f>
        <v>45465</v>
      </c>
      <c r="AJ242" s="26">
        <f ca="1">IF(NOTA[[#This Row],[ID_H]]="","",INDEX(NOTA[TGL.NOTA],MATCH(,INDIRECT(ADDRESS(ROW(NOTA[TGL.NOTA]),COLUMN(NOTA[TGL.NOTA]))&amp;":"&amp;ADDRESS(ROW(),COLUMN(NOTA[TGL.NOTA]))),-1)))</f>
        <v>45462</v>
      </c>
      <c r="AK242" s="26" t="str">
        <f ca="1">IF(NOTA[[#This Row],[ID_H]]="","",INDEX(NOTA[NO.NOTA],MATCH(NOTA[[#This Row],[ID_H]],NOTA[ID_H],0)))</f>
        <v>JUF415/24</v>
      </c>
      <c r="AL242" s="28" t="str">
        <f ca="1">IF(NOTA[[#This Row],[NAMA BARANG]]="","",INDEX(NOTA[SUPPLIER],MATCH(,INDIRECT(ADDRESS(ROW(NOTA[ID]),COLUMN(NOTA[ID]))&amp;":"&amp;ADDRESS(ROW(),COLUMN(NOTA[ID]))),-1)))</f>
        <v>DB STATIONERY</v>
      </c>
      <c r="AM242" s="28" t="str">
        <f ca="1">IF(NOTA[[#This Row],[ID_H]]="","",IF(NOTA[[#This Row],[FAKTUR]]="",INDIRECT(ADDRESS(ROW()-1,COLUMN())),NOTA[[#This Row],[FAKTUR]]))</f>
        <v>UNTANA</v>
      </c>
      <c r="AN242" s="25" t="str">
        <f ca="1">IF(NOTA[[#This Row],[ID]]="","",COUNTIF(NOTA[ID_H],NOTA[[#This Row],[ID_H]]))</f>
        <v/>
      </c>
      <c r="AO242" s="25">
        <f ca="1">IF(NOTA[[#This Row],[TGL.NOTA]]="",IF(NOTA[[#This Row],[SUPPLIER_H]]="","",AO241),MONTH(NOTA[[#This Row],[TGL.NOTA]]))</f>
        <v>6</v>
      </c>
      <c r="AP242" s="25" t="str">
        <f>LOWER(SUBSTITUTE(SUBSTITUTE(SUBSTITUTE(SUBSTITUTE(SUBSTITUTE(SUBSTITUTE(SUBSTITUTE(SUBSTITUTE(SUBSTITUTE(NOTA[[#This Row],[NAMA BARANG]]," ",),".",""),"-",""),"(",""),")",""),",",""),"/",""),"""",""),"+",""))</f>
        <v>tpbdxlgbd33123</v>
      </c>
      <c r="AQ2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tpbdxlgbd331231980000</v>
      </c>
      <c r="AR2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tpbdxlgbd331231980000</v>
      </c>
      <c r="AS2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2" s="25"/>
      <c r="AU242" s="25">
        <f>IF(NOTA[[#This Row],[CONCAT1]]="","",MATCH(NOTA[[#This Row],[CONCAT1]],[3]!db[NB NOTA_C],0))</f>
        <v>3434</v>
      </c>
      <c r="AV242" s="25" t="b">
        <f>IF(NOTA[[#This Row],[QTY/ CTN]]="","",TRUE)</f>
        <v>1</v>
      </c>
      <c r="AW242" s="25" t="str">
        <f ca="1">IF(NOTA[[#This Row],[ID_H]]="","",IF(NOTA[[#This Row],[Column3]]=TRUE,NOTA[[#This Row],[QTY/ CTN]],INDEX([3]!db[QTY/ CTN],NOTA[[#This Row],[//DB]])))</f>
        <v>180 PCS</v>
      </c>
      <c r="AX2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tpbdxlgbd33123180pcsuntana</v>
      </c>
      <c r="AY242" s="25">
        <f ca="1">IF(NOTA[[#This Row],[ID_H]]="","",MATCH(NOTA[[#This Row],[NB NOTA_C_QTY]],[3]!db[NB NOTA_C_QTY+F],0))</f>
        <v>3434</v>
      </c>
      <c r="AZ242" s="38">
        <f ca="1">IF(NOTA[[#This Row],[NB NOTA_C_QTY]]="","",ROW()-2)</f>
        <v>240</v>
      </c>
    </row>
    <row r="243" spans="1:52" ht="20.100000000000001" customHeight="1">
      <c r="A2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43" s="25" t="str">
        <f ca="1">IF(NOTA[[#This Row],[NAMA BARANG]]="","",INDEX(NOTA[ID],MATCH(,INDIRECT(ADDRESS(ROW(NOTA[ID]),COLUMN(NOTA[ID]))&amp;":"&amp;ADDRESS(ROW(),COLUMN(NOTA[ID]))),-1)))</f>
        <v/>
      </c>
      <c r="E243" s="33"/>
      <c r="H243" s="34"/>
      <c r="Q243" s="29"/>
      <c r="R243" s="35"/>
      <c r="S243" s="36"/>
      <c r="V243" s="37"/>
      <c r="W243" s="32"/>
      <c r="X243" s="37" t="str">
        <f>IF(NOTA[[#This Row],[HARGA/ CTN]]="",NOTA[[#This Row],[JUMLAH_H]],NOTA[[#This Row],[HARGA/ CTN]]*IF(NOTA[[#This Row],[C]]="",0,NOTA[[#This Row],[C]]))</f>
        <v/>
      </c>
      <c r="Y243" s="37" t="str">
        <f>IF(NOTA[[#This Row],[JUMLAH]]="","",NOTA[[#This Row],[JUMLAH]]*NOTA[[#This Row],[DISC 1]])</f>
        <v/>
      </c>
      <c r="Z243" s="37" t="str">
        <f>IF(NOTA[[#This Row],[JUMLAH]]="","",(NOTA[[#This Row],[JUMLAH]]-NOTA[[#This Row],[DISC 1-]])*NOTA[[#This Row],[DISC 2]])</f>
        <v/>
      </c>
      <c r="AA243" s="37" t="str">
        <f>IF(NOTA[[#This Row],[JUMLAH]]="","",(NOTA[[#This Row],[JUMLAH]]-NOTA[[#This Row],[DISC 1-]]-NOTA[[#This Row],[DISC 2-]])*NOTA[[#This Row],[DISC 3]])</f>
        <v/>
      </c>
      <c r="AB243" s="37" t="str">
        <f>IF(NOTA[[#This Row],[JUMLAH]]="","",NOTA[[#This Row],[DISC 1-]]+NOTA[[#This Row],[DISC 2-]]+NOTA[[#This Row],[DISC 3-]])</f>
        <v/>
      </c>
      <c r="AC243" s="37" t="str">
        <f>IF(NOTA[[#This Row],[JUMLAH]]="","",NOTA[[#This Row],[JUMLAH]]-NOTA[[#This Row],[DISC]])</f>
        <v/>
      </c>
      <c r="AD243" s="37"/>
      <c r="AE2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3" s="37" t="str">
        <f>IF(OR(NOTA[[#This Row],[QTY]]="",NOTA[[#This Row],[HARGA SATUAN]]="",),"",NOTA[[#This Row],[QTY]]*NOTA[[#This Row],[HARGA SATUAN]])</f>
        <v/>
      </c>
      <c r="AI243" s="26" t="str">
        <f ca="1">IF(NOTA[[#This Row],[ID_H]]="","",INDEX(NOTA[TANGGAL],MATCH(,INDIRECT(ADDRESS(ROW(NOTA[TANGGAL]),COLUMN(NOTA[TANGGAL]))&amp;":"&amp;ADDRESS(ROW(),COLUMN(NOTA[TANGGAL]))),-1)))</f>
        <v/>
      </c>
      <c r="AJ243" s="26" t="str">
        <f ca="1">IF(NOTA[[#This Row],[ID_H]]="","",INDEX(NOTA[TGL.NOTA],MATCH(,INDIRECT(ADDRESS(ROW(NOTA[TGL.NOTA]),COLUMN(NOTA[TGL.NOTA]))&amp;":"&amp;ADDRESS(ROW(),COLUMN(NOTA[TGL.NOTA]))),-1)))</f>
        <v/>
      </c>
      <c r="AK243" s="26" t="str">
        <f ca="1">IF(NOTA[[#This Row],[ID_H]]="","",INDEX(NOTA[NO.NOTA],MATCH(NOTA[[#This Row],[ID_H]],NOTA[ID_H],0)))</f>
        <v/>
      </c>
      <c r="AL243" s="28" t="str">
        <f ca="1">IF(NOTA[[#This Row],[NAMA BARANG]]="","",INDEX(NOTA[SUPPLIER],MATCH(,INDIRECT(ADDRESS(ROW(NOTA[ID]),COLUMN(NOTA[ID]))&amp;":"&amp;ADDRESS(ROW(),COLUMN(NOTA[ID]))),-1)))</f>
        <v/>
      </c>
      <c r="AM243" s="28" t="str">
        <f ca="1">IF(NOTA[[#This Row],[ID_H]]="","",IF(NOTA[[#This Row],[FAKTUR]]="",INDIRECT(ADDRESS(ROW()-1,COLUMN())),NOTA[[#This Row],[FAKTUR]]))</f>
        <v/>
      </c>
      <c r="AN243" s="25" t="str">
        <f ca="1">IF(NOTA[[#This Row],[ID]]="","",COUNTIF(NOTA[ID_H],NOTA[[#This Row],[ID_H]]))</f>
        <v/>
      </c>
      <c r="AO243" s="25" t="str">
        <f ca="1">IF(NOTA[[#This Row],[TGL.NOTA]]="",IF(NOTA[[#This Row],[SUPPLIER_H]]="","",AO242),MONTH(NOTA[[#This Row],[TGL.NOTA]]))</f>
        <v/>
      </c>
      <c r="AP2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3" s="25"/>
      <c r="AU243" s="25" t="str">
        <f>IF(NOTA[[#This Row],[CONCAT1]]="","",MATCH(NOTA[[#This Row],[CONCAT1]],[3]!db[NB NOTA_C],0))</f>
        <v/>
      </c>
      <c r="AV243" s="25" t="str">
        <f>IF(NOTA[[#This Row],[QTY/ CTN]]="","",TRUE)</f>
        <v/>
      </c>
      <c r="AW243" s="25" t="str">
        <f ca="1">IF(NOTA[[#This Row],[ID_H]]="","",IF(NOTA[[#This Row],[Column3]]=TRUE,NOTA[[#This Row],[QTY/ CTN]],INDEX([3]!db[QTY/ CTN],NOTA[[#This Row],[//DB]])))</f>
        <v/>
      </c>
      <c r="AX2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3" s="25" t="str">
        <f ca="1">IF(NOTA[[#This Row],[ID_H]]="","",MATCH(NOTA[[#This Row],[NB NOTA_C_QTY]],[3]!db[NB NOTA_C_QTY+F],0))</f>
        <v/>
      </c>
      <c r="AZ243" s="38" t="str">
        <f ca="1">IF(NOTA[[#This Row],[NB NOTA_C_QTY]]="","",ROW()-2)</f>
        <v/>
      </c>
    </row>
    <row r="244" spans="1:52" ht="20.100000000000001" customHeight="1">
      <c r="A244" s="28">
        <f ca="1">IF(INDIRECT(ADDRESS(ROW()-1,COLUMN(NOTA[[#Headers],[ID]])))="ID",1,IF(NOTA[[#This Row],[FAKTUR]]="","",COUNT(INDIRECT(ADDRESS(ROW(NOTA[ID]),COLUMN(NOTA[ID]))&amp;":"&amp;ADDRESS(ROW()-1,COLUMN(NOTA[ID]))))+1))</f>
        <v>46</v>
      </c>
      <c r="B24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SBS_2206_95B-4</v>
      </c>
      <c r="D244" s="25">
        <f ca="1">IF(NOTA[[#This Row],[NAMA BARANG]]="","",INDEX(NOTA[ID],MATCH(,INDIRECT(ADDRESS(ROW(NOTA[ID]),COLUMN(NOTA[ID]))&amp;":"&amp;ADDRESS(ROW(),COLUMN(NOTA[ID]))),-1)))</f>
        <v>46</v>
      </c>
      <c r="E244" s="33">
        <v>45465</v>
      </c>
      <c r="F244" s="25" t="s">
        <v>186</v>
      </c>
      <c r="G244" s="25" t="s">
        <v>109</v>
      </c>
      <c r="H244" s="34" t="s">
        <v>456</v>
      </c>
      <c r="J244" s="26">
        <v>45455</v>
      </c>
      <c r="L244" s="64" t="s">
        <v>229</v>
      </c>
      <c r="M244" s="27">
        <v>1</v>
      </c>
      <c r="N244" s="25">
        <v>120</v>
      </c>
      <c r="O244" s="25" t="s">
        <v>111</v>
      </c>
      <c r="P244" s="28">
        <v>9500</v>
      </c>
      <c r="Q244" s="29"/>
      <c r="R244" s="35"/>
      <c r="S244" s="36"/>
      <c r="V244" s="37"/>
      <c r="W244" s="32"/>
      <c r="X244" s="37">
        <f>IF(NOTA[[#This Row],[HARGA/ CTN]]="",NOTA[[#This Row],[JUMLAH_H]],NOTA[[#This Row],[HARGA/ CTN]]*IF(NOTA[[#This Row],[C]]="",0,NOTA[[#This Row],[C]]))</f>
        <v>1140000</v>
      </c>
      <c r="Y244" s="37">
        <f>IF(NOTA[[#This Row],[JUMLAH]]="","",NOTA[[#This Row],[JUMLAH]]*NOTA[[#This Row],[DISC 1]])</f>
        <v>0</v>
      </c>
      <c r="Z244" s="37">
        <f>IF(NOTA[[#This Row],[JUMLAH]]="","",(NOTA[[#This Row],[JUMLAH]]-NOTA[[#This Row],[DISC 1-]])*NOTA[[#This Row],[DISC 2]])</f>
        <v>0</v>
      </c>
      <c r="AA244" s="37">
        <f>IF(NOTA[[#This Row],[JUMLAH]]="","",(NOTA[[#This Row],[JUMLAH]]-NOTA[[#This Row],[DISC 1-]]-NOTA[[#This Row],[DISC 2-]])*NOTA[[#This Row],[DISC 3]])</f>
        <v>0</v>
      </c>
      <c r="AB244" s="37">
        <f>IF(NOTA[[#This Row],[JUMLAH]]="","",NOTA[[#This Row],[DISC 1-]]+NOTA[[#This Row],[DISC 2-]]+NOTA[[#This Row],[DISC 3-]])</f>
        <v>0</v>
      </c>
      <c r="AC244" s="37">
        <f>IF(NOTA[[#This Row],[JUMLAH]]="","",NOTA[[#This Row],[JUMLAH]]-NOTA[[#This Row],[DISC]])</f>
        <v>1140000</v>
      </c>
      <c r="AD244" s="37"/>
      <c r="AE2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4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44" s="37">
        <f>IF(OR(NOTA[[#This Row],[QTY]]="",NOTA[[#This Row],[HARGA SATUAN]]="",),"",NOTA[[#This Row],[QTY]]*NOTA[[#This Row],[HARGA SATUAN]])</f>
        <v>1140000</v>
      </c>
      <c r="AI244" s="26">
        <f ca="1">IF(NOTA[[#This Row],[ID_H]]="","",INDEX(NOTA[TANGGAL],MATCH(,INDIRECT(ADDRESS(ROW(NOTA[TANGGAL]),COLUMN(NOTA[TANGGAL]))&amp;":"&amp;ADDRESS(ROW(),COLUMN(NOTA[TANGGAL]))),-1)))</f>
        <v>45465</v>
      </c>
      <c r="AJ244" s="26">
        <f ca="1">IF(NOTA[[#This Row],[ID_H]]="","",INDEX(NOTA[TGL.NOTA],MATCH(,INDIRECT(ADDRESS(ROW(NOTA[TGL.NOTA]),COLUMN(NOTA[TGL.NOTA]))&amp;":"&amp;ADDRESS(ROW(),COLUMN(NOTA[TGL.NOTA]))),-1)))</f>
        <v>45455</v>
      </c>
      <c r="AK244" s="26" t="str">
        <f ca="1">IF(NOTA[[#This Row],[ID_H]]="","",INDEX(NOTA[NO.NOTA],MATCH(NOTA[[#This Row],[ID_H]],NOTA[ID_H],0)))</f>
        <v>WF0295B</v>
      </c>
      <c r="AL244" s="28" t="str">
        <f ca="1">IF(NOTA[[#This Row],[NAMA BARANG]]="","",INDEX(NOTA[SUPPLIER],MATCH(,INDIRECT(ADDRESS(ROW(NOTA[ID]),COLUMN(NOTA[ID]))&amp;":"&amp;ADDRESS(ROW(),COLUMN(NOTA[ID]))),-1)))</f>
        <v>SBS</v>
      </c>
      <c r="AM244" s="28" t="str">
        <f ca="1">IF(NOTA[[#This Row],[ID_H]]="","",IF(NOTA[[#This Row],[FAKTUR]]="",INDIRECT(ADDRESS(ROW()-1,COLUMN())),NOTA[[#This Row],[FAKTUR]]))</f>
        <v>UNTANA</v>
      </c>
      <c r="AN244" s="25">
        <f ca="1">IF(NOTA[[#This Row],[ID]]="","",COUNTIF(NOTA[ID_H],NOTA[[#This Row],[ID_H]]))</f>
        <v>4</v>
      </c>
      <c r="AO244" s="25">
        <f>IF(NOTA[[#This Row],[TGL.NOTA]]="",IF(NOTA[[#This Row],[SUPPLIER_H]]="","",AO243),MONTH(NOTA[[#This Row],[TGL.NOTA]]))</f>
        <v>6</v>
      </c>
      <c r="AP244" s="25" t="str">
        <f>LOWER(SUBSTITUTE(SUBSTITUTE(SUBSTITUTE(SUBSTITUTE(SUBSTITUTE(SUBSTITUTE(SUBSTITUTE(SUBSTITUTE(SUBSTITUTE(NOTA[[#This Row],[NAMA BARANG]]," ",),".",""),"-",""),"(",""),")",""),",",""),"/",""),"""",""),"+",""))</f>
        <v>bindernotefancyslipa51903ctvintage</v>
      </c>
      <c r="AQ2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bindernotefancyslipa51903ctvintage1140000</v>
      </c>
      <c r="AR2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bindernotefancyslipa51903ctvintage1140000</v>
      </c>
      <c r="AS244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SBSUNTANAWF0295B45455bindernotefancyslipa51903ctvintage</v>
      </c>
      <c r="AT244" s="25"/>
      <c r="AU244" s="25">
        <f>IF(NOTA[[#This Row],[CONCAT1]]="","",MATCH(NOTA[[#This Row],[CONCAT1]],[3]!db[NB NOTA_C],0))</f>
        <v>3406</v>
      </c>
      <c r="AV244" s="25" t="str">
        <f>IF(NOTA[[#This Row],[QTY/ CTN]]="","",TRUE)</f>
        <v/>
      </c>
      <c r="AW244" s="25" t="str">
        <f ca="1">IF(NOTA[[#This Row],[ID_H]]="","",IF(NOTA[[#This Row],[Column3]]=TRUE,NOTA[[#This Row],[QTY/ CTN]],INDEX([3]!db[QTY/ CTN],NOTA[[#This Row],[//DB]])))</f>
        <v>120 PCS</v>
      </c>
      <c r="AX2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bindernotefancyslipa51903ctvintage120pcsuntana</v>
      </c>
      <c r="AY244" s="25">
        <f ca="1">IF(NOTA[[#This Row],[ID_H]]="","",MATCH(NOTA[[#This Row],[NB NOTA_C_QTY]],[3]!db[NB NOTA_C_QTY+F],0))</f>
        <v>3406</v>
      </c>
      <c r="AZ244" s="38">
        <f ca="1">IF(NOTA[[#This Row],[NB NOTA_C_QTY]]="","",ROW()-2)</f>
        <v>242</v>
      </c>
    </row>
    <row r="245" spans="1:52" ht="20.100000000000001" customHeight="1">
      <c r="A2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45" s="25">
        <f ca="1">IF(NOTA[[#This Row],[NAMA BARANG]]="","",INDEX(NOTA[ID],MATCH(,INDIRECT(ADDRESS(ROW(NOTA[ID]),COLUMN(NOTA[ID]))&amp;":"&amp;ADDRESS(ROW(),COLUMN(NOTA[ID]))),-1)))</f>
        <v>46</v>
      </c>
      <c r="E245" s="33"/>
      <c r="H245" s="34"/>
      <c r="L245" s="64" t="s">
        <v>230</v>
      </c>
      <c r="M245" s="27">
        <v>1</v>
      </c>
      <c r="N245" s="25">
        <v>120</v>
      </c>
      <c r="O245" s="25" t="s">
        <v>111</v>
      </c>
      <c r="P245" s="28">
        <v>9500</v>
      </c>
      <c r="Q245" s="29"/>
      <c r="R245" s="35"/>
      <c r="S245" s="36"/>
      <c r="V245" s="37"/>
      <c r="W245" s="32"/>
      <c r="X245" s="37">
        <f>IF(NOTA[[#This Row],[HARGA/ CTN]]="",NOTA[[#This Row],[JUMLAH_H]],NOTA[[#This Row],[HARGA/ CTN]]*IF(NOTA[[#This Row],[C]]="",0,NOTA[[#This Row],[C]]))</f>
        <v>1140000</v>
      </c>
      <c r="Y245" s="37">
        <f>IF(NOTA[[#This Row],[JUMLAH]]="","",NOTA[[#This Row],[JUMLAH]]*NOTA[[#This Row],[DISC 1]])</f>
        <v>0</v>
      </c>
      <c r="Z245" s="37">
        <f>IF(NOTA[[#This Row],[JUMLAH]]="","",(NOTA[[#This Row],[JUMLAH]]-NOTA[[#This Row],[DISC 1-]])*NOTA[[#This Row],[DISC 2]])</f>
        <v>0</v>
      </c>
      <c r="AA245" s="37">
        <f>IF(NOTA[[#This Row],[JUMLAH]]="","",(NOTA[[#This Row],[JUMLAH]]-NOTA[[#This Row],[DISC 1-]]-NOTA[[#This Row],[DISC 2-]])*NOTA[[#This Row],[DISC 3]])</f>
        <v>0</v>
      </c>
      <c r="AB245" s="37">
        <f>IF(NOTA[[#This Row],[JUMLAH]]="","",NOTA[[#This Row],[DISC 1-]]+NOTA[[#This Row],[DISC 2-]]+NOTA[[#This Row],[DISC 3-]])</f>
        <v>0</v>
      </c>
      <c r="AC245" s="37">
        <f>IF(NOTA[[#This Row],[JUMLAH]]="","",NOTA[[#This Row],[JUMLAH]]-NOTA[[#This Row],[DISC]])</f>
        <v>1140000</v>
      </c>
      <c r="AD245" s="37"/>
      <c r="AE2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5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45" s="37">
        <f>IF(OR(NOTA[[#This Row],[QTY]]="",NOTA[[#This Row],[HARGA SATUAN]]="",),"",NOTA[[#This Row],[QTY]]*NOTA[[#This Row],[HARGA SATUAN]])</f>
        <v>1140000</v>
      </c>
      <c r="AI245" s="26">
        <f ca="1">IF(NOTA[[#This Row],[ID_H]]="","",INDEX(NOTA[TANGGAL],MATCH(,INDIRECT(ADDRESS(ROW(NOTA[TANGGAL]),COLUMN(NOTA[TANGGAL]))&amp;":"&amp;ADDRESS(ROW(),COLUMN(NOTA[TANGGAL]))),-1)))</f>
        <v>45465</v>
      </c>
      <c r="AJ245" s="26">
        <f ca="1">IF(NOTA[[#This Row],[ID_H]]="","",INDEX(NOTA[TGL.NOTA],MATCH(,INDIRECT(ADDRESS(ROW(NOTA[TGL.NOTA]),COLUMN(NOTA[TGL.NOTA]))&amp;":"&amp;ADDRESS(ROW(),COLUMN(NOTA[TGL.NOTA]))),-1)))</f>
        <v>45455</v>
      </c>
      <c r="AK245" s="26" t="str">
        <f ca="1">IF(NOTA[[#This Row],[ID_H]]="","",INDEX(NOTA[NO.NOTA],MATCH(NOTA[[#This Row],[ID_H]],NOTA[ID_H],0)))</f>
        <v>WF0295B</v>
      </c>
      <c r="AL245" s="28" t="str">
        <f ca="1">IF(NOTA[[#This Row],[NAMA BARANG]]="","",INDEX(NOTA[SUPPLIER],MATCH(,INDIRECT(ADDRESS(ROW(NOTA[ID]),COLUMN(NOTA[ID]))&amp;":"&amp;ADDRESS(ROW(),COLUMN(NOTA[ID]))),-1)))</f>
        <v>SBS</v>
      </c>
      <c r="AM245" s="28" t="str">
        <f ca="1">IF(NOTA[[#This Row],[ID_H]]="","",IF(NOTA[[#This Row],[FAKTUR]]="",INDIRECT(ADDRESS(ROW()-1,COLUMN())),NOTA[[#This Row],[FAKTUR]]))</f>
        <v>UNTANA</v>
      </c>
      <c r="AN245" s="25" t="str">
        <f ca="1">IF(NOTA[[#This Row],[ID]]="","",COUNTIF(NOTA[ID_H],NOTA[[#This Row],[ID_H]]))</f>
        <v/>
      </c>
      <c r="AO245" s="25">
        <f ca="1">IF(NOTA[[#This Row],[TGL.NOTA]]="",IF(NOTA[[#This Row],[SUPPLIER_H]]="","",AO244),MONTH(NOTA[[#This Row],[TGL.NOTA]]))</f>
        <v>6</v>
      </c>
      <c r="AP245" s="25" t="str">
        <f>LOWER(SUBSTITUTE(SUBSTITUTE(SUBSTITUTE(SUBSTITUTE(SUBSTITUTE(SUBSTITUTE(SUBSTITUTE(SUBSTITUTE(SUBSTITUTE(NOTA[[#This Row],[NAMA BARANG]]," ",),".",""),"-",""),"(",""),")",""),",",""),"/",""),"""",""),"+",""))</f>
        <v>bindernotefancyslipa519030coldcity</v>
      </c>
      <c r="AQ2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bindernotefancyslipa519030coldcity1140000</v>
      </c>
      <c r="AR2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bindernotefancyslipa519030coldcity1140000</v>
      </c>
      <c r="AS2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5" s="25"/>
      <c r="AU245" s="25">
        <f>IF(NOTA[[#This Row],[CONCAT1]]="","",MATCH(NOTA[[#This Row],[CONCAT1]],[3]!db[NB NOTA_C],0))</f>
        <v>3407</v>
      </c>
      <c r="AV245" s="25" t="str">
        <f>IF(NOTA[[#This Row],[QTY/ CTN]]="","",TRUE)</f>
        <v/>
      </c>
      <c r="AW245" s="25" t="str">
        <f ca="1">IF(NOTA[[#This Row],[ID_H]]="","",IF(NOTA[[#This Row],[Column3]]=TRUE,NOTA[[#This Row],[QTY/ CTN]],INDEX([3]!db[QTY/ CTN],NOTA[[#This Row],[//DB]])))</f>
        <v>120 PCS</v>
      </c>
      <c r="AX2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bindernotefancyslipa519030coldcity120pcsuntana</v>
      </c>
      <c r="AY245" s="25">
        <f ca="1">IF(NOTA[[#This Row],[ID_H]]="","",MATCH(NOTA[[#This Row],[NB NOTA_C_QTY]],[3]!db[NB NOTA_C_QTY+F],0))</f>
        <v>3407</v>
      </c>
      <c r="AZ245" s="38">
        <f ca="1">IF(NOTA[[#This Row],[NB NOTA_C_QTY]]="","",ROW()-2)</f>
        <v>243</v>
      </c>
    </row>
    <row r="246" spans="1:52" ht="20.100000000000001" customHeight="1">
      <c r="A2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46" s="25">
        <f ca="1">IF(NOTA[[#This Row],[NAMA BARANG]]="","",INDEX(NOTA[ID],MATCH(,INDIRECT(ADDRESS(ROW(NOTA[ID]),COLUMN(NOTA[ID]))&amp;":"&amp;ADDRESS(ROW(),COLUMN(NOTA[ID]))),-1)))</f>
        <v>46</v>
      </c>
      <c r="E246" s="33"/>
      <c r="H246" s="34"/>
      <c r="L246" s="25" t="s">
        <v>231</v>
      </c>
      <c r="M246" s="27">
        <v>1</v>
      </c>
      <c r="N246" s="25">
        <v>120</v>
      </c>
      <c r="O246" s="25" t="s">
        <v>111</v>
      </c>
      <c r="P246" s="28">
        <v>9500</v>
      </c>
      <c r="Q246" s="29"/>
      <c r="R246" s="35"/>
      <c r="S246" s="36"/>
      <c r="V246" s="37"/>
      <c r="W246" s="32"/>
      <c r="X246" s="37">
        <f>IF(NOTA[[#This Row],[HARGA/ CTN]]="",NOTA[[#This Row],[JUMLAH_H]],NOTA[[#This Row],[HARGA/ CTN]]*IF(NOTA[[#This Row],[C]]="",0,NOTA[[#This Row],[C]]))</f>
        <v>1140000</v>
      </c>
      <c r="Y246" s="37">
        <f>IF(NOTA[[#This Row],[JUMLAH]]="","",NOTA[[#This Row],[JUMLAH]]*NOTA[[#This Row],[DISC 1]])</f>
        <v>0</v>
      </c>
      <c r="Z246" s="37">
        <f>IF(NOTA[[#This Row],[JUMLAH]]="","",(NOTA[[#This Row],[JUMLAH]]-NOTA[[#This Row],[DISC 1-]])*NOTA[[#This Row],[DISC 2]])</f>
        <v>0</v>
      </c>
      <c r="AA246" s="37">
        <f>IF(NOTA[[#This Row],[JUMLAH]]="","",(NOTA[[#This Row],[JUMLAH]]-NOTA[[#This Row],[DISC 1-]]-NOTA[[#This Row],[DISC 2-]])*NOTA[[#This Row],[DISC 3]])</f>
        <v>0</v>
      </c>
      <c r="AB246" s="37">
        <f>IF(NOTA[[#This Row],[JUMLAH]]="","",NOTA[[#This Row],[DISC 1-]]+NOTA[[#This Row],[DISC 2-]]+NOTA[[#This Row],[DISC 3-]])</f>
        <v>0</v>
      </c>
      <c r="AC246" s="37">
        <f>IF(NOTA[[#This Row],[JUMLAH]]="","",NOTA[[#This Row],[JUMLAH]]-NOTA[[#This Row],[DISC]])</f>
        <v>1140000</v>
      </c>
      <c r="AD246" s="37"/>
      <c r="AE2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6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46" s="37">
        <f>IF(OR(NOTA[[#This Row],[QTY]]="",NOTA[[#This Row],[HARGA SATUAN]]="",),"",NOTA[[#This Row],[QTY]]*NOTA[[#This Row],[HARGA SATUAN]])</f>
        <v>1140000</v>
      </c>
      <c r="AI246" s="26">
        <f ca="1">IF(NOTA[[#This Row],[ID_H]]="","",INDEX(NOTA[TANGGAL],MATCH(,INDIRECT(ADDRESS(ROW(NOTA[TANGGAL]),COLUMN(NOTA[TANGGAL]))&amp;":"&amp;ADDRESS(ROW(),COLUMN(NOTA[TANGGAL]))),-1)))</f>
        <v>45465</v>
      </c>
      <c r="AJ246" s="26">
        <f ca="1">IF(NOTA[[#This Row],[ID_H]]="","",INDEX(NOTA[TGL.NOTA],MATCH(,INDIRECT(ADDRESS(ROW(NOTA[TGL.NOTA]),COLUMN(NOTA[TGL.NOTA]))&amp;":"&amp;ADDRESS(ROW(),COLUMN(NOTA[TGL.NOTA]))),-1)))</f>
        <v>45455</v>
      </c>
      <c r="AK246" s="26" t="str">
        <f ca="1">IF(NOTA[[#This Row],[ID_H]]="","",INDEX(NOTA[NO.NOTA],MATCH(NOTA[[#This Row],[ID_H]],NOTA[ID_H],0)))</f>
        <v>WF0295B</v>
      </c>
      <c r="AL246" s="28" t="str">
        <f ca="1">IF(NOTA[[#This Row],[NAMA BARANG]]="","",INDEX(NOTA[SUPPLIER],MATCH(,INDIRECT(ADDRESS(ROW(NOTA[ID]),COLUMN(NOTA[ID]))&amp;":"&amp;ADDRESS(ROW(),COLUMN(NOTA[ID]))),-1)))</f>
        <v>SBS</v>
      </c>
      <c r="AM246" s="28" t="str">
        <f ca="1">IF(NOTA[[#This Row],[ID_H]]="","",IF(NOTA[[#This Row],[FAKTUR]]="",INDIRECT(ADDRESS(ROW()-1,COLUMN())),NOTA[[#This Row],[FAKTUR]]))</f>
        <v>UNTANA</v>
      </c>
      <c r="AN246" s="25" t="str">
        <f ca="1">IF(NOTA[[#This Row],[ID]]="","",COUNTIF(NOTA[ID_H],NOTA[[#This Row],[ID_H]]))</f>
        <v/>
      </c>
      <c r="AO246" s="25">
        <f ca="1">IF(NOTA[[#This Row],[TGL.NOTA]]="",IF(NOTA[[#This Row],[SUPPLIER_H]]="","",AO245),MONTH(NOTA[[#This Row],[TGL.NOTA]]))</f>
        <v>6</v>
      </c>
      <c r="AP246" s="25" t="str">
        <f>LOWER(SUBSTITUTE(SUBSTITUTE(SUBSTITUTE(SUBSTITUTE(SUBSTITUTE(SUBSTITUTE(SUBSTITUTE(SUBSTITUTE(SUBSTITUTE(NOTA[[#This Row],[NAMA BARANG]]," ",),".",""),"-",""),"(",""),")",""),",",""),"/",""),"""",""),"+",""))</f>
        <v>bindernotefancyslipa51903sssky</v>
      </c>
      <c r="AQ2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bindernotefancyslipa51903sssky1140000</v>
      </c>
      <c r="AR2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bindernotefancyslipa51903sssky1140000</v>
      </c>
      <c r="AS2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6" s="25"/>
      <c r="AU246" s="25">
        <f>IF(NOTA[[#This Row],[CONCAT1]]="","",MATCH(NOTA[[#This Row],[CONCAT1]],[3]!db[NB NOTA_C],0))</f>
        <v>3408</v>
      </c>
      <c r="AV246" s="25" t="str">
        <f>IF(NOTA[[#This Row],[QTY/ CTN]]="","",TRUE)</f>
        <v/>
      </c>
      <c r="AW246" s="25" t="str">
        <f ca="1">IF(NOTA[[#This Row],[ID_H]]="","",IF(NOTA[[#This Row],[Column3]]=TRUE,NOTA[[#This Row],[QTY/ CTN]],INDEX([3]!db[QTY/ CTN],NOTA[[#This Row],[//DB]])))</f>
        <v>120 PCS</v>
      </c>
      <c r="AX2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bindernotefancyslipa51903sssky120pcsuntana</v>
      </c>
      <c r="AY246" s="25">
        <f ca="1">IF(NOTA[[#This Row],[ID_H]]="","",MATCH(NOTA[[#This Row],[NB NOTA_C_QTY]],[3]!db[NB NOTA_C_QTY+F],0))</f>
        <v>3408</v>
      </c>
      <c r="AZ246" s="38">
        <f ca="1">IF(NOTA[[#This Row],[NB NOTA_C_QTY]]="","",ROW()-2)</f>
        <v>244</v>
      </c>
    </row>
    <row r="247" spans="1:52" ht="20.100000000000001" customHeight="1">
      <c r="A2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47" s="25">
        <f ca="1">IF(NOTA[[#This Row],[NAMA BARANG]]="","",INDEX(NOTA[ID],MATCH(,INDIRECT(ADDRESS(ROW(NOTA[ID]),COLUMN(NOTA[ID]))&amp;":"&amp;ADDRESS(ROW(),COLUMN(NOTA[ID]))),-1)))</f>
        <v>46</v>
      </c>
      <c r="E247" s="33"/>
      <c r="H247" s="34"/>
      <c r="L247" s="64" t="s">
        <v>232</v>
      </c>
      <c r="M247" s="27">
        <v>3</v>
      </c>
      <c r="N247" s="25">
        <v>360</v>
      </c>
      <c r="O247" s="25" t="s">
        <v>111</v>
      </c>
      <c r="P247" s="28">
        <v>9500</v>
      </c>
      <c r="Q247" s="29"/>
      <c r="R247" s="35"/>
      <c r="S247" s="36"/>
      <c r="V247" s="37"/>
      <c r="W247" s="32"/>
      <c r="X247" s="37">
        <f>IF(NOTA[[#This Row],[HARGA/ CTN]]="",NOTA[[#This Row],[JUMLAH_H]],NOTA[[#This Row],[HARGA/ CTN]]*IF(NOTA[[#This Row],[C]]="",0,NOTA[[#This Row],[C]]))</f>
        <v>3420000</v>
      </c>
      <c r="Y247" s="37">
        <f>IF(NOTA[[#This Row],[JUMLAH]]="","",NOTA[[#This Row],[JUMLAH]]*NOTA[[#This Row],[DISC 1]])</f>
        <v>0</v>
      </c>
      <c r="Z247" s="37">
        <f>IF(NOTA[[#This Row],[JUMLAH]]="","",(NOTA[[#This Row],[JUMLAH]]-NOTA[[#This Row],[DISC 1-]])*NOTA[[#This Row],[DISC 2]])</f>
        <v>0</v>
      </c>
      <c r="AA247" s="37">
        <f>IF(NOTA[[#This Row],[JUMLAH]]="","",(NOTA[[#This Row],[JUMLAH]]-NOTA[[#This Row],[DISC 1-]]-NOTA[[#This Row],[DISC 2-]])*NOTA[[#This Row],[DISC 3]])</f>
        <v>0</v>
      </c>
      <c r="AB247" s="37">
        <f>IF(NOTA[[#This Row],[JUMLAH]]="","",NOTA[[#This Row],[DISC 1-]]+NOTA[[#This Row],[DISC 2-]]+NOTA[[#This Row],[DISC 3-]])</f>
        <v>0</v>
      </c>
      <c r="AC247" s="37">
        <f>IF(NOTA[[#This Row],[JUMLAH]]="","",NOTA[[#This Row],[JUMLAH]]-NOTA[[#This Row],[DISC]])</f>
        <v>3420000</v>
      </c>
      <c r="AD247" s="37"/>
      <c r="AE24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4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6840000</v>
      </c>
      <c r="AG247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47" s="37">
        <f>IF(OR(NOTA[[#This Row],[QTY]]="",NOTA[[#This Row],[HARGA SATUAN]]="",),"",NOTA[[#This Row],[QTY]]*NOTA[[#This Row],[HARGA SATUAN]])</f>
        <v>3420000</v>
      </c>
      <c r="AI247" s="26">
        <f ca="1">IF(NOTA[[#This Row],[ID_H]]="","",INDEX(NOTA[TANGGAL],MATCH(,INDIRECT(ADDRESS(ROW(NOTA[TANGGAL]),COLUMN(NOTA[TANGGAL]))&amp;":"&amp;ADDRESS(ROW(),COLUMN(NOTA[TANGGAL]))),-1)))</f>
        <v>45465</v>
      </c>
      <c r="AJ247" s="26">
        <f ca="1">IF(NOTA[[#This Row],[ID_H]]="","",INDEX(NOTA[TGL.NOTA],MATCH(,INDIRECT(ADDRESS(ROW(NOTA[TGL.NOTA]),COLUMN(NOTA[TGL.NOTA]))&amp;":"&amp;ADDRESS(ROW(),COLUMN(NOTA[TGL.NOTA]))),-1)))</f>
        <v>45455</v>
      </c>
      <c r="AK247" s="26" t="str">
        <f ca="1">IF(NOTA[[#This Row],[ID_H]]="","",INDEX(NOTA[NO.NOTA],MATCH(NOTA[[#This Row],[ID_H]],NOTA[ID_H],0)))</f>
        <v>WF0295B</v>
      </c>
      <c r="AL247" s="28" t="str">
        <f ca="1">IF(NOTA[[#This Row],[NAMA BARANG]]="","",INDEX(NOTA[SUPPLIER],MATCH(,INDIRECT(ADDRESS(ROW(NOTA[ID]),COLUMN(NOTA[ID]))&amp;":"&amp;ADDRESS(ROW(),COLUMN(NOTA[ID]))),-1)))</f>
        <v>SBS</v>
      </c>
      <c r="AM247" s="28" t="str">
        <f ca="1">IF(NOTA[[#This Row],[ID_H]]="","",IF(NOTA[[#This Row],[FAKTUR]]="",INDIRECT(ADDRESS(ROW()-1,COLUMN())),NOTA[[#This Row],[FAKTUR]]))</f>
        <v>UNTANA</v>
      </c>
      <c r="AN247" s="25" t="str">
        <f ca="1">IF(NOTA[[#This Row],[ID]]="","",COUNTIF(NOTA[ID_H],NOTA[[#This Row],[ID_H]]))</f>
        <v/>
      </c>
      <c r="AO247" s="25">
        <f ca="1">IF(NOTA[[#This Row],[TGL.NOTA]]="",IF(NOTA[[#This Row],[SUPPLIER_H]]="","",AO246),MONTH(NOTA[[#This Row],[TGL.NOTA]]))</f>
        <v>6</v>
      </c>
      <c r="AP247" s="25" t="str">
        <f>LOWER(SUBSTITUTE(SUBSTITUTE(SUBSTITUTE(SUBSTITUTE(SUBSTITUTE(SUBSTITUTE(SUBSTITUTE(SUBSTITUTE(SUBSTITUTE(NOTA[[#This Row],[NAMA BARANG]]," ",),".",""),"-",""),"(",""),")",""),",",""),"/",""),"""",""),"+",""))</f>
        <v>bindernotefancyslipa5sf1925kmsr</v>
      </c>
      <c r="AQ2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bindernotefancyslipa5sf1925kmsr1140000</v>
      </c>
      <c r="AR2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bindernotefancyslipa5sf1925kmsr1140000</v>
      </c>
      <c r="AS2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7" s="25"/>
      <c r="AU247" s="25">
        <f>IF(NOTA[[#This Row],[CONCAT1]]="","",MATCH(NOTA[[#This Row],[CONCAT1]],[3]!db[NB NOTA_C],0))</f>
        <v>3410</v>
      </c>
      <c r="AV247" s="25" t="str">
        <f>IF(NOTA[[#This Row],[QTY/ CTN]]="","",TRUE)</f>
        <v/>
      </c>
      <c r="AW247" s="25" t="str">
        <f ca="1">IF(NOTA[[#This Row],[ID_H]]="","",IF(NOTA[[#This Row],[Column3]]=TRUE,NOTA[[#This Row],[QTY/ CTN]],INDEX([3]!db[QTY/ CTN],NOTA[[#This Row],[//DB]])))</f>
        <v>120 PCS</v>
      </c>
      <c r="AX2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bindernotefancyslipa5sf1925kmsr120pcsuntana</v>
      </c>
      <c r="AY247" s="25">
        <f ca="1">IF(NOTA[[#This Row],[ID_H]]="","",MATCH(NOTA[[#This Row],[NB NOTA_C_QTY]],[3]!db[NB NOTA_C_QTY+F],0))</f>
        <v>3410</v>
      </c>
      <c r="AZ247" s="38">
        <f ca="1">IF(NOTA[[#This Row],[NB NOTA_C_QTY]]="","",ROW()-2)</f>
        <v>245</v>
      </c>
    </row>
    <row r="248" spans="1:52" ht="20.100000000000001" customHeight="1">
      <c r="A2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48" s="25" t="str">
        <f ca="1">IF(NOTA[[#This Row],[NAMA BARANG]]="","",INDEX(NOTA[ID],MATCH(,INDIRECT(ADDRESS(ROW(NOTA[ID]),COLUMN(NOTA[ID]))&amp;":"&amp;ADDRESS(ROW(),COLUMN(NOTA[ID]))),-1)))</f>
        <v/>
      </c>
      <c r="E248" s="33"/>
      <c r="H248" s="34"/>
      <c r="Q248" s="29"/>
      <c r="R248" s="35"/>
      <c r="S248" s="36"/>
      <c r="V248" s="37"/>
      <c r="W248" s="32"/>
      <c r="X248" s="37" t="str">
        <f>IF(NOTA[[#This Row],[HARGA/ CTN]]="",NOTA[[#This Row],[JUMLAH_H]],NOTA[[#This Row],[HARGA/ CTN]]*IF(NOTA[[#This Row],[C]]="",0,NOTA[[#This Row],[C]]))</f>
        <v/>
      </c>
      <c r="Y248" s="37" t="str">
        <f>IF(NOTA[[#This Row],[JUMLAH]]="","",NOTA[[#This Row],[JUMLAH]]*NOTA[[#This Row],[DISC 1]])</f>
        <v/>
      </c>
      <c r="Z248" s="37" t="str">
        <f>IF(NOTA[[#This Row],[JUMLAH]]="","",(NOTA[[#This Row],[JUMLAH]]-NOTA[[#This Row],[DISC 1-]])*NOTA[[#This Row],[DISC 2]])</f>
        <v/>
      </c>
      <c r="AA248" s="37" t="str">
        <f>IF(NOTA[[#This Row],[JUMLAH]]="","",(NOTA[[#This Row],[JUMLAH]]-NOTA[[#This Row],[DISC 1-]]-NOTA[[#This Row],[DISC 2-]])*NOTA[[#This Row],[DISC 3]])</f>
        <v/>
      </c>
      <c r="AB248" s="37" t="str">
        <f>IF(NOTA[[#This Row],[JUMLAH]]="","",NOTA[[#This Row],[DISC 1-]]+NOTA[[#This Row],[DISC 2-]]+NOTA[[#This Row],[DISC 3-]])</f>
        <v/>
      </c>
      <c r="AC248" s="37" t="str">
        <f>IF(NOTA[[#This Row],[JUMLAH]]="","",NOTA[[#This Row],[JUMLAH]]-NOTA[[#This Row],[DISC]])</f>
        <v/>
      </c>
      <c r="AD248" s="37"/>
      <c r="AE2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8" s="37" t="str">
        <f>IF(OR(NOTA[[#This Row],[QTY]]="",NOTA[[#This Row],[HARGA SATUAN]]="",),"",NOTA[[#This Row],[QTY]]*NOTA[[#This Row],[HARGA SATUAN]])</f>
        <v/>
      </c>
      <c r="AI248" s="26" t="str">
        <f ca="1">IF(NOTA[[#This Row],[ID_H]]="","",INDEX(NOTA[TANGGAL],MATCH(,INDIRECT(ADDRESS(ROW(NOTA[TANGGAL]),COLUMN(NOTA[TANGGAL]))&amp;":"&amp;ADDRESS(ROW(),COLUMN(NOTA[TANGGAL]))),-1)))</f>
        <v/>
      </c>
      <c r="AJ248" s="26" t="str">
        <f ca="1">IF(NOTA[[#This Row],[ID_H]]="","",INDEX(NOTA[TGL.NOTA],MATCH(,INDIRECT(ADDRESS(ROW(NOTA[TGL.NOTA]),COLUMN(NOTA[TGL.NOTA]))&amp;":"&amp;ADDRESS(ROW(),COLUMN(NOTA[TGL.NOTA]))),-1)))</f>
        <v/>
      </c>
      <c r="AK248" s="26" t="str">
        <f ca="1">IF(NOTA[[#This Row],[ID_H]]="","",INDEX(NOTA[NO.NOTA],MATCH(NOTA[[#This Row],[ID_H]],NOTA[ID_H],0)))</f>
        <v/>
      </c>
      <c r="AL248" s="28" t="str">
        <f ca="1">IF(NOTA[[#This Row],[NAMA BARANG]]="","",INDEX(NOTA[SUPPLIER],MATCH(,INDIRECT(ADDRESS(ROW(NOTA[ID]),COLUMN(NOTA[ID]))&amp;":"&amp;ADDRESS(ROW(),COLUMN(NOTA[ID]))),-1)))</f>
        <v/>
      </c>
      <c r="AM248" s="28" t="str">
        <f ca="1">IF(NOTA[[#This Row],[ID_H]]="","",IF(NOTA[[#This Row],[FAKTUR]]="",INDIRECT(ADDRESS(ROW()-1,COLUMN())),NOTA[[#This Row],[FAKTUR]]))</f>
        <v/>
      </c>
      <c r="AN248" s="25" t="str">
        <f ca="1">IF(NOTA[[#This Row],[ID]]="","",COUNTIF(NOTA[ID_H],NOTA[[#This Row],[ID_H]]))</f>
        <v/>
      </c>
      <c r="AO248" s="25" t="str">
        <f ca="1">IF(NOTA[[#This Row],[TGL.NOTA]]="",IF(NOTA[[#This Row],[SUPPLIER_H]]="","",AO247),MONTH(NOTA[[#This Row],[TGL.NOTA]]))</f>
        <v/>
      </c>
      <c r="AP2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8" s="25"/>
      <c r="AU248" s="25" t="str">
        <f>IF(NOTA[[#This Row],[CONCAT1]]="","",MATCH(NOTA[[#This Row],[CONCAT1]],[3]!db[NB NOTA_C],0))</f>
        <v/>
      </c>
      <c r="AV248" s="25" t="str">
        <f>IF(NOTA[[#This Row],[QTY/ CTN]]="","",TRUE)</f>
        <v/>
      </c>
      <c r="AW248" s="25" t="str">
        <f ca="1">IF(NOTA[[#This Row],[ID_H]]="","",IF(NOTA[[#This Row],[Column3]]=TRUE,NOTA[[#This Row],[QTY/ CTN]],INDEX([3]!db[QTY/ CTN],NOTA[[#This Row],[//DB]])))</f>
        <v/>
      </c>
      <c r="AX2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8" s="25" t="str">
        <f ca="1">IF(NOTA[[#This Row],[ID_H]]="","",MATCH(NOTA[[#This Row],[NB NOTA_C_QTY]],[3]!db[NB NOTA_C_QTY+F],0))</f>
        <v/>
      </c>
      <c r="AZ248" s="38" t="str">
        <f ca="1">IF(NOTA[[#This Row],[NB NOTA_C_QTY]]="","",ROW()-2)</f>
        <v/>
      </c>
    </row>
    <row r="249" spans="1:52" ht="20.100000000000001" customHeight="1">
      <c r="A249" s="28">
        <f ca="1">IF(INDIRECT(ADDRESS(ROW()-1,COLUMN(NOTA[[#Headers],[ID]])))="ID",1,IF(NOTA[[#This Row],[FAKTUR]]="","",COUNT(INDIRECT(ADDRESS(ROW(NOTA[ID]),COLUMN(NOTA[ID]))&amp;":"&amp;ADDRESS(ROW()-1,COLUMN(NOTA[ID]))))+1))</f>
        <v>47</v>
      </c>
      <c r="B24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SBS_2206_0B1-2</v>
      </c>
      <c r="D249" s="25">
        <f ca="1">IF(NOTA[[#This Row],[NAMA BARANG]]="","",INDEX(NOTA[ID],MATCH(,INDIRECT(ADDRESS(ROW(NOTA[ID]),COLUMN(NOTA[ID]))&amp;":"&amp;ADDRESS(ROW(),COLUMN(NOTA[ID]))),-1)))</f>
        <v>47</v>
      </c>
      <c r="E249" s="33"/>
      <c r="F249" s="25" t="s">
        <v>186</v>
      </c>
      <c r="G249" s="25" t="s">
        <v>109</v>
      </c>
      <c r="H249" s="34" t="s">
        <v>457</v>
      </c>
      <c r="J249" s="26">
        <v>45456</v>
      </c>
      <c r="L249" s="25" t="s">
        <v>458</v>
      </c>
      <c r="M249" s="27">
        <v>8</v>
      </c>
      <c r="N249" s="25">
        <v>768</v>
      </c>
      <c r="O249" s="25" t="s">
        <v>111</v>
      </c>
      <c r="P249" s="28">
        <v>18950</v>
      </c>
      <c r="Q249" s="29"/>
      <c r="R249" s="35"/>
      <c r="S249" s="36"/>
      <c r="V249" s="37"/>
      <c r="W249" s="32"/>
      <c r="X249" s="37">
        <f>IF(NOTA[[#This Row],[HARGA/ CTN]]="",NOTA[[#This Row],[JUMLAH_H]],NOTA[[#This Row],[HARGA/ CTN]]*IF(NOTA[[#This Row],[C]]="",0,NOTA[[#This Row],[C]]))</f>
        <v>14553600</v>
      </c>
      <c r="Y249" s="37">
        <f>IF(NOTA[[#This Row],[JUMLAH]]="","",NOTA[[#This Row],[JUMLAH]]*NOTA[[#This Row],[DISC 1]])</f>
        <v>0</v>
      </c>
      <c r="Z249" s="37">
        <f>IF(NOTA[[#This Row],[JUMLAH]]="","",(NOTA[[#This Row],[JUMLAH]]-NOTA[[#This Row],[DISC 1-]])*NOTA[[#This Row],[DISC 2]])</f>
        <v>0</v>
      </c>
      <c r="AA249" s="37">
        <f>IF(NOTA[[#This Row],[JUMLAH]]="","",(NOTA[[#This Row],[JUMLAH]]-NOTA[[#This Row],[DISC 1-]]-NOTA[[#This Row],[DISC 2-]])*NOTA[[#This Row],[DISC 3]])</f>
        <v>0</v>
      </c>
      <c r="AB249" s="37">
        <f>IF(NOTA[[#This Row],[JUMLAH]]="","",NOTA[[#This Row],[DISC 1-]]+NOTA[[#This Row],[DISC 2-]]+NOTA[[#This Row],[DISC 3-]])</f>
        <v>0</v>
      </c>
      <c r="AC249" s="37">
        <f>IF(NOTA[[#This Row],[JUMLAH]]="","",NOTA[[#This Row],[JUMLAH]]-NOTA[[#This Row],[DISC]])</f>
        <v>14553600</v>
      </c>
      <c r="AD249" s="37"/>
      <c r="AE2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9" s="28">
        <f>IF(NOTA[[#This Row],[NAMA BARANG]]="","",IF(NOTA[[#This Row],[JUMLAH_H]]="",NOTA[[#This Row],[HARGA/ CTN]],NOTA[[#This Row],[QTY]]*NOTA[[#This Row],[HARGA SATUAN]]/IF(ISNUMBER(NOTA[[#This Row],[C]]),NOTA[[#This Row],[C]],1)))</f>
        <v>1819200</v>
      </c>
      <c r="AH249" s="37">
        <f>IF(OR(NOTA[[#This Row],[QTY]]="",NOTA[[#This Row],[HARGA SATUAN]]="",),"",NOTA[[#This Row],[QTY]]*NOTA[[#This Row],[HARGA SATUAN]])</f>
        <v>14553600</v>
      </c>
      <c r="AI249" s="26">
        <f ca="1">IF(NOTA[[#This Row],[ID_H]]="","",INDEX(NOTA[TANGGAL],MATCH(,INDIRECT(ADDRESS(ROW(NOTA[TANGGAL]),COLUMN(NOTA[TANGGAL]))&amp;":"&amp;ADDRESS(ROW(),COLUMN(NOTA[TANGGAL]))),-1)))</f>
        <v>45465</v>
      </c>
      <c r="AJ249" s="26">
        <f ca="1">IF(NOTA[[#This Row],[ID_H]]="","",INDEX(NOTA[TGL.NOTA],MATCH(,INDIRECT(ADDRESS(ROW(NOTA[TGL.NOTA]),COLUMN(NOTA[TGL.NOTA]))&amp;":"&amp;ADDRESS(ROW(),COLUMN(NOTA[TGL.NOTA]))),-1)))</f>
        <v>45456</v>
      </c>
      <c r="AK249" s="26" t="str">
        <f ca="1">IF(NOTA[[#This Row],[ID_H]]="","",INDEX(NOTA[NO.NOTA],MATCH(NOTA[[#This Row],[ID_H]],NOTA[ID_H],0)))</f>
        <v>WF0330B1</v>
      </c>
      <c r="AL249" s="28" t="str">
        <f ca="1">IF(NOTA[[#This Row],[NAMA BARANG]]="","",INDEX(NOTA[SUPPLIER],MATCH(,INDIRECT(ADDRESS(ROW(NOTA[ID]),COLUMN(NOTA[ID]))&amp;":"&amp;ADDRESS(ROW(),COLUMN(NOTA[ID]))),-1)))</f>
        <v>SBS</v>
      </c>
      <c r="AM249" s="28" t="str">
        <f ca="1">IF(NOTA[[#This Row],[ID_H]]="","",IF(NOTA[[#This Row],[FAKTUR]]="",INDIRECT(ADDRESS(ROW()-1,COLUMN())),NOTA[[#This Row],[FAKTUR]]))</f>
        <v>UNTANA</v>
      </c>
      <c r="AN249" s="25">
        <f ca="1">IF(NOTA[[#This Row],[ID]]="","",COUNTIF(NOTA[ID_H],NOTA[[#This Row],[ID_H]]))</f>
        <v>2</v>
      </c>
      <c r="AO249" s="25">
        <f>IF(NOTA[[#This Row],[TGL.NOTA]]="",IF(NOTA[[#This Row],[SUPPLIER_H]]="","",AO248),MONTH(NOTA[[#This Row],[TGL.NOTA]]))</f>
        <v>6</v>
      </c>
      <c r="AP249" s="25" t="str">
        <f>LOWER(SUBSTITUTE(SUBSTITUTE(SUBSTITUTE(SUBSTITUTE(SUBSTITUTE(SUBSTITUTE(SUBSTITUTE(SUBSTITUTE(SUBSTITUTE(NOTA[[#This Row],[NAMA BARANG]]," ",),".",""),"-",""),"(",""),")",""),",",""),"/",""),"""",""),"+",""))</f>
        <v>pckartonsf398kode3ssnlampukedip</v>
      </c>
      <c r="AQ2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pckartonsf398kode3ssnlampukedip1819200</v>
      </c>
      <c r="AR2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pckartonsf398kode3ssnlampukedip1819200</v>
      </c>
      <c r="AS249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SBSUNTANAWF0330B145456pckartonsf398kode3ssnlampukedip</v>
      </c>
      <c r="AT249" s="25"/>
      <c r="AU249" s="25">
        <f>IF(NOTA[[#This Row],[CONCAT1]]="","",MATCH(NOTA[[#This Row],[CONCAT1]],[3]!db[NB NOTA_C],0))</f>
        <v>3459</v>
      </c>
      <c r="AV249" s="25" t="str">
        <f>IF(NOTA[[#This Row],[QTY/ CTN]]="","",TRUE)</f>
        <v/>
      </c>
      <c r="AW249" s="25" t="str">
        <f ca="1">IF(NOTA[[#This Row],[ID_H]]="","",IF(NOTA[[#This Row],[Column3]]=TRUE,NOTA[[#This Row],[QTY/ CTN]],INDEX([3]!db[QTY/ CTN],NOTA[[#This Row],[//DB]])))</f>
        <v>96 PCS</v>
      </c>
      <c r="AX2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pckartonsf398kode3ssnlampukedip96pcsuntana</v>
      </c>
      <c r="AY249" s="25">
        <f ca="1">IF(NOTA[[#This Row],[ID_H]]="","",MATCH(NOTA[[#This Row],[NB NOTA_C_QTY]],[3]!db[NB NOTA_C_QTY+F],0))</f>
        <v>3459</v>
      </c>
      <c r="AZ249" s="38">
        <f ca="1">IF(NOTA[[#This Row],[NB NOTA_C_QTY]]="","",ROW()-2)</f>
        <v>247</v>
      </c>
    </row>
    <row r="250" spans="1:52" ht="20.100000000000001" customHeight="1">
      <c r="A2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50" s="25">
        <f ca="1">IF(NOTA[[#This Row],[NAMA BARANG]]="","",INDEX(NOTA[ID],MATCH(,INDIRECT(ADDRESS(ROW(NOTA[ID]),COLUMN(NOTA[ID]))&amp;":"&amp;ADDRESS(ROW(),COLUMN(NOTA[ID]))),-1)))</f>
        <v>47</v>
      </c>
      <c r="E250" s="33"/>
      <c r="H250" s="34"/>
      <c r="L250" s="25" t="s">
        <v>458</v>
      </c>
      <c r="N250" s="25">
        <v>61</v>
      </c>
      <c r="O250" s="25" t="s">
        <v>111</v>
      </c>
      <c r="P250" s="28">
        <v>18950</v>
      </c>
      <c r="Q250" s="29"/>
      <c r="R250" s="35"/>
      <c r="S250" s="36"/>
      <c r="V250" s="37"/>
      <c r="W250" s="32"/>
      <c r="X250" s="37">
        <f>IF(NOTA[[#This Row],[HARGA/ CTN]]="",NOTA[[#This Row],[JUMLAH_H]],NOTA[[#This Row],[HARGA/ CTN]]*IF(NOTA[[#This Row],[C]]="",0,NOTA[[#This Row],[C]]))</f>
        <v>1155950</v>
      </c>
      <c r="Y250" s="37">
        <f>IF(NOTA[[#This Row],[JUMLAH]]="","",NOTA[[#This Row],[JUMLAH]]*NOTA[[#This Row],[DISC 1]])</f>
        <v>0</v>
      </c>
      <c r="Z250" s="37">
        <f>IF(NOTA[[#This Row],[JUMLAH]]="","",(NOTA[[#This Row],[JUMLAH]]-NOTA[[#This Row],[DISC 1-]])*NOTA[[#This Row],[DISC 2]])</f>
        <v>0</v>
      </c>
      <c r="AA250" s="37">
        <f>IF(NOTA[[#This Row],[JUMLAH]]="","",(NOTA[[#This Row],[JUMLAH]]-NOTA[[#This Row],[DISC 1-]]-NOTA[[#This Row],[DISC 2-]])*NOTA[[#This Row],[DISC 3]])</f>
        <v>0</v>
      </c>
      <c r="AB250" s="37">
        <f>IF(NOTA[[#This Row],[JUMLAH]]="","",NOTA[[#This Row],[DISC 1-]]+NOTA[[#This Row],[DISC 2-]]+NOTA[[#This Row],[DISC 3-]])</f>
        <v>0</v>
      </c>
      <c r="AC250" s="37">
        <f>IF(NOTA[[#This Row],[JUMLAH]]="","",NOTA[[#This Row],[JUMLAH]]-NOTA[[#This Row],[DISC]])</f>
        <v>1155950</v>
      </c>
      <c r="AD250" s="37"/>
      <c r="AE25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5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15709550</v>
      </c>
      <c r="AG250" s="28">
        <f>IF(NOTA[[#This Row],[NAMA BARANG]]="","",IF(NOTA[[#This Row],[JUMLAH_H]]="",NOTA[[#This Row],[HARGA/ CTN]],NOTA[[#This Row],[QTY]]*NOTA[[#This Row],[HARGA SATUAN]]/IF(ISNUMBER(NOTA[[#This Row],[C]]),NOTA[[#This Row],[C]],1)))</f>
        <v>1155950</v>
      </c>
      <c r="AH250" s="37">
        <f>IF(OR(NOTA[[#This Row],[QTY]]="",NOTA[[#This Row],[HARGA SATUAN]]="",),"",NOTA[[#This Row],[QTY]]*NOTA[[#This Row],[HARGA SATUAN]])</f>
        <v>1155950</v>
      </c>
      <c r="AI250" s="26">
        <f ca="1">IF(NOTA[[#This Row],[ID_H]]="","",INDEX(NOTA[TANGGAL],MATCH(,INDIRECT(ADDRESS(ROW(NOTA[TANGGAL]),COLUMN(NOTA[TANGGAL]))&amp;":"&amp;ADDRESS(ROW(),COLUMN(NOTA[TANGGAL]))),-1)))</f>
        <v>45465</v>
      </c>
      <c r="AJ250" s="26">
        <f ca="1">IF(NOTA[[#This Row],[ID_H]]="","",INDEX(NOTA[TGL.NOTA],MATCH(,INDIRECT(ADDRESS(ROW(NOTA[TGL.NOTA]),COLUMN(NOTA[TGL.NOTA]))&amp;":"&amp;ADDRESS(ROW(),COLUMN(NOTA[TGL.NOTA]))),-1)))</f>
        <v>45456</v>
      </c>
      <c r="AK250" s="26" t="str">
        <f ca="1">IF(NOTA[[#This Row],[ID_H]]="","",INDEX(NOTA[NO.NOTA],MATCH(NOTA[[#This Row],[ID_H]],NOTA[ID_H],0)))</f>
        <v>WF0330B1</v>
      </c>
      <c r="AL250" s="28" t="str">
        <f ca="1">IF(NOTA[[#This Row],[NAMA BARANG]]="","",INDEX(NOTA[SUPPLIER],MATCH(,INDIRECT(ADDRESS(ROW(NOTA[ID]),COLUMN(NOTA[ID]))&amp;":"&amp;ADDRESS(ROW(),COLUMN(NOTA[ID]))),-1)))</f>
        <v>SBS</v>
      </c>
      <c r="AM250" s="28" t="str">
        <f ca="1">IF(NOTA[[#This Row],[ID_H]]="","",IF(NOTA[[#This Row],[FAKTUR]]="",INDIRECT(ADDRESS(ROW()-1,COLUMN())),NOTA[[#This Row],[FAKTUR]]))</f>
        <v>UNTANA</v>
      </c>
      <c r="AN250" s="25" t="str">
        <f ca="1">IF(NOTA[[#This Row],[ID]]="","",COUNTIF(NOTA[ID_H],NOTA[[#This Row],[ID_H]]))</f>
        <v/>
      </c>
      <c r="AO250" s="25">
        <f ca="1">IF(NOTA[[#This Row],[TGL.NOTA]]="",IF(NOTA[[#This Row],[SUPPLIER_H]]="","",AO249),MONTH(NOTA[[#This Row],[TGL.NOTA]]))</f>
        <v>6</v>
      </c>
      <c r="AP250" s="25" t="str">
        <f>LOWER(SUBSTITUTE(SUBSTITUTE(SUBSTITUTE(SUBSTITUTE(SUBSTITUTE(SUBSTITUTE(SUBSTITUTE(SUBSTITUTE(SUBSTITUTE(NOTA[[#This Row],[NAMA BARANG]]," ",),".",""),"-",""),"(",""),")",""),",",""),"/",""),"""",""),"+",""))</f>
        <v>pckartonsf398kode3ssnlampukedip</v>
      </c>
      <c r="AQ2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pckartonsf398kode3ssnlampukedip1155950</v>
      </c>
      <c r="AR2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pckartonsf398kode3ssnlampukedip18950</v>
      </c>
      <c r="AS2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0" s="25"/>
      <c r="AU250" s="25">
        <f>IF(NOTA[[#This Row],[CONCAT1]]="","",MATCH(NOTA[[#This Row],[CONCAT1]],[3]!db[NB NOTA_C],0))</f>
        <v>3459</v>
      </c>
      <c r="AV250" s="25" t="str">
        <f>IF(NOTA[[#This Row],[QTY/ CTN]]="","",TRUE)</f>
        <v/>
      </c>
      <c r="AW250" s="25" t="str">
        <f ca="1">IF(NOTA[[#This Row],[ID_H]]="","",IF(NOTA[[#This Row],[Column3]]=TRUE,NOTA[[#This Row],[QTY/ CTN]],INDEX([3]!db[QTY/ CTN],NOTA[[#This Row],[//DB]])))</f>
        <v>96 PCS</v>
      </c>
      <c r="AX2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pckartonsf398kode3ssnlampukedip96pcsuntana</v>
      </c>
      <c r="AY250" s="25">
        <f ca="1">IF(NOTA[[#This Row],[ID_H]]="","",MATCH(NOTA[[#This Row],[NB NOTA_C_QTY]],[3]!db[NB NOTA_C_QTY+F],0))</f>
        <v>3459</v>
      </c>
      <c r="AZ250" s="38">
        <f ca="1">IF(NOTA[[#This Row],[NB NOTA_C_QTY]]="","",ROW()-2)</f>
        <v>248</v>
      </c>
    </row>
    <row r="251" spans="1:52" ht="20.100000000000001" customHeight="1">
      <c r="A2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51" s="25" t="str">
        <f ca="1">IF(NOTA[[#This Row],[NAMA BARANG]]="","",INDEX(NOTA[ID],MATCH(,INDIRECT(ADDRESS(ROW(NOTA[ID]),COLUMN(NOTA[ID]))&amp;":"&amp;ADDRESS(ROW(),COLUMN(NOTA[ID]))),-1)))</f>
        <v/>
      </c>
      <c r="E251" s="33"/>
      <c r="H251" s="34"/>
      <c r="Q251" s="29"/>
      <c r="R251" s="35"/>
      <c r="S251" s="36"/>
      <c r="V251" s="37"/>
      <c r="W251" s="32"/>
      <c r="X251" s="37" t="str">
        <f>IF(NOTA[[#This Row],[HARGA/ CTN]]="",NOTA[[#This Row],[JUMLAH_H]],NOTA[[#This Row],[HARGA/ CTN]]*IF(NOTA[[#This Row],[C]]="",0,NOTA[[#This Row],[C]]))</f>
        <v/>
      </c>
      <c r="Y251" s="37" t="str">
        <f>IF(NOTA[[#This Row],[JUMLAH]]="","",NOTA[[#This Row],[JUMLAH]]*NOTA[[#This Row],[DISC 1]])</f>
        <v/>
      </c>
      <c r="Z251" s="37" t="str">
        <f>IF(NOTA[[#This Row],[JUMLAH]]="","",(NOTA[[#This Row],[JUMLAH]]-NOTA[[#This Row],[DISC 1-]])*NOTA[[#This Row],[DISC 2]])</f>
        <v/>
      </c>
      <c r="AA251" s="37" t="str">
        <f>IF(NOTA[[#This Row],[JUMLAH]]="","",(NOTA[[#This Row],[JUMLAH]]-NOTA[[#This Row],[DISC 1-]]-NOTA[[#This Row],[DISC 2-]])*NOTA[[#This Row],[DISC 3]])</f>
        <v/>
      </c>
      <c r="AB251" s="37" t="str">
        <f>IF(NOTA[[#This Row],[JUMLAH]]="","",NOTA[[#This Row],[DISC 1-]]+NOTA[[#This Row],[DISC 2-]]+NOTA[[#This Row],[DISC 3-]])</f>
        <v/>
      </c>
      <c r="AC251" s="37" t="str">
        <f>IF(NOTA[[#This Row],[JUMLAH]]="","",NOTA[[#This Row],[JUMLAH]]-NOTA[[#This Row],[DISC]])</f>
        <v/>
      </c>
      <c r="AD251" s="37"/>
      <c r="AE2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1" s="37" t="str">
        <f>IF(OR(NOTA[[#This Row],[QTY]]="",NOTA[[#This Row],[HARGA SATUAN]]="",),"",NOTA[[#This Row],[QTY]]*NOTA[[#This Row],[HARGA SATUAN]])</f>
        <v/>
      </c>
      <c r="AI251" s="26" t="str">
        <f ca="1">IF(NOTA[[#This Row],[ID_H]]="","",INDEX(NOTA[TANGGAL],MATCH(,INDIRECT(ADDRESS(ROW(NOTA[TANGGAL]),COLUMN(NOTA[TANGGAL]))&amp;":"&amp;ADDRESS(ROW(),COLUMN(NOTA[TANGGAL]))),-1)))</f>
        <v/>
      </c>
      <c r="AJ251" s="26" t="str">
        <f ca="1">IF(NOTA[[#This Row],[ID_H]]="","",INDEX(NOTA[TGL.NOTA],MATCH(,INDIRECT(ADDRESS(ROW(NOTA[TGL.NOTA]),COLUMN(NOTA[TGL.NOTA]))&amp;":"&amp;ADDRESS(ROW(),COLUMN(NOTA[TGL.NOTA]))),-1)))</f>
        <v/>
      </c>
      <c r="AK251" s="26" t="str">
        <f ca="1">IF(NOTA[[#This Row],[ID_H]]="","",INDEX(NOTA[NO.NOTA],MATCH(NOTA[[#This Row],[ID_H]],NOTA[ID_H],0)))</f>
        <v/>
      </c>
      <c r="AL251" s="28" t="str">
        <f ca="1">IF(NOTA[[#This Row],[NAMA BARANG]]="","",INDEX(NOTA[SUPPLIER],MATCH(,INDIRECT(ADDRESS(ROW(NOTA[ID]),COLUMN(NOTA[ID]))&amp;":"&amp;ADDRESS(ROW(),COLUMN(NOTA[ID]))),-1)))</f>
        <v/>
      </c>
      <c r="AM251" s="28" t="str">
        <f ca="1">IF(NOTA[[#This Row],[ID_H]]="","",IF(NOTA[[#This Row],[FAKTUR]]="",INDIRECT(ADDRESS(ROW()-1,COLUMN())),NOTA[[#This Row],[FAKTUR]]))</f>
        <v/>
      </c>
      <c r="AN251" s="25" t="str">
        <f ca="1">IF(NOTA[[#This Row],[ID]]="","",COUNTIF(NOTA[ID_H],NOTA[[#This Row],[ID_H]]))</f>
        <v/>
      </c>
      <c r="AO251" s="25" t="str">
        <f ca="1">IF(NOTA[[#This Row],[TGL.NOTA]]="",IF(NOTA[[#This Row],[SUPPLIER_H]]="","",AO250),MONTH(NOTA[[#This Row],[TGL.NOTA]]))</f>
        <v/>
      </c>
      <c r="AP2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1" s="25"/>
      <c r="AU251" s="25" t="str">
        <f>IF(NOTA[[#This Row],[CONCAT1]]="","",MATCH(NOTA[[#This Row],[CONCAT1]],[3]!db[NB NOTA_C],0))</f>
        <v/>
      </c>
      <c r="AV251" s="25" t="str">
        <f>IF(NOTA[[#This Row],[QTY/ CTN]]="","",TRUE)</f>
        <v/>
      </c>
      <c r="AW251" s="25" t="str">
        <f ca="1">IF(NOTA[[#This Row],[ID_H]]="","",IF(NOTA[[#This Row],[Column3]]=TRUE,NOTA[[#This Row],[QTY/ CTN]],INDEX([3]!db[QTY/ CTN],NOTA[[#This Row],[//DB]])))</f>
        <v/>
      </c>
      <c r="AX2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1" s="25" t="str">
        <f ca="1">IF(NOTA[[#This Row],[ID_H]]="","",MATCH(NOTA[[#This Row],[NB NOTA_C_QTY]],[3]!db[NB NOTA_C_QTY+F],0))</f>
        <v/>
      </c>
      <c r="AZ251" s="38" t="str">
        <f ca="1">IF(NOTA[[#This Row],[NB NOTA_C_QTY]]="","",ROW()-2)</f>
        <v/>
      </c>
    </row>
    <row r="252" spans="1:52" s="66" customFormat="1" ht="20.100000000000001" customHeight="1">
      <c r="A252" s="65">
        <f ca="1">IF(INDIRECT(ADDRESS(ROW()-1,COLUMN(NOTA[[#Headers],[ID]])))="ID",1,IF(NOTA[[#This Row],[FAKTUR]]="","",COUNT(INDIRECT(ADDRESS(ROW(NOTA[ID]),COLUMN(NOTA[ID]))&amp;":"&amp;ADDRESS(ROW()-1,COLUMN(NOTA[ID]))))+1))</f>
        <v>48</v>
      </c>
      <c r="B252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SBS_2206_TTP-4</v>
      </c>
      <c r="D252" s="66">
        <f ca="1">IF(NOTA[[#This Row],[NAMA BARANG]]="","",INDEX(NOTA[ID],MATCH(,INDIRECT(ADDRESS(ROW(NOTA[ID]),COLUMN(NOTA[ID]))&amp;":"&amp;ADDRESS(ROW(),COLUMN(NOTA[ID]))),-1)))</f>
        <v>48</v>
      </c>
      <c r="E252" s="67"/>
      <c r="F252" s="66" t="s">
        <v>186</v>
      </c>
      <c r="G252" s="66" t="s">
        <v>109</v>
      </c>
      <c r="H252" s="68" t="s">
        <v>459</v>
      </c>
      <c r="J252" s="69">
        <v>45446</v>
      </c>
      <c r="L252" s="70" t="s">
        <v>460</v>
      </c>
      <c r="M252" s="71">
        <v>7</v>
      </c>
      <c r="N252" s="66">
        <v>420</v>
      </c>
      <c r="O252" s="66" t="s">
        <v>110</v>
      </c>
      <c r="P252" s="65">
        <v>9300</v>
      </c>
      <c r="Q252" s="72"/>
      <c r="R252" s="73"/>
      <c r="S252" s="74"/>
      <c r="T252" s="75"/>
      <c r="U252" s="75"/>
      <c r="V252" s="76"/>
      <c r="W252" s="77" t="s">
        <v>484</v>
      </c>
      <c r="X252" s="76">
        <f>IF(NOTA[[#This Row],[HARGA/ CTN]]="",NOTA[[#This Row],[JUMLAH_H]],NOTA[[#This Row],[HARGA/ CTN]]*IF(NOTA[[#This Row],[C]]="",0,NOTA[[#This Row],[C]]))</f>
        <v>3906000</v>
      </c>
      <c r="Y252" s="76">
        <f>IF(NOTA[[#This Row],[JUMLAH]]="","",NOTA[[#This Row],[JUMLAH]]*NOTA[[#This Row],[DISC 1]])</f>
        <v>0</v>
      </c>
      <c r="Z252" s="76">
        <f>IF(NOTA[[#This Row],[JUMLAH]]="","",(NOTA[[#This Row],[JUMLAH]]-NOTA[[#This Row],[DISC 1-]])*NOTA[[#This Row],[DISC 2]])</f>
        <v>0</v>
      </c>
      <c r="AA252" s="76">
        <f>IF(NOTA[[#This Row],[JUMLAH]]="","",(NOTA[[#This Row],[JUMLAH]]-NOTA[[#This Row],[DISC 1-]]-NOTA[[#This Row],[DISC 2-]])*NOTA[[#This Row],[DISC 3]])</f>
        <v>0</v>
      </c>
      <c r="AB252" s="76">
        <f>IF(NOTA[[#This Row],[JUMLAH]]="","",NOTA[[#This Row],[DISC 1-]]+NOTA[[#This Row],[DISC 2-]]+NOTA[[#This Row],[DISC 3-]])</f>
        <v>0</v>
      </c>
      <c r="AC252" s="76">
        <f>IF(NOTA[[#This Row],[JUMLAH]]="","",NOTA[[#This Row],[JUMLAH]]-NOTA[[#This Row],[DISC]])</f>
        <v>3906000</v>
      </c>
      <c r="AD252" s="76"/>
      <c r="AE252" s="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2" s="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2" s="65">
        <f>IF(NOTA[[#This Row],[NAMA BARANG]]="","",IF(NOTA[[#This Row],[JUMLAH_H]]="",NOTA[[#This Row],[HARGA/ CTN]],NOTA[[#This Row],[QTY]]*NOTA[[#This Row],[HARGA SATUAN]]/IF(ISNUMBER(NOTA[[#This Row],[C]]),NOTA[[#This Row],[C]],1)))</f>
        <v>558000</v>
      </c>
      <c r="AH252" s="76">
        <f>IF(OR(NOTA[[#This Row],[QTY]]="",NOTA[[#This Row],[HARGA SATUAN]]="",),"",NOTA[[#This Row],[QTY]]*NOTA[[#This Row],[HARGA SATUAN]])</f>
        <v>3906000</v>
      </c>
      <c r="AI252" s="69">
        <f ca="1">IF(NOTA[[#This Row],[ID_H]]="","",INDEX(NOTA[TANGGAL],MATCH(,INDIRECT(ADDRESS(ROW(NOTA[TANGGAL]),COLUMN(NOTA[TANGGAL]))&amp;":"&amp;ADDRESS(ROW(),COLUMN(NOTA[TANGGAL]))),-1)))</f>
        <v>45465</v>
      </c>
      <c r="AJ252" s="69">
        <f ca="1">IF(NOTA[[#This Row],[ID_H]]="","",INDEX(NOTA[TGL.NOTA],MATCH(,INDIRECT(ADDRESS(ROW(NOTA[TGL.NOTA]),COLUMN(NOTA[TGL.NOTA]))&amp;":"&amp;ADDRESS(ROW(),COLUMN(NOTA[TGL.NOTA]))),-1)))</f>
        <v>45446</v>
      </c>
      <c r="AK252" s="69" t="str">
        <f ca="1">IF(NOTA[[#This Row],[ID_H]]="","",INDEX(NOTA[NO.NOTA],MATCH(NOTA[[#This Row],[ID_H]],NOTA[ID_H],0)))</f>
        <v>WF0005ATTP</v>
      </c>
      <c r="AL252" s="65" t="str">
        <f ca="1">IF(NOTA[[#This Row],[NAMA BARANG]]="","",INDEX(NOTA[SUPPLIER],MATCH(,INDIRECT(ADDRESS(ROW(NOTA[ID]),COLUMN(NOTA[ID]))&amp;":"&amp;ADDRESS(ROW(),COLUMN(NOTA[ID]))),-1)))</f>
        <v>SBS</v>
      </c>
      <c r="AM252" s="65" t="str">
        <f ca="1">IF(NOTA[[#This Row],[ID_H]]="","",IF(NOTA[[#This Row],[FAKTUR]]="",INDIRECT(ADDRESS(ROW()-1,COLUMN())),NOTA[[#This Row],[FAKTUR]]))</f>
        <v>UNTANA</v>
      </c>
      <c r="AN252" s="66">
        <f ca="1">IF(NOTA[[#This Row],[ID]]="","",COUNTIF(NOTA[ID_H],NOTA[[#This Row],[ID_H]]))</f>
        <v>4</v>
      </c>
      <c r="AO252" s="66">
        <f>IF(NOTA[[#This Row],[TGL.NOTA]]="",IF(NOTA[[#This Row],[SUPPLIER_H]]="","",AO251),MONTH(NOTA[[#This Row],[TGL.NOTA]]))</f>
        <v>6</v>
      </c>
      <c r="AP252" s="66" t="str">
        <f>LOWER(SUBSTITUTE(SUBSTITUTE(SUBSTITUTE(SUBSTITUTE(SUBSTITUTE(SUBSTITUTE(SUBSTITUTE(SUBSTITUTE(SUBSTITUTE(NOTA[[#This Row],[NAMA BARANG]]," ",),".",""),"-",""),"(",""),")",""),",",""),"/",""),"""",""),"+",""))</f>
        <v>paletgambarbiolaanggurwarnawag201</v>
      </c>
      <c r="AQ252" s="66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paletgambarbiolaanggurwarnawag201558000</v>
      </c>
      <c r="AR252" s="66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paletgambarbiolaanggurwarnawag201558000</v>
      </c>
      <c r="AS252" s="66" t="str">
        <f>IF(NOTA[[#This Row],[SUPPLIER]]="","",NOTA[[#This Row],[SUPPLIER]]&amp;NOTA[[#This Row],[FAKTUR]]&amp;NOTA[[#This Row],[NO.NOTA]]&amp;NOTA[[#This Row],[NO.SJ]]&amp;NOTA[[#This Row],[TGL.NOTA]]&amp;NOTA[[#This Row],[CONCAT1]])</f>
        <v>SBSUNTANAWF0005ATTP45446paletgambarbiolaanggurwarnawag201</v>
      </c>
      <c r="AU252" s="66">
        <f>IF(NOTA[[#This Row],[CONCAT1]]="","",MATCH(NOTA[[#This Row],[CONCAT1]],[3]!db[NB NOTA_C],0))</f>
        <v>2363</v>
      </c>
      <c r="AV252" s="66" t="str">
        <f>IF(NOTA[[#This Row],[QTY/ CTN]]="","",TRUE)</f>
        <v/>
      </c>
      <c r="AW252" s="66" t="str">
        <f ca="1">IF(NOTA[[#This Row],[ID_H]]="","",IF(NOTA[[#This Row],[Column3]]=TRUE,NOTA[[#This Row],[QTY/ CTN]],INDEX([3]!db[QTY/ CTN],NOTA[[#This Row],[//DB]])))</f>
        <v>60 LSN</v>
      </c>
      <c r="AX252" s="6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paletgambarbiolaanggurwarnawag20160lsnuntana</v>
      </c>
      <c r="AY252" s="66">
        <f ca="1">IF(NOTA[[#This Row],[ID_H]]="","",MATCH(NOTA[[#This Row],[NB NOTA_C_QTY]],[3]!db[NB NOTA_C_QTY+F],0))</f>
        <v>2363</v>
      </c>
      <c r="AZ252" s="78">
        <f ca="1">IF(NOTA[[#This Row],[NB NOTA_C_QTY]]="","",ROW()-2)</f>
        <v>250</v>
      </c>
    </row>
    <row r="253" spans="1:52" s="66" customFormat="1" ht="20.100000000000001" customHeight="1">
      <c r="A253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53" s="66">
        <f ca="1">IF(NOTA[[#This Row],[NAMA BARANG]]="","",INDEX(NOTA[ID],MATCH(,INDIRECT(ADDRESS(ROW(NOTA[ID]),COLUMN(NOTA[ID]))&amp;":"&amp;ADDRESS(ROW(),COLUMN(NOTA[ID]))),-1)))</f>
        <v>48</v>
      </c>
      <c r="E253" s="67"/>
      <c r="H253" s="68"/>
      <c r="J253" s="69"/>
      <c r="L253" s="70" t="s">
        <v>460</v>
      </c>
      <c r="M253" s="71">
        <v>1</v>
      </c>
      <c r="N253" s="66">
        <v>60</v>
      </c>
      <c r="O253" s="66" t="s">
        <v>110</v>
      </c>
      <c r="P253" s="65"/>
      <c r="Q253" s="72"/>
      <c r="R253" s="73"/>
      <c r="S253" s="74"/>
      <c r="T253" s="75"/>
      <c r="U253" s="75"/>
      <c r="V253" s="76"/>
      <c r="W253" s="77" t="s">
        <v>484</v>
      </c>
      <c r="X253" s="76" t="str">
        <f>IF(NOTA[[#This Row],[HARGA/ CTN]]="",NOTA[[#This Row],[JUMLAH_H]],NOTA[[#This Row],[HARGA/ CTN]]*IF(NOTA[[#This Row],[C]]="",0,NOTA[[#This Row],[C]]))</f>
        <v/>
      </c>
      <c r="Y253" s="76" t="str">
        <f>IF(NOTA[[#This Row],[JUMLAH]]="","",NOTA[[#This Row],[JUMLAH]]*NOTA[[#This Row],[DISC 1]])</f>
        <v/>
      </c>
      <c r="Z253" s="76" t="str">
        <f>IF(NOTA[[#This Row],[JUMLAH]]="","",(NOTA[[#This Row],[JUMLAH]]-NOTA[[#This Row],[DISC 1-]])*NOTA[[#This Row],[DISC 2]])</f>
        <v/>
      </c>
      <c r="AA253" s="76" t="str">
        <f>IF(NOTA[[#This Row],[JUMLAH]]="","",(NOTA[[#This Row],[JUMLAH]]-NOTA[[#This Row],[DISC 1-]]-NOTA[[#This Row],[DISC 2-]])*NOTA[[#This Row],[DISC 3]])</f>
        <v/>
      </c>
      <c r="AB253" s="76" t="str">
        <f>IF(NOTA[[#This Row],[JUMLAH]]="","",NOTA[[#This Row],[DISC 1-]]+NOTA[[#This Row],[DISC 2-]]+NOTA[[#This Row],[DISC 3-]])</f>
        <v/>
      </c>
      <c r="AC253" s="76" t="str">
        <f>IF(NOTA[[#This Row],[JUMLAH]]="","",NOTA[[#This Row],[JUMLAH]]-NOTA[[#This Row],[DISC]])</f>
        <v/>
      </c>
      <c r="AD253" s="76"/>
      <c r="AE253" s="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3" s="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3" s="6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53" s="76" t="str">
        <f>IF(OR(NOTA[[#This Row],[QTY]]="",NOTA[[#This Row],[HARGA SATUAN]]="",),"",NOTA[[#This Row],[QTY]]*NOTA[[#This Row],[HARGA SATUAN]])</f>
        <v/>
      </c>
      <c r="AI253" s="69">
        <f ca="1">IF(NOTA[[#This Row],[ID_H]]="","",INDEX(NOTA[TANGGAL],MATCH(,INDIRECT(ADDRESS(ROW(NOTA[TANGGAL]),COLUMN(NOTA[TANGGAL]))&amp;":"&amp;ADDRESS(ROW(),COLUMN(NOTA[TANGGAL]))),-1)))</f>
        <v>45465</v>
      </c>
      <c r="AJ253" s="69">
        <f ca="1">IF(NOTA[[#This Row],[ID_H]]="","",INDEX(NOTA[TGL.NOTA],MATCH(,INDIRECT(ADDRESS(ROW(NOTA[TGL.NOTA]),COLUMN(NOTA[TGL.NOTA]))&amp;":"&amp;ADDRESS(ROW(),COLUMN(NOTA[TGL.NOTA]))),-1)))</f>
        <v>45446</v>
      </c>
      <c r="AK253" s="69" t="str">
        <f ca="1">IF(NOTA[[#This Row],[ID_H]]="","",INDEX(NOTA[NO.NOTA],MATCH(NOTA[[#This Row],[ID_H]],NOTA[ID_H],0)))</f>
        <v>WF0005ATTP</v>
      </c>
      <c r="AL253" s="65" t="str">
        <f ca="1">IF(NOTA[[#This Row],[NAMA BARANG]]="","",INDEX(NOTA[SUPPLIER],MATCH(,INDIRECT(ADDRESS(ROW(NOTA[ID]),COLUMN(NOTA[ID]))&amp;":"&amp;ADDRESS(ROW(),COLUMN(NOTA[ID]))),-1)))</f>
        <v>SBS</v>
      </c>
      <c r="AM253" s="65" t="str">
        <f ca="1">IF(NOTA[[#This Row],[ID_H]]="","",IF(NOTA[[#This Row],[FAKTUR]]="",INDIRECT(ADDRESS(ROW()-1,COLUMN())),NOTA[[#This Row],[FAKTUR]]))</f>
        <v>UNTANA</v>
      </c>
      <c r="AN253" s="66" t="str">
        <f ca="1">IF(NOTA[[#This Row],[ID]]="","",COUNTIF(NOTA[ID_H],NOTA[[#This Row],[ID_H]]))</f>
        <v/>
      </c>
      <c r="AO253" s="66">
        <f ca="1">IF(NOTA[[#This Row],[TGL.NOTA]]="",IF(NOTA[[#This Row],[SUPPLIER_H]]="","",AO252),MONTH(NOTA[[#This Row],[TGL.NOTA]]))</f>
        <v>6</v>
      </c>
      <c r="AP253" s="66" t="str">
        <f>LOWER(SUBSTITUTE(SUBSTITUTE(SUBSTITUTE(SUBSTITUTE(SUBSTITUTE(SUBSTITUTE(SUBSTITUTE(SUBSTITUTE(SUBSTITUTE(NOTA[[#This Row],[NAMA BARANG]]," ",),".",""),"-",""),"(",""),")",""),",",""),"/",""),"""",""),"+",""))</f>
        <v>paletgambarbiolaanggurwarnawag201</v>
      </c>
      <c r="AQ253" s="66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paletgambarbiolaanggurwarnawag2010</v>
      </c>
      <c r="AR253" s="66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paletgambarbiolaanggurwarnawag2010</v>
      </c>
      <c r="AS25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U253" s="66">
        <f>IF(NOTA[[#This Row],[CONCAT1]]="","",MATCH(NOTA[[#This Row],[CONCAT1]],[3]!db[NB NOTA_C],0))</f>
        <v>2363</v>
      </c>
      <c r="AV253" s="66" t="str">
        <f>IF(NOTA[[#This Row],[QTY/ CTN]]="","",TRUE)</f>
        <v/>
      </c>
      <c r="AW253" s="66" t="str">
        <f ca="1">IF(NOTA[[#This Row],[ID_H]]="","",IF(NOTA[[#This Row],[Column3]]=TRUE,NOTA[[#This Row],[QTY/ CTN]],INDEX([3]!db[QTY/ CTN],NOTA[[#This Row],[//DB]])))</f>
        <v>60 LSN</v>
      </c>
      <c r="AX253" s="6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paletgambarbiolaanggurwarnawag20160lsnuntana</v>
      </c>
      <c r="AY253" s="66">
        <f ca="1">IF(NOTA[[#This Row],[ID_H]]="","",MATCH(NOTA[[#This Row],[NB NOTA_C_QTY]],[3]!db[NB NOTA_C_QTY+F],0))</f>
        <v>2363</v>
      </c>
      <c r="AZ253" s="78">
        <f ca="1">IF(NOTA[[#This Row],[NB NOTA_C_QTY]]="","",ROW()-2)</f>
        <v>251</v>
      </c>
    </row>
    <row r="254" spans="1:52" s="66" customFormat="1" ht="20.100000000000001" customHeight="1">
      <c r="A254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54" s="66">
        <f ca="1">IF(NOTA[[#This Row],[NAMA BARANG]]="","",INDEX(NOTA[ID],MATCH(,INDIRECT(ADDRESS(ROW(NOTA[ID]),COLUMN(NOTA[ID]))&amp;":"&amp;ADDRESS(ROW(),COLUMN(NOTA[ID]))),-1)))</f>
        <v>48</v>
      </c>
      <c r="E254" s="67"/>
      <c r="H254" s="68"/>
      <c r="J254" s="69"/>
      <c r="L254" s="70" t="s">
        <v>461</v>
      </c>
      <c r="M254" s="71">
        <v>7</v>
      </c>
      <c r="N254" s="66">
        <v>420</v>
      </c>
      <c r="O254" s="66" t="s">
        <v>110</v>
      </c>
      <c r="P254" s="65">
        <v>9300</v>
      </c>
      <c r="Q254" s="72"/>
      <c r="R254" s="73"/>
      <c r="S254" s="74"/>
      <c r="T254" s="75"/>
      <c r="U254" s="75"/>
      <c r="V254" s="76"/>
      <c r="W254" s="77" t="s">
        <v>484</v>
      </c>
      <c r="X254" s="76">
        <f>IF(NOTA[[#This Row],[HARGA/ CTN]]="",NOTA[[#This Row],[JUMLAH_H]],NOTA[[#This Row],[HARGA/ CTN]]*IF(NOTA[[#This Row],[C]]="",0,NOTA[[#This Row],[C]]))</f>
        <v>3906000</v>
      </c>
      <c r="Y254" s="76">
        <f>IF(NOTA[[#This Row],[JUMLAH]]="","",NOTA[[#This Row],[JUMLAH]]*NOTA[[#This Row],[DISC 1]])</f>
        <v>0</v>
      </c>
      <c r="Z254" s="76">
        <f>IF(NOTA[[#This Row],[JUMLAH]]="","",(NOTA[[#This Row],[JUMLAH]]-NOTA[[#This Row],[DISC 1-]])*NOTA[[#This Row],[DISC 2]])</f>
        <v>0</v>
      </c>
      <c r="AA254" s="76">
        <f>IF(NOTA[[#This Row],[JUMLAH]]="","",(NOTA[[#This Row],[JUMLAH]]-NOTA[[#This Row],[DISC 1-]]-NOTA[[#This Row],[DISC 2-]])*NOTA[[#This Row],[DISC 3]])</f>
        <v>0</v>
      </c>
      <c r="AB254" s="76">
        <f>IF(NOTA[[#This Row],[JUMLAH]]="","",NOTA[[#This Row],[DISC 1-]]+NOTA[[#This Row],[DISC 2-]]+NOTA[[#This Row],[DISC 3-]])</f>
        <v>0</v>
      </c>
      <c r="AC254" s="76">
        <f>IF(NOTA[[#This Row],[JUMLAH]]="","",NOTA[[#This Row],[JUMLAH]]-NOTA[[#This Row],[DISC]])</f>
        <v>3906000</v>
      </c>
      <c r="AD254" s="76"/>
      <c r="AE254" s="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4" s="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4" s="65">
        <f>IF(NOTA[[#This Row],[NAMA BARANG]]="","",IF(NOTA[[#This Row],[JUMLAH_H]]="",NOTA[[#This Row],[HARGA/ CTN]],NOTA[[#This Row],[QTY]]*NOTA[[#This Row],[HARGA SATUAN]]/IF(ISNUMBER(NOTA[[#This Row],[C]]),NOTA[[#This Row],[C]],1)))</f>
        <v>558000</v>
      </c>
      <c r="AH254" s="76">
        <f>IF(OR(NOTA[[#This Row],[QTY]]="",NOTA[[#This Row],[HARGA SATUAN]]="",),"",NOTA[[#This Row],[QTY]]*NOTA[[#This Row],[HARGA SATUAN]])</f>
        <v>3906000</v>
      </c>
      <c r="AI254" s="69">
        <f ca="1">IF(NOTA[[#This Row],[ID_H]]="","",INDEX(NOTA[TANGGAL],MATCH(,INDIRECT(ADDRESS(ROW(NOTA[TANGGAL]),COLUMN(NOTA[TANGGAL]))&amp;":"&amp;ADDRESS(ROW(),COLUMN(NOTA[TANGGAL]))),-1)))</f>
        <v>45465</v>
      </c>
      <c r="AJ254" s="69">
        <f ca="1">IF(NOTA[[#This Row],[ID_H]]="","",INDEX(NOTA[TGL.NOTA],MATCH(,INDIRECT(ADDRESS(ROW(NOTA[TGL.NOTA]),COLUMN(NOTA[TGL.NOTA]))&amp;":"&amp;ADDRESS(ROW(),COLUMN(NOTA[TGL.NOTA]))),-1)))</f>
        <v>45446</v>
      </c>
      <c r="AK254" s="69" t="str">
        <f ca="1">IF(NOTA[[#This Row],[ID_H]]="","",INDEX(NOTA[NO.NOTA],MATCH(NOTA[[#This Row],[ID_H]],NOTA[ID_H],0)))</f>
        <v>WF0005ATTP</v>
      </c>
      <c r="AL254" s="65" t="str">
        <f ca="1">IF(NOTA[[#This Row],[NAMA BARANG]]="","",INDEX(NOTA[SUPPLIER],MATCH(,INDIRECT(ADDRESS(ROW(NOTA[ID]),COLUMN(NOTA[ID]))&amp;":"&amp;ADDRESS(ROW(),COLUMN(NOTA[ID]))),-1)))</f>
        <v>SBS</v>
      </c>
      <c r="AM254" s="65" t="str">
        <f ca="1">IF(NOTA[[#This Row],[ID_H]]="","",IF(NOTA[[#This Row],[FAKTUR]]="",INDIRECT(ADDRESS(ROW()-1,COLUMN())),NOTA[[#This Row],[FAKTUR]]))</f>
        <v>UNTANA</v>
      </c>
      <c r="AN254" s="66" t="str">
        <f ca="1">IF(NOTA[[#This Row],[ID]]="","",COUNTIF(NOTA[ID_H],NOTA[[#This Row],[ID_H]]))</f>
        <v/>
      </c>
      <c r="AO254" s="66">
        <f ca="1">IF(NOTA[[#This Row],[TGL.NOTA]]="",IF(NOTA[[#This Row],[SUPPLIER_H]]="","",AO253),MONTH(NOTA[[#This Row],[TGL.NOTA]]))</f>
        <v>6</v>
      </c>
      <c r="AP254" s="66" t="str">
        <f>LOWER(SUBSTITUTE(SUBSTITUTE(SUBSTITUTE(SUBSTITUTE(SUBSTITUTE(SUBSTITUTE(SUBSTITUTE(SUBSTITUTE(SUBSTITUTE(NOTA[[#This Row],[NAMA BARANG]]," ",),".",""),"-",""),"(",""),")",""),",",""),"/",""),"""",""),"+",""))</f>
        <v>paletgambarbiolaapelwarnawap202</v>
      </c>
      <c r="AQ254" s="66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paletgambarbiolaapelwarnawap202558000</v>
      </c>
      <c r="AR254" s="66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paletgambarbiolaapelwarnawap202558000</v>
      </c>
      <c r="AS25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U254" s="66">
        <f>IF(NOTA[[#This Row],[CONCAT1]]="","",MATCH(NOTA[[#This Row],[CONCAT1]],[3]!db[NB NOTA_C],0))</f>
        <v>2364</v>
      </c>
      <c r="AV254" s="66" t="str">
        <f>IF(NOTA[[#This Row],[QTY/ CTN]]="","",TRUE)</f>
        <v/>
      </c>
      <c r="AW254" s="66" t="str">
        <f ca="1">IF(NOTA[[#This Row],[ID_H]]="","",IF(NOTA[[#This Row],[Column3]]=TRUE,NOTA[[#This Row],[QTY/ CTN]],INDEX([3]!db[QTY/ CTN],NOTA[[#This Row],[//DB]])))</f>
        <v>60 LSN</v>
      </c>
      <c r="AX254" s="6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paletgambarbiolaapelwarnawap20260lsnuntana</v>
      </c>
      <c r="AY254" s="66">
        <f ca="1">IF(NOTA[[#This Row],[ID_H]]="","",MATCH(NOTA[[#This Row],[NB NOTA_C_QTY]],[3]!db[NB NOTA_C_QTY+F],0))</f>
        <v>2364</v>
      </c>
      <c r="AZ254" s="78">
        <f ca="1">IF(NOTA[[#This Row],[NB NOTA_C_QTY]]="","",ROW()-2)</f>
        <v>252</v>
      </c>
    </row>
    <row r="255" spans="1:52" s="66" customFormat="1" ht="20.100000000000001" customHeight="1">
      <c r="A255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55" s="66">
        <f ca="1">IF(NOTA[[#This Row],[NAMA BARANG]]="","",INDEX(NOTA[ID],MATCH(,INDIRECT(ADDRESS(ROW(NOTA[ID]),COLUMN(NOTA[ID]))&amp;":"&amp;ADDRESS(ROW(),COLUMN(NOTA[ID]))),-1)))</f>
        <v>48</v>
      </c>
      <c r="E255" s="67"/>
      <c r="H255" s="68"/>
      <c r="J255" s="69"/>
      <c r="L255" s="70" t="s">
        <v>461</v>
      </c>
      <c r="M255" s="71">
        <v>3</v>
      </c>
      <c r="N255" s="66">
        <v>120</v>
      </c>
      <c r="O255" s="66" t="s">
        <v>110</v>
      </c>
      <c r="P255" s="65"/>
      <c r="Q255" s="72"/>
      <c r="R255" s="73"/>
      <c r="S255" s="74"/>
      <c r="T255" s="75"/>
      <c r="U255" s="75"/>
      <c r="V255" s="76"/>
      <c r="W255" s="77" t="s">
        <v>484</v>
      </c>
      <c r="X255" s="76" t="str">
        <f>IF(NOTA[[#This Row],[HARGA/ CTN]]="",NOTA[[#This Row],[JUMLAH_H]],NOTA[[#This Row],[HARGA/ CTN]]*IF(NOTA[[#This Row],[C]]="",0,NOTA[[#This Row],[C]]))</f>
        <v/>
      </c>
      <c r="Y255" s="76" t="str">
        <f>IF(NOTA[[#This Row],[JUMLAH]]="","",NOTA[[#This Row],[JUMLAH]]*NOTA[[#This Row],[DISC 1]])</f>
        <v/>
      </c>
      <c r="Z255" s="76" t="str">
        <f>IF(NOTA[[#This Row],[JUMLAH]]="","",(NOTA[[#This Row],[JUMLAH]]-NOTA[[#This Row],[DISC 1-]])*NOTA[[#This Row],[DISC 2]])</f>
        <v/>
      </c>
      <c r="AA255" s="76" t="str">
        <f>IF(NOTA[[#This Row],[JUMLAH]]="","",(NOTA[[#This Row],[JUMLAH]]-NOTA[[#This Row],[DISC 1-]]-NOTA[[#This Row],[DISC 2-]])*NOTA[[#This Row],[DISC 3]])</f>
        <v/>
      </c>
      <c r="AB255" s="76" t="str">
        <f>IF(NOTA[[#This Row],[JUMLAH]]="","",NOTA[[#This Row],[DISC 1-]]+NOTA[[#This Row],[DISC 2-]]+NOTA[[#This Row],[DISC 3-]])</f>
        <v/>
      </c>
      <c r="AC255" s="76" t="str">
        <f>IF(NOTA[[#This Row],[JUMLAH]]="","",NOTA[[#This Row],[JUMLAH]]-NOTA[[#This Row],[DISC]])</f>
        <v/>
      </c>
      <c r="AD255" s="76"/>
      <c r="AE255" s="7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55" s="7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7812000</v>
      </c>
      <c r="AG255" s="6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55" s="76" t="str">
        <f>IF(OR(NOTA[[#This Row],[QTY]]="",NOTA[[#This Row],[HARGA SATUAN]]="",),"",NOTA[[#This Row],[QTY]]*NOTA[[#This Row],[HARGA SATUAN]])</f>
        <v/>
      </c>
      <c r="AI255" s="69">
        <f ca="1">IF(NOTA[[#This Row],[ID_H]]="","",INDEX(NOTA[TANGGAL],MATCH(,INDIRECT(ADDRESS(ROW(NOTA[TANGGAL]),COLUMN(NOTA[TANGGAL]))&amp;":"&amp;ADDRESS(ROW(),COLUMN(NOTA[TANGGAL]))),-1)))</f>
        <v>45465</v>
      </c>
      <c r="AJ255" s="69">
        <f ca="1">IF(NOTA[[#This Row],[ID_H]]="","",INDEX(NOTA[TGL.NOTA],MATCH(,INDIRECT(ADDRESS(ROW(NOTA[TGL.NOTA]),COLUMN(NOTA[TGL.NOTA]))&amp;":"&amp;ADDRESS(ROW(),COLUMN(NOTA[TGL.NOTA]))),-1)))</f>
        <v>45446</v>
      </c>
      <c r="AK255" s="69" t="str">
        <f ca="1">IF(NOTA[[#This Row],[ID_H]]="","",INDEX(NOTA[NO.NOTA],MATCH(NOTA[[#This Row],[ID_H]],NOTA[ID_H],0)))</f>
        <v>WF0005ATTP</v>
      </c>
      <c r="AL255" s="65" t="str">
        <f ca="1">IF(NOTA[[#This Row],[NAMA BARANG]]="","",INDEX(NOTA[SUPPLIER],MATCH(,INDIRECT(ADDRESS(ROW(NOTA[ID]),COLUMN(NOTA[ID]))&amp;":"&amp;ADDRESS(ROW(),COLUMN(NOTA[ID]))),-1)))</f>
        <v>SBS</v>
      </c>
      <c r="AM255" s="65" t="str">
        <f ca="1">IF(NOTA[[#This Row],[ID_H]]="","",IF(NOTA[[#This Row],[FAKTUR]]="",INDIRECT(ADDRESS(ROW()-1,COLUMN())),NOTA[[#This Row],[FAKTUR]]))</f>
        <v>UNTANA</v>
      </c>
      <c r="AN255" s="66" t="str">
        <f ca="1">IF(NOTA[[#This Row],[ID]]="","",COUNTIF(NOTA[ID_H],NOTA[[#This Row],[ID_H]]))</f>
        <v/>
      </c>
      <c r="AO255" s="66">
        <f ca="1">IF(NOTA[[#This Row],[TGL.NOTA]]="",IF(NOTA[[#This Row],[SUPPLIER_H]]="","",AO254),MONTH(NOTA[[#This Row],[TGL.NOTA]]))</f>
        <v>6</v>
      </c>
      <c r="AP255" s="66" t="str">
        <f>LOWER(SUBSTITUTE(SUBSTITUTE(SUBSTITUTE(SUBSTITUTE(SUBSTITUTE(SUBSTITUTE(SUBSTITUTE(SUBSTITUTE(SUBSTITUTE(NOTA[[#This Row],[NAMA BARANG]]," ",),".",""),"-",""),"(",""),")",""),",",""),"/",""),"""",""),"+",""))</f>
        <v>paletgambarbiolaapelwarnawap202</v>
      </c>
      <c r="AQ255" s="66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paletgambarbiolaapelwarnawap2020</v>
      </c>
      <c r="AR255" s="66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paletgambarbiolaapelwarnawap2020</v>
      </c>
      <c r="AS25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U255" s="66">
        <f>IF(NOTA[[#This Row],[CONCAT1]]="","",MATCH(NOTA[[#This Row],[CONCAT1]],[3]!db[NB NOTA_C],0))</f>
        <v>2364</v>
      </c>
      <c r="AV255" s="66" t="str">
        <f>IF(NOTA[[#This Row],[QTY/ CTN]]="","",TRUE)</f>
        <v/>
      </c>
      <c r="AW255" s="66" t="str">
        <f ca="1">IF(NOTA[[#This Row],[ID_H]]="","",IF(NOTA[[#This Row],[Column3]]=TRUE,NOTA[[#This Row],[QTY/ CTN]],INDEX([3]!db[QTY/ CTN],NOTA[[#This Row],[//DB]])))</f>
        <v>60 LSN</v>
      </c>
      <c r="AX255" s="6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paletgambarbiolaapelwarnawap20260lsnuntana</v>
      </c>
      <c r="AY255" s="66">
        <f ca="1">IF(NOTA[[#This Row],[ID_H]]="","",MATCH(NOTA[[#This Row],[NB NOTA_C_QTY]],[3]!db[NB NOTA_C_QTY+F],0))</f>
        <v>2364</v>
      </c>
      <c r="AZ255" s="78">
        <f ca="1">IF(NOTA[[#This Row],[NB NOTA_C_QTY]]="","",ROW()-2)</f>
        <v>253</v>
      </c>
    </row>
    <row r="256" spans="1:52" ht="20.100000000000001" customHeight="1">
      <c r="A2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56" s="25" t="str">
        <f ca="1">IF(NOTA[[#This Row],[NAMA BARANG]]="","",INDEX(NOTA[ID],MATCH(,INDIRECT(ADDRESS(ROW(NOTA[ID]),COLUMN(NOTA[ID]))&amp;":"&amp;ADDRESS(ROW(),COLUMN(NOTA[ID]))),-1)))</f>
        <v/>
      </c>
      <c r="E256" s="33"/>
      <c r="H256" s="34"/>
      <c r="Q256" s="29"/>
      <c r="R256" s="35"/>
      <c r="S256" s="36"/>
      <c r="V256" s="37"/>
      <c r="W256" s="32"/>
      <c r="X256" s="37" t="str">
        <f>IF(NOTA[[#This Row],[HARGA/ CTN]]="",NOTA[[#This Row],[JUMLAH_H]],NOTA[[#This Row],[HARGA/ CTN]]*IF(NOTA[[#This Row],[C]]="",0,NOTA[[#This Row],[C]]))</f>
        <v/>
      </c>
      <c r="Y256" s="37" t="str">
        <f>IF(NOTA[[#This Row],[JUMLAH]]="","",NOTA[[#This Row],[JUMLAH]]*NOTA[[#This Row],[DISC 1]])</f>
        <v/>
      </c>
      <c r="Z256" s="37" t="str">
        <f>IF(NOTA[[#This Row],[JUMLAH]]="","",(NOTA[[#This Row],[JUMLAH]]-NOTA[[#This Row],[DISC 1-]])*NOTA[[#This Row],[DISC 2]])</f>
        <v/>
      </c>
      <c r="AA256" s="37" t="str">
        <f>IF(NOTA[[#This Row],[JUMLAH]]="","",(NOTA[[#This Row],[JUMLAH]]-NOTA[[#This Row],[DISC 1-]]-NOTA[[#This Row],[DISC 2-]])*NOTA[[#This Row],[DISC 3]])</f>
        <v/>
      </c>
      <c r="AB256" s="37" t="str">
        <f>IF(NOTA[[#This Row],[JUMLAH]]="","",NOTA[[#This Row],[DISC 1-]]+NOTA[[#This Row],[DISC 2-]]+NOTA[[#This Row],[DISC 3-]])</f>
        <v/>
      </c>
      <c r="AC256" s="37" t="str">
        <f>IF(NOTA[[#This Row],[JUMLAH]]="","",NOTA[[#This Row],[JUMLAH]]-NOTA[[#This Row],[DISC]])</f>
        <v/>
      </c>
      <c r="AD256" s="37"/>
      <c r="AE2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6" s="37" t="str">
        <f>IF(OR(NOTA[[#This Row],[QTY]]="",NOTA[[#This Row],[HARGA SATUAN]]="",),"",NOTA[[#This Row],[QTY]]*NOTA[[#This Row],[HARGA SATUAN]])</f>
        <v/>
      </c>
      <c r="AI256" s="26" t="str">
        <f ca="1">IF(NOTA[[#This Row],[ID_H]]="","",INDEX(NOTA[TANGGAL],MATCH(,INDIRECT(ADDRESS(ROW(NOTA[TANGGAL]),COLUMN(NOTA[TANGGAL]))&amp;":"&amp;ADDRESS(ROW(),COLUMN(NOTA[TANGGAL]))),-1)))</f>
        <v/>
      </c>
      <c r="AJ256" s="26" t="str">
        <f ca="1">IF(NOTA[[#This Row],[ID_H]]="","",INDEX(NOTA[TGL.NOTA],MATCH(,INDIRECT(ADDRESS(ROW(NOTA[TGL.NOTA]),COLUMN(NOTA[TGL.NOTA]))&amp;":"&amp;ADDRESS(ROW(),COLUMN(NOTA[TGL.NOTA]))),-1)))</f>
        <v/>
      </c>
      <c r="AK256" s="26" t="str">
        <f ca="1">IF(NOTA[[#This Row],[ID_H]]="","",INDEX(NOTA[NO.NOTA],MATCH(NOTA[[#This Row],[ID_H]],NOTA[ID_H],0)))</f>
        <v/>
      </c>
      <c r="AL256" s="28" t="str">
        <f ca="1">IF(NOTA[[#This Row],[NAMA BARANG]]="","",INDEX(NOTA[SUPPLIER],MATCH(,INDIRECT(ADDRESS(ROW(NOTA[ID]),COLUMN(NOTA[ID]))&amp;":"&amp;ADDRESS(ROW(),COLUMN(NOTA[ID]))),-1)))</f>
        <v/>
      </c>
      <c r="AM256" s="28" t="str">
        <f ca="1">IF(NOTA[[#This Row],[ID_H]]="","",IF(NOTA[[#This Row],[FAKTUR]]="",INDIRECT(ADDRESS(ROW()-1,COLUMN())),NOTA[[#This Row],[FAKTUR]]))</f>
        <v/>
      </c>
      <c r="AN256" s="25" t="str">
        <f ca="1">IF(NOTA[[#This Row],[ID]]="","",COUNTIF(NOTA[ID_H],NOTA[[#This Row],[ID_H]]))</f>
        <v/>
      </c>
      <c r="AO256" s="25" t="str">
        <f ca="1">IF(NOTA[[#This Row],[TGL.NOTA]]="",IF(NOTA[[#This Row],[SUPPLIER_H]]="","",AO255),MONTH(NOTA[[#This Row],[TGL.NOTA]]))</f>
        <v/>
      </c>
      <c r="AP2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6" s="25"/>
      <c r="AU256" s="25" t="str">
        <f>IF(NOTA[[#This Row],[CONCAT1]]="","",MATCH(NOTA[[#This Row],[CONCAT1]],[3]!db[NB NOTA_C],0))</f>
        <v/>
      </c>
      <c r="AV256" s="25" t="str">
        <f>IF(NOTA[[#This Row],[QTY/ CTN]]="","",TRUE)</f>
        <v/>
      </c>
      <c r="AW256" s="25" t="str">
        <f ca="1">IF(NOTA[[#This Row],[ID_H]]="","",IF(NOTA[[#This Row],[Column3]]=TRUE,NOTA[[#This Row],[QTY/ CTN]],INDEX([3]!db[QTY/ CTN],NOTA[[#This Row],[//DB]])))</f>
        <v/>
      </c>
      <c r="AX2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6" s="25" t="str">
        <f ca="1">IF(NOTA[[#This Row],[ID_H]]="","",MATCH(NOTA[[#This Row],[NB NOTA_C_QTY]],[3]!db[NB NOTA_C_QTY+F],0))</f>
        <v/>
      </c>
      <c r="AZ256" s="38" t="str">
        <f ca="1">IF(NOTA[[#This Row],[NB NOTA_C_QTY]]="","",ROW()-2)</f>
        <v/>
      </c>
    </row>
    <row r="257" spans="1:52" ht="20.100000000000001" customHeight="1">
      <c r="A257" s="28">
        <f ca="1">IF(INDIRECT(ADDRESS(ROW()-1,COLUMN(NOTA[[#Headers],[ID]])))="ID",1,IF(NOTA[[#This Row],[FAKTUR]]="","",COUNT(INDIRECT(ADDRESS(ROW(NOTA[ID]),COLUMN(NOTA[ID]))&amp;":"&amp;ADDRESS(ROW()-1,COLUMN(NOTA[ID]))))+1))</f>
        <v>49</v>
      </c>
      <c r="B25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MSI_2206_185-1</v>
      </c>
      <c r="D257" s="25">
        <f ca="1">IF(NOTA[[#This Row],[NAMA BARANG]]="","",INDEX(NOTA[ID],MATCH(,INDIRECT(ADDRESS(ROW(NOTA[ID]),COLUMN(NOTA[ID]))&amp;":"&amp;ADDRESS(ROW(),COLUMN(NOTA[ID]))),-1)))</f>
        <v>49</v>
      </c>
      <c r="E257" s="33"/>
      <c r="F257" s="25" t="s">
        <v>462</v>
      </c>
      <c r="G257" s="25" t="s">
        <v>109</v>
      </c>
      <c r="H257" s="34" t="s">
        <v>463</v>
      </c>
      <c r="J257" s="26">
        <v>45457</v>
      </c>
      <c r="L257" s="39" t="s">
        <v>480</v>
      </c>
      <c r="M257" s="27">
        <v>25</v>
      </c>
      <c r="N257" s="25">
        <v>4800</v>
      </c>
      <c r="O257" s="25" t="s">
        <v>110</v>
      </c>
      <c r="P257" s="28">
        <v>10000</v>
      </c>
      <c r="Q257" s="29"/>
      <c r="R257" s="35"/>
      <c r="S257" s="36"/>
      <c r="V257" s="37"/>
      <c r="W257" s="32"/>
      <c r="X257" s="37">
        <f>IF(NOTA[[#This Row],[HARGA/ CTN]]="",NOTA[[#This Row],[JUMLAH_H]],NOTA[[#This Row],[HARGA/ CTN]]*IF(NOTA[[#This Row],[C]]="",0,NOTA[[#This Row],[C]]))</f>
        <v>48000000</v>
      </c>
      <c r="Y257" s="37">
        <f>IF(NOTA[[#This Row],[JUMLAH]]="","",NOTA[[#This Row],[JUMLAH]]*NOTA[[#This Row],[DISC 1]])</f>
        <v>0</v>
      </c>
      <c r="Z257" s="37">
        <f>IF(NOTA[[#This Row],[JUMLAH]]="","",(NOTA[[#This Row],[JUMLAH]]-NOTA[[#This Row],[DISC 1-]])*NOTA[[#This Row],[DISC 2]])</f>
        <v>0</v>
      </c>
      <c r="AA257" s="37">
        <f>IF(NOTA[[#This Row],[JUMLAH]]="","",(NOTA[[#This Row],[JUMLAH]]-NOTA[[#This Row],[DISC 1-]]-NOTA[[#This Row],[DISC 2-]])*NOTA[[#This Row],[DISC 3]])</f>
        <v>0</v>
      </c>
      <c r="AB257" s="37">
        <f>IF(NOTA[[#This Row],[JUMLAH]]="","",NOTA[[#This Row],[DISC 1-]]+NOTA[[#This Row],[DISC 2-]]+NOTA[[#This Row],[DISC 3-]])</f>
        <v>0</v>
      </c>
      <c r="AC257" s="37">
        <f>IF(NOTA[[#This Row],[JUMLAH]]="","",NOTA[[#This Row],[JUMLAH]]-NOTA[[#This Row],[DISC]])</f>
        <v>48000000</v>
      </c>
      <c r="AD257" s="37"/>
      <c r="AE25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5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48000000</v>
      </c>
      <c r="AG257" s="28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257" s="37">
        <f>IF(OR(NOTA[[#This Row],[QTY]]="",NOTA[[#This Row],[HARGA SATUAN]]="",),"",NOTA[[#This Row],[QTY]]*NOTA[[#This Row],[HARGA SATUAN]])</f>
        <v>48000000</v>
      </c>
      <c r="AI257" s="26">
        <f ca="1">IF(NOTA[[#This Row],[ID_H]]="","",INDEX(NOTA[TANGGAL],MATCH(,INDIRECT(ADDRESS(ROW(NOTA[TANGGAL]),COLUMN(NOTA[TANGGAL]))&amp;":"&amp;ADDRESS(ROW(),COLUMN(NOTA[TANGGAL]))),-1)))</f>
        <v>45465</v>
      </c>
      <c r="AJ257" s="26">
        <f ca="1">IF(NOTA[[#This Row],[ID_H]]="","",INDEX(NOTA[TGL.NOTA],MATCH(,INDIRECT(ADDRESS(ROW(NOTA[TGL.NOTA]),COLUMN(NOTA[TGL.NOTA]))&amp;":"&amp;ADDRESS(ROW(),COLUMN(NOTA[TGL.NOTA]))),-1)))</f>
        <v>45457</v>
      </c>
      <c r="AK257" s="26" t="str">
        <f ca="1">IF(NOTA[[#This Row],[ID_H]]="","",INDEX(NOTA[NO.NOTA],MATCH(NOTA[[#This Row],[ID_H]],NOTA[ID_H],0)))</f>
        <v>24/VI/185</v>
      </c>
      <c r="AL257" s="28" t="str">
        <f ca="1">IF(NOTA[[#This Row],[NAMA BARANG]]="","",INDEX(NOTA[SUPPLIER],MATCH(,INDIRECT(ADDRESS(ROW(NOTA[ID]),COLUMN(NOTA[ID]))&amp;":"&amp;ADDRESS(ROW(),COLUMN(NOTA[ID]))),-1)))</f>
        <v>MSI</v>
      </c>
      <c r="AM257" s="28" t="str">
        <f ca="1">IF(NOTA[[#This Row],[ID_H]]="","",IF(NOTA[[#This Row],[FAKTUR]]="",INDIRECT(ADDRESS(ROW()-1,COLUMN())),NOTA[[#This Row],[FAKTUR]]))</f>
        <v>UNTANA</v>
      </c>
      <c r="AN257" s="25">
        <f ca="1">IF(NOTA[[#This Row],[ID]]="","",COUNTIF(NOTA[ID_H],NOTA[[#This Row],[ID_H]]))</f>
        <v>1</v>
      </c>
      <c r="AO257" s="25">
        <f>IF(NOTA[[#This Row],[TGL.NOTA]]="",IF(NOTA[[#This Row],[SUPPLIER_H]]="","",AO256),MONTH(NOTA[[#This Row],[TGL.NOTA]]))</f>
        <v>6</v>
      </c>
      <c r="AP257" s="25" t="str">
        <f>LOWER(SUBSTITUTE(SUBSTITUTE(SUBSTITUTE(SUBSTITUTE(SUBSTITUTE(SUBSTITUTE(SUBSTITUTE(SUBSTITUTE(SUBSTITUTE(NOTA[[#This Row],[NAMA BARANG]]," ",),".",""),"-",""),"(",""),")",""),",",""),"/",""),"""",""),"+",""))</f>
        <v>gelpenzuizhuahy1020hitam</v>
      </c>
      <c r="AQ2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gelpenzuizhuahy1020hitam1920000</v>
      </c>
      <c r="AR2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gelpenzuizhuahy1020hitam1920000</v>
      </c>
      <c r="AS257" s="25" t="str">
        <f>IF(NOTA[[#This Row],[SUPPLIER]]="","",NOTA[[#This Row],[SUPPLIER]]&amp;NOTA[[#This Row],[FAKTUR]]&amp;NOTA[[#This Row],[NO.NOTA]]&amp;NOTA[[#This Row],[NO.SJ]]&amp;NOTA[[#This Row],[TGL.NOTA]]&amp;NOTA[[#This Row],[CONCAT1]])</f>
        <v>MSIUNTANA24/VI/18545457gelpenzuizhuahy1020hitam</v>
      </c>
      <c r="AT257" s="25"/>
      <c r="AU257" s="25">
        <f>IF(NOTA[[#This Row],[CONCAT1]]="","",MATCH(NOTA[[#This Row],[CONCAT1]],[3]!db[NB NOTA_C],0))</f>
        <v>1138</v>
      </c>
      <c r="AV257" s="25" t="str">
        <f>IF(NOTA[[#This Row],[QTY/ CTN]]="","",TRUE)</f>
        <v/>
      </c>
      <c r="AW257" s="25" t="str">
        <f ca="1">IF(NOTA[[#This Row],[ID_H]]="","",IF(NOTA[[#This Row],[Column3]]=TRUE,NOTA[[#This Row],[QTY/ CTN]],INDEX([3]!db[QTY/ CTN],NOTA[[#This Row],[//DB]])))</f>
        <v>192 LSN</v>
      </c>
      <c r="AX2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Y257" s="25">
        <f ca="1">IF(NOTA[[#This Row],[ID_H]]="","",MATCH(NOTA[[#This Row],[NB NOTA_C_QTY]],[3]!db[NB NOTA_C_QTY+F],0))</f>
        <v>1138</v>
      </c>
      <c r="AZ257" s="38">
        <f ca="1">IF(NOTA[[#This Row],[NB NOTA_C_QTY]]="","",ROW()-2)</f>
        <v>255</v>
      </c>
    </row>
    <row r="258" spans="1:52" ht="20.100000000000001" customHeight="1">
      <c r="A2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58" s="25" t="str">
        <f ca="1">IF(NOTA[[#This Row],[NAMA BARANG]]="","",INDEX(NOTA[ID],MATCH(,INDIRECT(ADDRESS(ROW(NOTA[ID]),COLUMN(NOTA[ID]))&amp;":"&amp;ADDRESS(ROW(),COLUMN(NOTA[ID]))),-1)))</f>
        <v/>
      </c>
      <c r="E258" s="33"/>
      <c r="H258" s="34"/>
      <c r="Q258" s="29"/>
      <c r="R258" s="35"/>
      <c r="S258" s="36"/>
      <c r="V258" s="37"/>
      <c r="W258" s="32"/>
      <c r="X258" s="37" t="str">
        <f>IF(NOTA[[#This Row],[HARGA/ CTN]]="",NOTA[[#This Row],[JUMLAH_H]],NOTA[[#This Row],[HARGA/ CTN]]*IF(NOTA[[#This Row],[C]]="",0,NOTA[[#This Row],[C]]))</f>
        <v/>
      </c>
      <c r="Y258" s="37" t="str">
        <f>IF(NOTA[[#This Row],[JUMLAH]]="","",NOTA[[#This Row],[JUMLAH]]*NOTA[[#This Row],[DISC 1]])</f>
        <v/>
      </c>
      <c r="Z258" s="37" t="str">
        <f>IF(NOTA[[#This Row],[JUMLAH]]="","",(NOTA[[#This Row],[JUMLAH]]-NOTA[[#This Row],[DISC 1-]])*NOTA[[#This Row],[DISC 2]])</f>
        <v/>
      </c>
      <c r="AA258" s="37" t="str">
        <f>IF(NOTA[[#This Row],[JUMLAH]]="","",(NOTA[[#This Row],[JUMLAH]]-NOTA[[#This Row],[DISC 1-]]-NOTA[[#This Row],[DISC 2-]])*NOTA[[#This Row],[DISC 3]])</f>
        <v/>
      </c>
      <c r="AB258" s="37" t="str">
        <f>IF(NOTA[[#This Row],[JUMLAH]]="","",NOTA[[#This Row],[DISC 1-]]+NOTA[[#This Row],[DISC 2-]]+NOTA[[#This Row],[DISC 3-]])</f>
        <v/>
      </c>
      <c r="AC258" s="37" t="str">
        <f>IF(NOTA[[#This Row],[JUMLAH]]="","",NOTA[[#This Row],[JUMLAH]]-NOTA[[#This Row],[DISC]])</f>
        <v/>
      </c>
      <c r="AD258" s="37"/>
      <c r="AE2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8" s="37" t="str">
        <f>IF(OR(NOTA[[#This Row],[QTY]]="",NOTA[[#This Row],[HARGA SATUAN]]="",),"",NOTA[[#This Row],[QTY]]*NOTA[[#This Row],[HARGA SATUAN]])</f>
        <v/>
      </c>
      <c r="AI258" s="26" t="str">
        <f ca="1">IF(NOTA[[#This Row],[ID_H]]="","",INDEX(NOTA[TANGGAL],MATCH(,INDIRECT(ADDRESS(ROW(NOTA[TANGGAL]),COLUMN(NOTA[TANGGAL]))&amp;":"&amp;ADDRESS(ROW(),COLUMN(NOTA[TANGGAL]))),-1)))</f>
        <v/>
      </c>
      <c r="AJ258" s="26" t="str">
        <f ca="1">IF(NOTA[[#This Row],[ID_H]]="","",INDEX(NOTA[TGL.NOTA],MATCH(,INDIRECT(ADDRESS(ROW(NOTA[TGL.NOTA]),COLUMN(NOTA[TGL.NOTA]))&amp;":"&amp;ADDRESS(ROW(),COLUMN(NOTA[TGL.NOTA]))),-1)))</f>
        <v/>
      </c>
      <c r="AK258" s="26" t="str">
        <f ca="1">IF(NOTA[[#This Row],[ID_H]]="","",INDEX(NOTA[NO.NOTA],MATCH(NOTA[[#This Row],[ID_H]],NOTA[ID_H],0)))</f>
        <v/>
      </c>
      <c r="AL258" s="28" t="str">
        <f ca="1">IF(NOTA[[#This Row],[NAMA BARANG]]="","",INDEX(NOTA[SUPPLIER],MATCH(,INDIRECT(ADDRESS(ROW(NOTA[ID]),COLUMN(NOTA[ID]))&amp;":"&amp;ADDRESS(ROW(),COLUMN(NOTA[ID]))),-1)))</f>
        <v/>
      </c>
      <c r="AM258" s="28" t="str">
        <f ca="1">IF(NOTA[[#This Row],[ID_H]]="","",IF(NOTA[[#This Row],[FAKTUR]]="",INDIRECT(ADDRESS(ROW()-1,COLUMN())),NOTA[[#This Row],[FAKTUR]]))</f>
        <v/>
      </c>
      <c r="AN258" s="25" t="str">
        <f ca="1">IF(NOTA[[#This Row],[ID]]="","",COUNTIF(NOTA[ID_H],NOTA[[#This Row],[ID_H]]))</f>
        <v/>
      </c>
      <c r="AO258" s="25" t="str">
        <f ca="1">IF(NOTA[[#This Row],[TGL.NOTA]]="",IF(NOTA[[#This Row],[SUPPLIER_H]]="","",AO257),MONTH(NOTA[[#This Row],[TGL.NOTA]]))</f>
        <v/>
      </c>
      <c r="AP2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8" s="25"/>
      <c r="AU258" s="25" t="str">
        <f>IF(NOTA[[#This Row],[CONCAT1]]="","",MATCH(NOTA[[#This Row],[CONCAT1]],[3]!db[NB NOTA_C],0))</f>
        <v/>
      </c>
      <c r="AV258" s="25" t="str">
        <f>IF(NOTA[[#This Row],[QTY/ CTN]]="","",TRUE)</f>
        <v/>
      </c>
      <c r="AW258" s="25" t="str">
        <f ca="1">IF(NOTA[[#This Row],[ID_H]]="","",IF(NOTA[[#This Row],[Column3]]=TRUE,NOTA[[#This Row],[QTY/ CTN]],INDEX([3]!db[QTY/ CTN],NOTA[[#This Row],[//DB]])))</f>
        <v/>
      </c>
      <c r="AX2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8" s="25" t="str">
        <f ca="1">IF(NOTA[[#This Row],[ID_H]]="","",MATCH(NOTA[[#This Row],[NB NOTA_C_QTY]],[3]!db[NB NOTA_C_QTY+F],0))</f>
        <v/>
      </c>
      <c r="AZ258" s="38" t="str">
        <f ca="1">IF(NOTA[[#This Row],[NB NOTA_C_QTY]]="","",ROW()-2)</f>
        <v/>
      </c>
    </row>
    <row r="259" spans="1:52" ht="20.100000000000001" customHeight="1">
      <c r="A259" s="28">
        <f ca="1">IF(INDIRECT(ADDRESS(ROW()-1,COLUMN(NOTA[[#Headers],[ID]])))="ID",1,IF(NOTA[[#This Row],[FAKTUR]]="","",COUNT(INDIRECT(ADDRESS(ROW(NOTA[ID]),COLUMN(NOTA[ID]))&amp;":"&amp;ADDRESS(ROW()-1,COLUMN(NOTA[ID]))))+1))</f>
        <v>50</v>
      </c>
      <c r="B25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COM_1906_630-1</v>
      </c>
      <c r="D259" s="25">
        <f ca="1">IF(NOTA[[#This Row],[NAMA BARANG]]="","",INDEX(NOTA[ID],MATCH(,INDIRECT(ADDRESS(ROW(NOTA[ID]),COLUMN(NOTA[ID]))&amp;":"&amp;ADDRESS(ROW(),COLUMN(NOTA[ID]))),-1)))</f>
        <v>50</v>
      </c>
      <c r="E259" s="33">
        <v>45462</v>
      </c>
      <c r="F259" s="25" t="s">
        <v>284</v>
      </c>
      <c r="G259" s="25" t="s">
        <v>109</v>
      </c>
      <c r="H259" s="34" t="s">
        <v>464</v>
      </c>
      <c r="J259" s="26">
        <v>45462</v>
      </c>
      <c r="L259" s="39" t="s">
        <v>309</v>
      </c>
      <c r="M259" s="27">
        <v>3</v>
      </c>
      <c r="N259" s="25">
        <v>24</v>
      </c>
      <c r="O259" s="25" t="s">
        <v>110</v>
      </c>
      <c r="P259" s="28">
        <v>195000</v>
      </c>
      <c r="Q259" s="29"/>
      <c r="R259" s="35"/>
      <c r="S259" s="36"/>
      <c r="V259" s="37"/>
      <c r="W259" s="32"/>
      <c r="X259" s="37">
        <f>IF(NOTA[[#This Row],[HARGA/ CTN]]="",NOTA[[#This Row],[JUMLAH_H]],NOTA[[#This Row],[HARGA/ CTN]]*IF(NOTA[[#This Row],[C]]="",0,NOTA[[#This Row],[C]]))</f>
        <v>4680000</v>
      </c>
      <c r="Y259" s="37">
        <f>IF(NOTA[[#This Row],[JUMLAH]]="","",NOTA[[#This Row],[JUMLAH]]*NOTA[[#This Row],[DISC 1]])</f>
        <v>0</v>
      </c>
      <c r="Z259" s="37">
        <f>IF(NOTA[[#This Row],[JUMLAH]]="","",(NOTA[[#This Row],[JUMLAH]]-NOTA[[#This Row],[DISC 1-]])*NOTA[[#This Row],[DISC 2]])</f>
        <v>0</v>
      </c>
      <c r="AA259" s="37">
        <f>IF(NOTA[[#This Row],[JUMLAH]]="","",(NOTA[[#This Row],[JUMLAH]]-NOTA[[#This Row],[DISC 1-]]-NOTA[[#This Row],[DISC 2-]])*NOTA[[#This Row],[DISC 3]])</f>
        <v>0</v>
      </c>
      <c r="AB259" s="37">
        <f>IF(NOTA[[#This Row],[JUMLAH]]="","",NOTA[[#This Row],[DISC 1-]]+NOTA[[#This Row],[DISC 2-]]+NOTA[[#This Row],[DISC 3-]])</f>
        <v>0</v>
      </c>
      <c r="AC259" s="37">
        <f>IF(NOTA[[#This Row],[JUMLAH]]="","",NOTA[[#This Row],[JUMLAH]]-NOTA[[#This Row],[DISC]])</f>
        <v>4680000</v>
      </c>
      <c r="AD259" s="37"/>
      <c r="AE25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5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4680000</v>
      </c>
      <c r="AG259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259" s="37">
        <f>IF(OR(NOTA[[#This Row],[QTY]]="",NOTA[[#This Row],[HARGA SATUAN]]="",),"",NOTA[[#This Row],[QTY]]*NOTA[[#This Row],[HARGA SATUAN]])</f>
        <v>4680000</v>
      </c>
      <c r="AI259" s="26">
        <f ca="1">IF(NOTA[[#This Row],[ID_H]]="","",INDEX(NOTA[TANGGAL],MATCH(,INDIRECT(ADDRESS(ROW(NOTA[TANGGAL]),COLUMN(NOTA[TANGGAL]))&amp;":"&amp;ADDRESS(ROW(),COLUMN(NOTA[TANGGAL]))),-1)))</f>
        <v>45462</v>
      </c>
      <c r="AJ259" s="26">
        <f ca="1">IF(NOTA[[#This Row],[ID_H]]="","",INDEX(NOTA[TGL.NOTA],MATCH(,INDIRECT(ADDRESS(ROW(NOTA[TGL.NOTA]),COLUMN(NOTA[TGL.NOTA]))&amp;":"&amp;ADDRESS(ROW(),COLUMN(NOTA[TGL.NOTA]))),-1)))</f>
        <v>45462</v>
      </c>
      <c r="AK259" s="26" t="str">
        <f ca="1">IF(NOTA[[#This Row],[ID_H]]="","",INDEX(NOTA[NO.NOTA],MATCH(NOTA[[#This Row],[ID_H]],NOTA[ID_H],0)))</f>
        <v>0630</v>
      </c>
      <c r="AL259" s="28" t="str">
        <f ca="1">IF(NOTA[[#This Row],[NAMA BARANG]]="","",INDEX(NOTA[SUPPLIER],MATCH(,INDIRECT(ADDRESS(ROW(NOTA[ID]),COLUMN(NOTA[ID]))&amp;":"&amp;ADDRESS(ROW(),COLUMN(NOTA[ID]))),-1)))</f>
        <v>COMBI</v>
      </c>
      <c r="AM259" s="28" t="str">
        <f ca="1">IF(NOTA[[#This Row],[ID_H]]="","",IF(NOTA[[#This Row],[FAKTUR]]="",INDIRECT(ADDRESS(ROW()-1,COLUMN())),NOTA[[#This Row],[FAKTUR]]))</f>
        <v>UNTANA</v>
      </c>
      <c r="AN259" s="25">
        <f ca="1">IF(NOTA[[#This Row],[ID]]="","",COUNTIF(NOTA[ID_H],NOTA[[#This Row],[ID_H]]))</f>
        <v>1</v>
      </c>
      <c r="AO259" s="25">
        <f>IF(NOTA[[#This Row],[TGL.NOTA]]="",IF(NOTA[[#This Row],[SUPPLIER_H]]="","",AO258),MONTH(NOTA[[#This Row],[TGL.NOTA]]))</f>
        <v>6</v>
      </c>
      <c r="AP259" s="25" t="str">
        <f>LOWER(SUBSTITUTE(SUBSTITUTE(SUBSTITUTE(SUBSTITUTE(SUBSTITUTE(SUBSTITUTE(SUBSTITUTE(SUBSTITUTE(SUBSTITUTE(NOTA[[#This Row],[NAMA BARANG]]," ",),".",""),"-",""),"(",""),")",""),",",""),"/",""),"""",""),"+",""))</f>
        <v>docritprestige</v>
      </c>
      <c r="AQ2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R2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S259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COMBIUNTANA063045462docritprestige</v>
      </c>
      <c r="AT259" s="25"/>
      <c r="AU259" s="25">
        <f>IF(NOTA[[#This Row],[CONCAT1]]="","",MATCH(NOTA[[#This Row],[CONCAT1]],[3]!db[NB NOTA_C],0))</f>
        <v>873</v>
      </c>
      <c r="AV259" s="25" t="str">
        <f>IF(NOTA[[#This Row],[QTY/ CTN]]="","",TRUE)</f>
        <v/>
      </c>
      <c r="AW259" s="25" t="str">
        <f ca="1">IF(NOTA[[#This Row],[ID_H]]="","",IF(NOTA[[#This Row],[Column3]]=TRUE,NOTA[[#This Row],[QTY/ CTN]],INDEX([3]!db[QTY/ CTN],NOTA[[#This Row],[//DB]])))</f>
        <v>8 LSN</v>
      </c>
      <c r="AX2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Y259" s="25">
        <f ca="1">IF(NOTA[[#This Row],[ID_H]]="","",MATCH(NOTA[[#This Row],[NB NOTA_C_QTY]],[3]!db[NB NOTA_C_QTY+F],0))</f>
        <v>873</v>
      </c>
      <c r="AZ259" s="38">
        <f ca="1">IF(NOTA[[#This Row],[NB NOTA_C_QTY]]="","",ROW()-2)</f>
        <v>257</v>
      </c>
    </row>
    <row r="260" spans="1:52" ht="20.100000000000001" customHeight="1">
      <c r="A2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60" s="25" t="str">
        <f ca="1">IF(NOTA[[#This Row],[NAMA BARANG]]="","",INDEX(NOTA[ID],MATCH(,INDIRECT(ADDRESS(ROW(NOTA[ID]),COLUMN(NOTA[ID]))&amp;":"&amp;ADDRESS(ROW(),COLUMN(NOTA[ID]))),-1)))</f>
        <v/>
      </c>
      <c r="E260" s="33"/>
      <c r="H260" s="34"/>
      <c r="Q260" s="29"/>
      <c r="R260" s="35"/>
      <c r="S260" s="36"/>
      <c r="V260" s="37"/>
      <c r="W260" s="32"/>
      <c r="X260" s="37" t="str">
        <f>IF(NOTA[[#This Row],[HARGA/ CTN]]="",NOTA[[#This Row],[JUMLAH_H]],NOTA[[#This Row],[HARGA/ CTN]]*IF(NOTA[[#This Row],[C]]="",0,NOTA[[#This Row],[C]]))</f>
        <v/>
      </c>
      <c r="Y260" s="37" t="str">
        <f>IF(NOTA[[#This Row],[JUMLAH]]="","",NOTA[[#This Row],[JUMLAH]]*NOTA[[#This Row],[DISC 1]])</f>
        <v/>
      </c>
      <c r="Z260" s="37" t="str">
        <f>IF(NOTA[[#This Row],[JUMLAH]]="","",(NOTA[[#This Row],[JUMLAH]]-NOTA[[#This Row],[DISC 1-]])*NOTA[[#This Row],[DISC 2]])</f>
        <v/>
      </c>
      <c r="AA260" s="37" t="str">
        <f>IF(NOTA[[#This Row],[JUMLAH]]="","",(NOTA[[#This Row],[JUMLAH]]-NOTA[[#This Row],[DISC 1-]]-NOTA[[#This Row],[DISC 2-]])*NOTA[[#This Row],[DISC 3]])</f>
        <v/>
      </c>
      <c r="AB260" s="37" t="str">
        <f>IF(NOTA[[#This Row],[JUMLAH]]="","",NOTA[[#This Row],[DISC 1-]]+NOTA[[#This Row],[DISC 2-]]+NOTA[[#This Row],[DISC 3-]])</f>
        <v/>
      </c>
      <c r="AC260" s="37" t="str">
        <f>IF(NOTA[[#This Row],[JUMLAH]]="","",NOTA[[#This Row],[JUMLAH]]-NOTA[[#This Row],[DISC]])</f>
        <v/>
      </c>
      <c r="AD260" s="37"/>
      <c r="AE2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0" s="37" t="str">
        <f>IF(OR(NOTA[[#This Row],[QTY]]="",NOTA[[#This Row],[HARGA SATUAN]]="",),"",NOTA[[#This Row],[QTY]]*NOTA[[#This Row],[HARGA SATUAN]])</f>
        <v/>
      </c>
      <c r="AI260" s="26" t="str">
        <f ca="1">IF(NOTA[[#This Row],[ID_H]]="","",INDEX(NOTA[TANGGAL],MATCH(,INDIRECT(ADDRESS(ROW(NOTA[TANGGAL]),COLUMN(NOTA[TANGGAL]))&amp;":"&amp;ADDRESS(ROW(),COLUMN(NOTA[TANGGAL]))),-1)))</f>
        <v/>
      </c>
      <c r="AJ260" s="26" t="str">
        <f ca="1">IF(NOTA[[#This Row],[ID_H]]="","",INDEX(NOTA[TGL.NOTA],MATCH(,INDIRECT(ADDRESS(ROW(NOTA[TGL.NOTA]),COLUMN(NOTA[TGL.NOTA]))&amp;":"&amp;ADDRESS(ROW(),COLUMN(NOTA[TGL.NOTA]))),-1)))</f>
        <v/>
      </c>
      <c r="AK260" s="26" t="str">
        <f ca="1">IF(NOTA[[#This Row],[ID_H]]="","",INDEX(NOTA[NO.NOTA],MATCH(NOTA[[#This Row],[ID_H]],NOTA[ID_H],0)))</f>
        <v/>
      </c>
      <c r="AL260" s="28" t="str">
        <f ca="1">IF(NOTA[[#This Row],[NAMA BARANG]]="","",INDEX(NOTA[SUPPLIER],MATCH(,INDIRECT(ADDRESS(ROW(NOTA[ID]),COLUMN(NOTA[ID]))&amp;":"&amp;ADDRESS(ROW(),COLUMN(NOTA[ID]))),-1)))</f>
        <v/>
      </c>
      <c r="AM260" s="28" t="str">
        <f ca="1">IF(NOTA[[#This Row],[ID_H]]="","",IF(NOTA[[#This Row],[FAKTUR]]="",INDIRECT(ADDRESS(ROW()-1,COLUMN())),NOTA[[#This Row],[FAKTUR]]))</f>
        <v/>
      </c>
      <c r="AN260" s="25" t="str">
        <f ca="1">IF(NOTA[[#This Row],[ID]]="","",COUNTIF(NOTA[ID_H],NOTA[[#This Row],[ID_H]]))</f>
        <v/>
      </c>
      <c r="AO260" s="25" t="str">
        <f ca="1">IF(NOTA[[#This Row],[TGL.NOTA]]="",IF(NOTA[[#This Row],[SUPPLIER_H]]="","",AO259),MONTH(NOTA[[#This Row],[TGL.NOTA]]))</f>
        <v/>
      </c>
      <c r="AP2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0" s="25"/>
      <c r="AU260" s="25" t="str">
        <f>IF(NOTA[[#This Row],[CONCAT1]]="","",MATCH(NOTA[[#This Row],[CONCAT1]],[3]!db[NB NOTA_C],0))</f>
        <v/>
      </c>
      <c r="AV260" s="25" t="str">
        <f>IF(NOTA[[#This Row],[QTY/ CTN]]="","",TRUE)</f>
        <v/>
      </c>
      <c r="AW260" s="25" t="str">
        <f ca="1">IF(NOTA[[#This Row],[ID_H]]="","",IF(NOTA[[#This Row],[Column3]]=TRUE,NOTA[[#This Row],[QTY/ CTN]],INDEX([3]!db[QTY/ CTN],NOTA[[#This Row],[//DB]])))</f>
        <v/>
      </c>
      <c r="AX2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0" s="25" t="str">
        <f ca="1">IF(NOTA[[#This Row],[ID_H]]="","",MATCH(NOTA[[#This Row],[NB NOTA_C_QTY]],[3]!db[NB NOTA_C_QTY+F],0))</f>
        <v/>
      </c>
      <c r="AZ260" s="38" t="str">
        <f ca="1">IF(NOTA[[#This Row],[NB NOTA_C_QTY]]="","",ROW()-2)</f>
        <v/>
      </c>
    </row>
    <row r="261" spans="1:52" ht="20.100000000000001" customHeight="1">
      <c r="A261" s="28">
        <f ca="1">IF(INDIRECT(ADDRESS(ROW()-1,COLUMN(NOTA[[#Headers],[ID]])))="ID",1,IF(NOTA[[#This Row],[FAKTUR]]="","",COUNT(INDIRECT(ADDRESS(ROW(NOTA[ID]),COLUMN(NOTA[ID]))&amp;":"&amp;ADDRESS(ROW()-1,COLUMN(NOTA[ID]))))+1))</f>
        <v>51</v>
      </c>
      <c r="B26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ALP_2206_ 03-3</v>
      </c>
      <c r="D261" s="25">
        <f ca="1">IF(NOTA[[#This Row],[NAMA BARANG]]="","",INDEX(NOTA[ID],MATCH(,INDIRECT(ADDRESS(ROW(NOTA[ID]),COLUMN(NOTA[ID]))&amp;":"&amp;ADDRESS(ROW(),COLUMN(NOTA[ID]))),-1)))</f>
        <v>51</v>
      </c>
      <c r="E261" s="33">
        <v>45465</v>
      </c>
      <c r="F261" s="25" t="s">
        <v>465</v>
      </c>
      <c r="G261" s="25" t="s">
        <v>109</v>
      </c>
      <c r="H261" s="34" t="s">
        <v>466</v>
      </c>
      <c r="J261" s="26">
        <v>45462</v>
      </c>
      <c r="L261" s="39" t="s">
        <v>481</v>
      </c>
      <c r="M261" s="27">
        <v>5</v>
      </c>
      <c r="N261" s="25">
        <v>1500</v>
      </c>
      <c r="O261" s="25" t="s">
        <v>222</v>
      </c>
      <c r="P261" s="28">
        <v>6500</v>
      </c>
      <c r="Q261" s="29"/>
      <c r="R261" s="35"/>
      <c r="S261" s="36"/>
      <c r="V261" s="37"/>
      <c r="W261" s="32"/>
      <c r="X261" s="37">
        <f>IF(NOTA[[#This Row],[HARGA/ CTN]]="",NOTA[[#This Row],[JUMLAH_H]],NOTA[[#This Row],[HARGA/ CTN]]*IF(NOTA[[#This Row],[C]]="",0,NOTA[[#This Row],[C]]))</f>
        <v>9750000</v>
      </c>
      <c r="Y261" s="37">
        <f>IF(NOTA[[#This Row],[JUMLAH]]="","",NOTA[[#This Row],[JUMLAH]]*NOTA[[#This Row],[DISC 1]])</f>
        <v>0</v>
      </c>
      <c r="Z261" s="37">
        <f>IF(NOTA[[#This Row],[JUMLAH]]="","",(NOTA[[#This Row],[JUMLAH]]-NOTA[[#This Row],[DISC 1-]])*NOTA[[#This Row],[DISC 2]])</f>
        <v>0</v>
      </c>
      <c r="AA261" s="37">
        <f>IF(NOTA[[#This Row],[JUMLAH]]="","",(NOTA[[#This Row],[JUMLAH]]-NOTA[[#This Row],[DISC 1-]]-NOTA[[#This Row],[DISC 2-]])*NOTA[[#This Row],[DISC 3]])</f>
        <v>0</v>
      </c>
      <c r="AB261" s="37">
        <f>IF(NOTA[[#This Row],[JUMLAH]]="","",NOTA[[#This Row],[DISC 1-]]+NOTA[[#This Row],[DISC 2-]]+NOTA[[#This Row],[DISC 3-]])</f>
        <v>0</v>
      </c>
      <c r="AC261" s="37">
        <f>IF(NOTA[[#This Row],[JUMLAH]]="","",NOTA[[#This Row],[JUMLAH]]-NOTA[[#This Row],[DISC]])</f>
        <v>9750000</v>
      </c>
      <c r="AD261" s="37"/>
      <c r="AE2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1" s="28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H261" s="37">
        <f>IF(OR(NOTA[[#This Row],[QTY]]="",NOTA[[#This Row],[HARGA SATUAN]]="",),"",NOTA[[#This Row],[QTY]]*NOTA[[#This Row],[HARGA SATUAN]])</f>
        <v>9750000</v>
      </c>
      <c r="AI261" s="26">
        <f ca="1">IF(NOTA[[#This Row],[ID_H]]="","",INDEX(NOTA[TANGGAL],MATCH(,INDIRECT(ADDRESS(ROW(NOTA[TANGGAL]),COLUMN(NOTA[TANGGAL]))&amp;":"&amp;ADDRESS(ROW(),COLUMN(NOTA[TANGGAL]))),-1)))</f>
        <v>45465</v>
      </c>
      <c r="AJ261" s="26">
        <f ca="1">IF(NOTA[[#This Row],[ID_H]]="","",INDEX(NOTA[TGL.NOTA],MATCH(,INDIRECT(ADDRESS(ROW(NOTA[TGL.NOTA]),COLUMN(NOTA[TGL.NOTA]))&amp;":"&amp;ADDRESS(ROW(),COLUMN(NOTA[TGL.NOTA]))),-1)))</f>
        <v>45462</v>
      </c>
      <c r="AK261" s="26" t="str">
        <f ca="1">IF(NOTA[[#This Row],[ID_H]]="","",INDEX(NOTA[NO.NOTA],MATCH(NOTA[[#This Row],[ID_H]],NOTA[ID_H],0)))</f>
        <v>H 03</v>
      </c>
      <c r="AL261" s="28" t="str">
        <f ca="1">IF(NOTA[[#This Row],[NAMA BARANG]]="","",INDEX(NOTA[SUPPLIER],MATCH(,INDIRECT(ADDRESS(ROW(NOTA[ID]),COLUMN(NOTA[ID]))&amp;":"&amp;ADDRESS(ROW(),COLUMN(NOTA[ID]))),-1)))</f>
        <v>ALPINDO</v>
      </c>
      <c r="AM261" s="28" t="str">
        <f ca="1">IF(NOTA[[#This Row],[ID_H]]="","",IF(NOTA[[#This Row],[FAKTUR]]="",INDIRECT(ADDRESS(ROW()-1,COLUMN())),NOTA[[#This Row],[FAKTUR]]))</f>
        <v>UNTANA</v>
      </c>
      <c r="AN261" s="25">
        <f ca="1">IF(NOTA[[#This Row],[ID]]="","",COUNTIF(NOTA[ID_H],NOTA[[#This Row],[ID_H]]))</f>
        <v>3</v>
      </c>
      <c r="AO261" s="25">
        <f>IF(NOTA[[#This Row],[TGL.NOTA]]="",IF(NOTA[[#This Row],[SUPPLIER_H]]="","",AO260),MONTH(NOTA[[#This Row],[TGL.NOTA]]))</f>
        <v>6</v>
      </c>
      <c r="AP261" s="25" t="str">
        <f>LOWER(SUBSTITUTE(SUBSTITUTE(SUBSTITUTE(SUBSTITUTE(SUBSTITUTE(SUBSTITUTE(SUBSTITUTE(SUBSTITUTE(SUBSTITUTE(NOTA[[#This Row],[NAMA BARANG]]," ",),".",""),"-",""),"(",""),")",""),",",""),"/",""),"""",""),"+",""))</f>
        <v>sampuloppalexanderkwarto</v>
      </c>
      <c r="AQ2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sampuloppalexanderkwarto1950000</v>
      </c>
      <c r="AR2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sampuloppalexanderkwarto1950000</v>
      </c>
      <c r="AS261" s="25" t="str">
        <f>IF(NOTA[[#This Row],[SUPPLIER]]="","",NOTA[[#This Row],[SUPPLIER]]&amp;NOTA[[#This Row],[FAKTUR]]&amp;NOTA[[#This Row],[NO.NOTA]]&amp;NOTA[[#This Row],[NO.SJ]]&amp;NOTA[[#This Row],[TGL.NOTA]]&amp;NOTA[[#This Row],[CONCAT1]])</f>
        <v>ALPINDOUNTANAH 0345462sampuloppalexanderkwarto</v>
      </c>
      <c r="AT261" s="25"/>
      <c r="AU261" s="25">
        <f>IF(NOTA[[#This Row],[CONCAT1]]="","",MATCH(NOTA[[#This Row],[CONCAT1]],[3]!db[NB NOTA_C],0))</f>
        <v>2826</v>
      </c>
      <c r="AV261" s="25" t="str">
        <f>IF(NOTA[[#This Row],[QTY/ CTN]]="","",TRUE)</f>
        <v/>
      </c>
      <c r="AW261" s="25" t="str">
        <f ca="1">IF(NOTA[[#This Row],[ID_H]]="","",IF(NOTA[[#This Row],[Column3]]=TRUE,NOTA[[#This Row],[QTY/ CTN]],INDEX([3]!db[QTY/ CTN],NOTA[[#This Row],[//DB]])))</f>
        <v>300 PAK</v>
      </c>
      <c r="AX2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sampuloppalexanderkwarto300pakuntana</v>
      </c>
      <c r="AY261" s="25">
        <f ca="1">IF(NOTA[[#This Row],[ID_H]]="","",MATCH(NOTA[[#This Row],[NB NOTA_C_QTY]],[3]!db[NB NOTA_C_QTY+F],0))</f>
        <v>2826</v>
      </c>
      <c r="AZ261" s="38">
        <f ca="1">IF(NOTA[[#This Row],[NB NOTA_C_QTY]]="","",ROW()-2)</f>
        <v>259</v>
      </c>
    </row>
    <row r="262" spans="1:52" ht="20.100000000000001" customHeight="1">
      <c r="A2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62" s="25">
        <f ca="1">IF(NOTA[[#This Row],[NAMA BARANG]]="","",INDEX(NOTA[ID],MATCH(,INDIRECT(ADDRESS(ROW(NOTA[ID]),COLUMN(NOTA[ID]))&amp;":"&amp;ADDRESS(ROW(),COLUMN(NOTA[ID]))),-1)))</f>
        <v>51</v>
      </c>
      <c r="E262" s="33"/>
      <c r="H262" s="34"/>
      <c r="L262" s="39" t="s">
        <v>482</v>
      </c>
      <c r="M262" s="27">
        <v>5</v>
      </c>
      <c r="N262" s="25">
        <v>200</v>
      </c>
      <c r="O262" s="25" t="s">
        <v>111</v>
      </c>
      <c r="P262" s="28">
        <v>17500</v>
      </c>
      <c r="Q262" s="29"/>
      <c r="R262" s="35"/>
      <c r="S262" s="36">
        <v>0.3</v>
      </c>
      <c r="V262" s="37"/>
      <c r="W262" s="32"/>
      <c r="X262" s="37">
        <f>IF(NOTA[[#This Row],[HARGA/ CTN]]="",NOTA[[#This Row],[JUMLAH_H]],NOTA[[#This Row],[HARGA/ CTN]]*IF(NOTA[[#This Row],[C]]="",0,NOTA[[#This Row],[C]]))</f>
        <v>3500000</v>
      </c>
      <c r="Y262" s="37">
        <f>IF(NOTA[[#This Row],[JUMLAH]]="","",NOTA[[#This Row],[JUMLAH]]*NOTA[[#This Row],[DISC 1]])</f>
        <v>1050000</v>
      </c>
      <c r="Z262" s="37">
        <f>IF(NOTA[[#This Row],[JUMLAH]]="","",(NOTA[[#This Row],[JUMLAH]]-NOTA[[#This Row],[DISC 1-]])*NOTA[[#This Row],[DISC 2]])</f>
        <v>0</v>
      </c>
      <c r="AA262" s="37">
        <f>IF(NOTA[[#This Row],[JUMLAH]]="","",(NOTA[[#This Row],[JUMLAH]]-NOTA[[#This Row],[DISC 1-]]-NOTA[[#This Row],[DISC 2-]])*NOTA[[#This Row],[DISC 3]])</f>
        <v>0</v>
      </c>
      <c r="AB262" s="37">
        <f>IF(NOTA[[#This Row],[JUMLAH]]="","",NOTA[[#This Row],[DISC 1-]]+NOTA[[#This Row],[DISC 2-]]+NOTA[[#This Row],[DISC 3-]])</f>
        <v>1050000</v>
      </c>
      <c r="AC262" s="37">
        <f>IF(NOTA[[#This Row],[JUMLAH]]="","",NOTA[[#This Row],[JUMLAH]]-NOTA[[#This Row],[DISC]])</f>
        <v>2450000</v>
      </c>
      <c r="AD262" s="37"/>
      <c r="AE2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2" s="28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H262" s="37">
        <f>IF(OR(NOTA[[#This Row],[QTY]]="",NOTA[[#This Row],[HARGA SATUAN]]="",),"",NOTA[[#This Row],[QTY]]*NOTA[[#This Row],[HARGA SATUAN]])</f>
        <v>3500000</v>
      </c>
      <c r="AI262" s="26">
        <f ca="1">IF(NOTA[[#This Row],[ID_H]]="","",INDEX(NOTA[TANGGAL],MATCH(,INDIRECT(ADDRESS(ROW(NOTA[TANGGAL]),COLUMN(NOTA[TANGGAL]))&amp;":"&amp;ADDRESS(ROW(),COLUMN(NOTA[TANGGAL]))),-1)))</f>
        <v>45465</v>
      </c>
      <c r="AJ262" s="26">
        <f ca="1">IF(NOTA[[#This Row],[ID_H]]="","",INDEX(NOTA[TGL.NOTA],MATCH(,INDIRECT(ADDRESS(ROW(NOTA[TGL.NOTA]),COLUMN(NOTA[TGL.NOTA]))&amp;":"&amp;ADDRESS(ROW(),COLUMN(NOTA[TGL.NOTA]))),-1)))</f>
        <v>45462</v>
      </c>
      <c r="AK262" s="26" t="str">
        <f ca="1">IF(NOTA[[#This Row],[ID_H]]="","",INDEX(NOTA[NO.NOTA],MATCH(NOTA[[#This Row],[ID_H]],NOTA[ID_H],0)))</f>
        <v>H 03</v>
      </c>
      <c r="AL262" s="28" t="str">
        <f ca="1">IF(NOTA[[#This Row],[NAMA BARANG]]="","",INDEX(NOTA[SUPPLIER],MATCH(,INDIRECT(ADDRESS(ROW(NOTA[ID]),COLUMN(NOTA[ID]))&amp;":"&amp;ADDRESS(ROW(),COLUMN(NOTA[ID]))),-1)))</f>
        <v>ALPINDO</v>
      </c>
      <c r="AM262" s="28" t="str">
        <f ca="1">IF(NOTA[[#This Row],[ID_H]]="","",IF(NOTA[[#This Row],[FAKTUR]]="",INDIRECT(ADDRESS(ROW()-1,COLUMN())),NOTA[[#This Row],[FAKTUR]]))</f>
        <v>UNTANA</v>
      </c>
      <c r="AN262" s="25" t="str">
        <f ca="1">IF(NOTA[[#This Row],[ID]]="","",COUNTIF(NOTA[ID_H],NOTA[[#This Row],[ID_H]]))</f>
        <v/>
      </c>
      <c r="AO262" s="25">
        <f ca="1">IF(NOTA[[#This Row],[TGL.NOTA]]="",IF(NOTA[[#This Row],[SUPPLIER_H]]="","",AO261),MONTH(NOTA[[#This Row],[TGL.NOTA]]))</f>
        <v>6</v>
      </c>
      <c r="AP262" s="25" t="str">
        <f>LOWER(SUBSTITUTE(SUBSTITUTE(SUBSTITUTE(SUBSTITUTE(SUBSTITUTE(SUBSTITUTE(SUBSTITUTE(SUBSTITUTE(SUBSTITUTE(NOTA[[#This Row],[NAMA BARANG]]," ",),".",""),"-",""),"(",""),")",""),",",""),"/",""),"""",""),"+",""))</f>
        <v>dispkjno50</v>
      </c>
      <c r="AQ2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dispkjno507000000,3</v>
      </c>
      <c r="AR2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dispkjno507000000,3</v>
      </c>
      <c r="AS2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2" s="25"/>
      <c r="AU262" s="25">
        <f>IF(NOTA[[#This Row],[CONCAT1]]="","",MATCH(NOTA[[#This Row],[CONCAT1]],[3]!db[NB NOTA_C],0))</f>
        <v>833</v>
      </c>
      <c r="AV262" s="25" t="str">
        <f>IF(NOTA[[#This Row],[QTY/ CTN]]="","",TRUE)</f>
        <v/>
      </c>
      <c r="AW262" s="25" t="str">
        <f ca="1">IF(NOTA[[#This Row],[ID_H]]="","",IF(NOTA[[#This Row],[Column3]]=TRUE,NOTA[[#This Row],[QTY/ CTN]],INDEX([3]!db[QTY/ CTN],NOTA[[#This Row],[//DB]])))</f>
        <v>40 PCS</v>
      </c>
      <c r="AX2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dispkjno5040pcsuntana</v>
      </c>
      <c r="AY262" s="25">
        <f ca="1">IF(NOTA[[#This Row],[ID_H]]="","",MATCH(NOTA[[#This Row],[NB NOTA_C_QTY]],[3]!db[NB NOTA_C_QTY+F],0))</f>
        <v>833</v>
      </c>
      <c r="AZ262" s="38">
        <f ca="1">IF(NOTA[[#This Row],[NB NOTA_C_QTY]]="","",ROW()-2)</f>
        <v>260</v>
      </c>
    </row>
    <row r="263" spans="1:52" ht="20.100000000000001" customHeight="1">
      <c r="A2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63" s="25">
        <f ca="1">IF(NOTA[[#This Row],[NAMA BARANG]]="","",INDEX(NOTA[ID],MATCH(,INDIRECT(ADDRESS(ROW(NOTA[ID]),COLUMN(NOTA[ID]))&amp;":"&amp;ADDRESS(ROW(),COLUMN(NOTA[ID]))),-1)))</f>
        <v>51</v>
      </c>
      <c r="E263" s="33"/>
      <c r="H263" s="34"/>
      <c r="L263" s="39" t="s">
        <v>483</v>
      </c>
      <c r="M263" s="27">
        <v>1</v>
      </c>
      <c r="N263" s="25">
        <v>175</v>
      </c>
      <c r="O263" s="25" t="s">
        <v>111</v>
      </c>
      <c r="P263" s="28">
        <v>6000</v>
      </c>
      <c r="Q263" s="29"/>
      <c r="R263" s="35"/>
      <c r="S263" s="36">
        <v>0.05</v>
      </c>
      <c r="V263" s="37"/>
      <c r="W263" s="32"/>
      <c r="X263" s="37">
        <f>IF(NOTA[[#This Row],[HARGA/ CTN]]="",NOTA[[#This Row],[JUMLAH_H]],NOTA[[#This Row],[HARGA/ CTN]]*IF(NOTA[[#This Row],[C]]="",0,NOTA[[#This Row],[C]]))</f>
        <v>1050000</v>
      </c>
      <c r="Y263" s="37">
        <f>IF(NOTA[[#This Row],[JUMLAH]]="","",NOTA[[#This Row],[JUMLAH]]*NOTA[[#This Row],[DISC 1]])</f>
        <v>52500</v>
      </c>
      <c r="Z263" s="37">
        <f>IF(NOTA[[#This Row],[JUMLAH]]="","",(NOTA[[#This Row],[JUMLAH]]-NOTA[[#This Row],[DISC 1-]])*NOTA[[#This Row],[DISC 2]])</f>
        <v>0</v>
      </c>
      <c r="AA263" s="37">
        <f>IF(NOTA[[#This Row],[JUMLAH]]="","",(NOTA[[#This Row],[JUMLAH]]-NOTA[[#This Row],[DISC 1-]]-NOTA[[#This Row],[DISC 2-]])*NOTA[[#This Row],[DISC 3]])</f>
        <v>0</v>
      </c>
      <c r="AB263" s="37">
        <f>IF(NOTA[[#This Row],[JUMLAH]]="","",NOTA[[#This Row],[DISC 1-]]+NOTA[[#This Row],[DISC 2-]]+NOTA[[#This Row],[DISC 3-]])</f>
        <v>52500</v>
      </c>
      <c r="AC263" s="37">
        <f>IF(NOTA[[#This Row],[JUMLAH]]="","",NOTA[[#This Row],[JUMLAH]]-NOTA[[#This Row],[DISC]])</f>
        <v>997500</v>
      </c>
      <c r="AD263" s="37"/>
      <c r="AE26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1102500</v>
      </c>
      <c r="AF26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13197500</v>
      </c>
      <c r="AG263" s="2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H263" s="37">
        <f>IF(OR(NOTA[[#This Row],[QTY]]="",NOTA[[#This Row],[HARGA SATUAN]]="",),"",NOTA[[#This Row],[QTY]]*NOTA[[#This Row],[HARGA SATUAN]])</f>
        <v>1050000</v>
      </c>
      <c r="AI263" s="26">
        <f ca="1">IF(NOTA[[#This Row],[ID_H]]="","",INDEX(NOTA[TANGGAL],MATCH(,INDIRECT(ADDRESS(ROW(NOTA[TANGGAL]),COLUMN(NOTA[TANGGAL]))&amp;":"&amp;ADDRESS(ROW(),COLUMN(NOTA[TANGGAL]))),-1)))</f>
        <v>45465</v>
      </c>
      <c r="AJ263" s="26">
        <f ca="1">IF(NOTA[[#This Row],[ID_H]]="","",INDEX(NOTA[TGL.NOTA],MATCH(,INDIRECT(ADDRESS(ROW(NOTA[TGL.NOTA]),COLUMN(NOTA[TGL.NOTA]))&amp;":"&amp;ADDRESS(ROW(),COLUMN(NOTA[TGL.NOTA]))),-1)))</f>
        <v>45462</v>
      </c>
      <c r="AK263" s="26" t="str">
        <f ca="1">IF(NOTA[[#This Row],[ID_H]]="","",INDEX(NOTA[NO.NOTA],MATCH(NOTA[[#This Row],[ID_H]],NOTA[ID_H],0)))</f>
        <v>H 03</v>
      </c>
      <c r="AL263" s="28" t="str">
        <f ca="1">IF(NOTA[[#This Row],[NAMA BARANG]]="","",INDEX(NOTA[SUPPLIER],MATCH(,INDIRECT(ADDRESS(ROW(NOTA[ID]),COLUMN(NOTA[ID]))&amp;":"&amp;ADDRESS(ROW(),COLUMN(NOTA[ID]))),-1)))</f>
        <v>ALPINDO</v>
      </c>
      <c r="AM263" s="28" t="str">
        <f ca="1">IF(NOTA[[#This Row],[ID_H]]="","",IF(NOTA[[#This Row],[FAKTUR]]="",INDIRECT(ADDRESS(ROW()-1,COLUMN())),NOTA[[#This Row],[FAKTUR]]))</f>
        <v>UNTANA</v>
      </c>
      <c r="AN263" s="25" t="str">
        <f ca="1">IF(NOTA[[#This Row],[ID]]="","",COUNTIF(NOTA[ID_H],NOTA[[#This Row],[ID_H]]))</f>
        <v/>
      </c>
      <c r="AO263" s="25">
        <f ca="1">IF(NOTA[[#This Row],[TGL.NOTA]]="",IF(NOTA[[#This Row],[SUPPLIER_H]]="","",AO262),MONTH(NOTA[[#This Row],[TGL.NOTA]]))</f>
        <v>6</v>
      </c>
      <c r="AP263" s="25" t="str">
        <f>LOWER(SUBSTITUTE(SUBSTITUTE(SUBSTITUTE(SUBSTITUTE(SUBSTITUTE(SUBSTITUTE(SUBSTITUTE(SUBSTITUTE(SUBSTITUTE(NOTA[[#This Row],[NAMA BARANG]]," ",),".",""),"-",""),"(",""),")",""),",",""),"/",""),"""",""),"+",""))</f>
        <v>dispenserkenjoyno25</v>
      </c>
      <c r="AQ2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dispenserkenjoyno2510500000,05</v>
      </c>
      <c r="AR2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dispenserkenjoyno2510500000,05</v>
      </c>
      <c r="AS2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3" s="25"/>
      <c r="AU263" s="25">
        <f>IF(NOTA[[#This Row],[CONCAT1]]="","",MATCH(NOTA[[#This Row],[CONCAT1]],[3]!db[NB NOTA_C],0))</f>
        <v>834</v>
      </c>
      <c r="AV263" s="25" t="str">
        <f>IF(NOTA[[#This Row],[QTY/ CTN]]="","",TRUE)</f>
        <v/>
      </c>
      <c r="AW263" s="25" t="str">
        <f ca="1">IF(NOTA[[#This Row],[ID_H]]="","",IF(NOTA[[#This Row],[Column3]]=TRUE,NOTA[[#This Row],[QTY/ CTN]],INDEX([3]!db[QTY/ CTN],NOTA[[#This Row],[//DB]])))</f>
        <v>175 PCS</v>
      </c>
      <c r="AX2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dispenserkenjoyno25175pcsuntana</v>
      </c>
      <c r="AY263" s="25">
        <f ca="1">IF(NOTA[[#This Row],[ID_H]]="","",MATCH(NOTA[[#This Row],[NB NOTA_C_QTY]],[3]!db[NB NOTA_C_QTY+F],0))</f>
        <v>834</v>
      </c>
      <c r="AZ263" s="38">
        <f ca="1">IF(NOTA[[#This Row],[NB NOTA_C_QTY]]="","",ROW()-2)</f>
        <v>261</v>
      </c>
    </row>
    <row r="264" spans="1:52" ht="20.100000000000001" customHeight="1">
      <c r="A2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64" s="25" t="str">
        <f ca="1">IF(NOTA[[#This Row],[NAMA BARANG]]="","",INDEX(NOTA[ID],MATCH(,INDIRECT(ADDRESS(ROW(NOTA[ID]),COLUMN(NOTA[ID]))&amp;":"&amp;ADDRESS(ROW(),COLUMN(NOTA[ID]))),-1)))</f>
        <v/>
      </c>
      <c r="E264" s="33"/>
      <c r="H264" s="34"/>
      <c r="Q264" s="29"/>
      <c r="R264" s="35"/>
      <c r="S264" s="36"/>
      <c r="V264" s="37"/>
      <c r="W264" s="32"/>
      <c r="X264" s="37" t="str">
        <f>IF(NOTA[[#This Row],[HARGA/ CTN]]="",NOTA[[#This Row],[JUMLAH_H]],NOTA[[#This Row],[HARGA/ CTN]]*IF(NOTA[[#This Row],[C]]="",0,NOTA[[#This Row],[C]]))</f>
        <v/>
      </c>
      <c r="Y264" s="37" t="str">
        <f>IF(NOTA[[#This Row],[JUMLAH]]="","",NOTA[[#This Row],[JUMLAH]]*NOTA[[#This Row],[DISC 1]])</f>
        <v/>
      </c>
      <c r="Z264" s="37" t="str">
        <f>IF(NOTA[[#This Row],[JUMLAH]]="","",(NOTA[[#This Row],[JUMLAH]]-NOTA[[#This Row],[DISC 1-]])*NOTA[[#This Row],[DISC 2]])</f>
        <v/>
      </c>
      <c r="AA264" s="37" t="str">
        <f>IF(NOTA[[#This Row],[JUMLAH]]="","",(NOTA[[#This Row],[JUMLAH]]-NOTA[[#This Row],[DISC 1-]]-NOTA[[#This Row],[DISC 2-]])*NOTA[[#This Row],[DISC 3]])</f>
        <v/>
      </c>
      <c r="AB264" s="37" t="str">
        <f>IF(NOTA[[#This Row],[JUMLAH]]="","",NOTA[[#This Row],[DISC 1-]]+NOTA[[#This Row],[DISC 2-]]+NOTA[[#This Row],[DISC 3-]])</f>
        <v/>
      </c>
      <c r="AC264" s="37" t="str">
        <f>IF(NOTA[[#This Row],[JUMLAH]]="","",NOTA[[#This Row],[JUMLAH]]-NOTA[[#This Row],[DISC]])</f>
        <v/>
      </c>
      <c r="AD264" s="37"/>
      <c r="AE2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4" s="37" t="str">
        <f>IF(OR(NOTA[[#This Row],[QTY]]="",NOTA[[#This Row],[HARGA SATUAN]]="",),"",NOTA[[#This Row],[QTY]]*NOTA[[#This Row],[HARGA SATUAN]])</f>
        <v/>
      </c>
      <c r="AI264" s="26" t="str">
        <f ca="1">IF(NOTA[[#This Row],[ID_H]]="","",INDEX(NOTA[TANGGAL],MATCH(,INDIRECT(ADDRESS(ROW(NOTA[TANGGAL]),COLUMN(NOTA[TANGGAL]))&amp;":"&amp;ADDRESS(ROW(),COLUMN(NOTA[TANGGAL]))),-1)))</f>
        <v/>
      </c>
      <c r="AJ264" s="26" t="str">
        <f ca="1">IF(NOTA[[#This Row],[ID_H]]="","",INDEX(NOTA[TGL.NOTA],MATCH(,INDIRECT(ADDRESS(ROW(NOTA[TGL.NOTA]),COLUMN(NOTA[TGL.NOTA]))&amp;":"&amp;ADDRESS(ROW(),COLUMN(NOTA[TGL.NOTA]))),-1)))</f>
        <v/>
      </c>
      <c r="AK264" s="26" t="str">
        <f ca="1">IF(NOTA[[#This Row],[ID_H]]="","",INDEX(NOTA[NO.NOTA],MATCH(NOTA[[#This Row],[ID_H]],NOTA[ID_H],0)))</f>
        <v/>
      </c>
      <c r="AL264" s="28" t="str">
        <f ca="1">IF(NOTA[[#This Row],[NAMA BARANG]]="","",INDEX(NOTA[SUPPLIER],MATCH(,INDIRECT(ADDRESS(ROW(NOTA[ID]),COLUMN(NOTA[ID]))&amp;":"&amp;ADDRESS(ROW(),COLUMN(NOTA[ID]))),-1)))</f>
        <v/>
      </c>
      <c r="AM264" s="28" t="str">
        <f ca="1">IF(NOTA[[#This Row],[ID_H]]="","",IF(NOTA[[#This Row],[FAKTUR]]="",INDIRECT(ADDRESS(ROW()-1,COLUMN())),NOTA[[#This Row],[FAKTUR]]))</f>
        <v/>
      </c>
      <c r="AN264" s="25" t="str">
        <f ca="1">IF(NOTA[[#This Row],[ID]]="","",COUNTIF(NOTA[ID_H],NOTA[[#This Row],[ID_H]]))</f>
        <v/>
      </c>
      <c r="AO264" s="25" t="str">
        <f ca="1">IF(NOTA[[#This Row],[TGL.NOTA]]="",IF(NOTA[[#This Row],[SUPPLIER_H]]="","",AO263),MONTH(NOTA[[#This Row],[TGL.NOTA]]))</f>
        <v/>
      </c>
      <c r="AP2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4" s="25"/>
      <c r="AU264" s="25" t="str">
        <f>IF(NOTA[[#This Row],[CONCAT1]]="","",MATCH(NOTA[[#This Row],[CONCAT1]],[3]!db[NB NOTA_C],0))</f>
        <v/>
      </c>
      <c r="AV264" s="25" t="str">
        <f>IF(NOTA[[#This Row],[QTY/ CTN]]="","",TRUE)</f>
        <v/>
      </c>
      <c r="AW264" s="25" t="str">
        <f ca="1">IF(NOTA[[#This Row],[ID_H]]="","",IF(NOTA[[#This Row],[Column3]]=TRUE,NOTA[[#This Row],[QTY/ CTN]],INDEX([3]!db[QTY/ CTN],NOTA[[#This Row],[//DB]])))</f>
        <v/>
      </c>
      <c r="AX2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4" s="25" t="str">
        <f ca="1">IF(NOTA[[#This Row],[ID_H]]="","",MATCH(NOTA[[#This Row],[NB NOTA_C_QTY]],[3]!db[NB NOTA_C_QTY+F],0))</f>
        <v/>
      </c>
      <c r="AZ264" s="38" t="str">
        <f ca="1">IF(NOTA[[#This Row],[NB NOTA_C_QTY]]="","",ROW()-2)</f>
        <v/>
      </c>
    </row>
    <row r="265" spans="1:52" ht="20.100000000000001" customHeight="1">
      <c r="A265" s="28">
        <f ca="1">IF(INDIRECT(ADDRESS(ROW()-1,COLUMN(NOTA[[#Headers],[ID]])))="ID",1,IF(NOTA[[#This Row],[FAKTUR]]="","",COUNT(INDIRECT(ADDRESS(ROW(NOTA[ID]),COLUMN(NOTA[ID]))&amp;":"&amp;ADDRESS(ROW()-1,COLUMN(NOTA[ID]))))+1))</f>
        <v>52</v>
      </c>
      <c r="B26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PPW_2506_I24-1</v>
      </c>
      <c r="D265" s="25">
        <f ca="1">IF(NOTA[[#This Row],[NAMA BARANG]]="","",INDEX(NOTA[ID],MATCH(,INDIRECT(ADDRESS(ROW(NOTA[ID]),COLUMN(NOTA[ID]))&amp;":"&amp;ADDRESS(ROW(),COLUMN(NOTA[ID]))),-1)))</f>
        <v>52</v>
      </c>
      <c r="E265" s="33">
        <v>45468</v>
      </c>
      <c r="F265" s="25" t="s">
        <v>485</v>
      </c>
      <c r="G265" s="25" t="s">
        <v>109</v>
      </c>
      <c r="H265" s="34" t="s">
        <v>486</v>
      </c>
      <c r="J265" s="26">
        <v>45465</v>
      </c>
      <c r="L265" s="25" t="s">
        <v>487</v>
      </c>
      <c r="M265" s="27">
        <v>15</v>
      </c>
      <c r="N265" s="25">
        <v>1500</v>
      </c>
      <c r="O265" s="25" t="s">
        <v>110</v>
      </c>
      <c r="P265" s="28">
        <v>26780</v>
      </c>
      <c r="Q265" s="29"/>
      <c r="R265" s="35"/>
      <c r="S265" s="36">
        <v>0.2</v>
      </c>
      <c r="T265" s="31">
        <v>0.04</v>
      </c>
      <c r="V265" s="37"/>
      <c r="W265" s="32"/>
      <c r="X265" s="37">
        <f>IF(NOTA[[#This Row],[HARGA/ CTN]]="",NOTA[[#This Row],[JUMLAH_H]],NOTA[[#This Row],[HARGA/ CTN]]*IF(NOTA[[#This Row],[C]]="",0,NOTA[[#This Row],[C]]))</f>
        <v>40170000</v>
      </c>
      <c r="Y265" s="37">
        <f>IF(NOTA[[#This Row],[JUMLAH]]="","",NOTA[[#This Row],[JUMLAH]]*NOTA[[#This Row],[DISC 1]])</f>
        <v>8034000</v>
      </c>
      <c r="Z265" s="37">
        <f>IF(NOTA[[#This Row],[JUMLAH]]="","",(NOTA[[#This Row],[JUMLAH]]-NOTA[[#This Row],[DISC 1-]])*NOTA[[#This Row],[DISC 2]])</f>
        <v>1285440</v>
      </c>
      <c r="AA265" s="37">
        <f>IF(NOTA[[#This Row],[JUMLAH]]="","",(NOTA[[#This Row],[JUMLAH]]-NOTA[[#This Row],[DISC 1-]]-NOTA[[#This Row],[DISC 2-]])*NOTA[[#This Row],[DISC 3]])</f>
        <v>0</v>
      </c>
      <c r="AB265" s="37">
        <f>IF(NOTA[[#This Row],[JUMLAH]]="","",NOTA[[#This Row],[DISC 1-]]+NOTA[[#This Row],[DISC 2-]]+NOTA[[#This Row],[DISC 3-]])</f>
        <v>9319440</v>
      </c>
      <c r="AC265" s="37">
        <f>IF(NOTA[[#This Row],[JUMLAH]]="","",NOTA[[#This Row],[JUMLAH]]-NOTA[[#This Row],[DISC]])</f>
        <v>30850560</v>
      </c>
      <c r="AD265" s="37"/>
      <c r="AE26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9319440</v>
      </c>
      <c r="AF26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30850560</v>
      </c>
      <c r="AG265" s="28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H265" s="37">
        <f>IF(OR(NOTA[[#This Row],[QTY]]="",NOTA[[#This Row],[HARGA SATUAN]]="",),"",NOTA[[#This Row],[QTY]]*NOTA[[#This Row],[HARGA SATUAN]])</f>
        <v>40170000</v>
      </c>
      <c r="AI265" s="26">
        <f ca="1">IF(NOTA[[#This Row],[ID_H]]="","",INDEX(NOTA[TANGGAL],MATCH(,INDIRECT(ADDRESS(ROW(NOTA[TANGGAL]),COLUMN(NOTA[TANGGAL]))&amp;":"&amp;ADDRESS(ROW(),COLUMN(NOTA[TANGGAL]))),-1)))</f>
        <v>45468</v>
      </c>
      <c r="AJ265" s="26">
        <f ca="1">IF(NOTA[[#This Row],[ID_H]]="","",INDEX(NOTA[TGL.NOTA],MATCH(,INDIRECT(ADDRESS(ROW(NOTA[TGL.NOTA]),COLUMN(NOTA[TGL.NOTA]))&amp;":"&amp;ADDRESS(ROW(),COLUMN(NOTA[TGL.NOTA]))),-1)))</f>
        <v>45465</v>
      </c>
      <c r="AK265" s="26" t="str">
        <f ca="1">IF(NOTA[[#This Row],[ID_H]]="","",INDEX(NOTA[NO.NOTA],MATCH(NOTA[[#This Row],[ID_H]],NOTA[ID_H],0)))</f>
        <v>0287/HW/VI/24</v>
      </c>
      <c r="AL265" s="28" t="str">
        <f ca="1">IF(NOTA[[#This Row],[NAMA BARANG]]="","",INDEX(NOTA[SUPPLIER],MATCH(,INDIRECT(ADDRESS(ROW(NOTA[ID]),COLUMN(NOTA[ID]))&amp;":"&amp;ADDRESS(ROW(),COLUMN(NOTA[ID]))),-1)))</f>
        <v>PPW</v>
      </c>
      <c r="AM265" s="28" t="str">
        <f ca="1">IF(NOTA[[#This Row],[ID_H]]="","",IF(NOTA[[#This Row],[FAKTUR]]="",INDIRECT(ADDRESS(ROW()-1,COLUMN())),NOTA[[#This Row],[FAKTUR]]))</f>
        <v>UNTANA</v>
      </c>
      <c r="AN265" s="25">
        <f ca="1">IF(NOTA[[#This Row],[ID]]="","",COUNTIF(NOTA[ID_H],NOTA[[#This Row],[ID_H]]))</f>
        <v>1</v>
      </c>
      <c r="AO265" s="25">
        <f>IF(NOTA[[#This Row],[TGL.NOTA]]="",IF(NOTA[[#This Row],[SUPPLIER_H]]="","",AO264),MONTH(NOTA[[#This Row],[TGL.NOTA]]))</f>
        <v>6</v>
      </c>
      <c r="AP265" s="25" t="str">
        <f>LOWER(SUBSTITUTE(SUBSTITUTE(SUBSTITUTE(SUBSTITUTE(SUBSTITUTE(SUBSTITUTE(SUBSTITUTE(SUBSTITUTE(SUBSTITUTE(NOTA[[#This Row],[NAMA BARANG]]," ",),".",""),"-",""),"(",""),")",""),",",""),"/",""),"""",""),"+",""))</f>
        <v>bt30cm</v>
      </c>
      <c r="AQ2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bt30cm26780000,20,04</v>
      </c>
      <c r="AR2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bt30cm26780000,20,04</v>
      </c>
      <c r="AS265" s="25" t="str">
        <f>IF(NOTA[[#This Row],[SUPPLIER]]="","",NOTA[[#This Row],[SUPPLIER]]&amp;NOTA[[#This Row],[FAKTUR]]&amp;NOTA[[#This Row],[NO.NOTA]]&amp;NOTA[[#This Row],[NO.SJ]]&amp;NOTA[[#This Row],[TGL.NOTA]]&amp;NOTA[[#This Row],[CONCAT1]])</f>
        <v>PPWUNTANA0287/HW/VI/2445465bt30cm</v>
      </c>
      <c r="AT265" s="25"/>
      <c r="AU265" s="25">
        <f>IF(NOTA[[#This Row],[CONCAT1]]="","",MATCH(NOTA[[#This Row],[CONCAT1]],[3]!db[NB NOTA_C],0))</f>
        <v>513</v>
      </c>
      <c r="AV265" s="25" t="str">
        <f>IF(NOTA[[#This Row],[QTY/ CTN]]="","",TRUE)</f>
        <v/>
      </c>
      <c r="AW265" s="25" t="str">
        <f ca="1">IF(NOTA[[#This Row],[ID_H]]="","",IF(NOTA[[#This Row],[Column3]]=TRUE,NOTA[[#This Row],[QTY/ CTN]],INDEX([3]!db[QTY/ CTN],NOTA[[#This Row],[//DB]])))</f>
        <v>100 LSN</v>
      </c>
      <c r="AX2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Y265" s="25">
        <f ca="1">IF(NOTA[[#This Row],[ID_H]]="","",MATCH(NOTA[[#This Row],[NB NOTA_C_QTY]],[3]!db[NB NOTA_C_QTY+F],0))</f>
        <v>513</v>
      </c>
      <c r="AZ265" s="38">
        <f ca="1">IF(NOTA[[#This Row],[NB NOTA_C_QTY]]="","",ROW()-2)</f>
        <v>263</v>
      </c>
    </row>
    <row r="266" spans="1:52" ht="20.100000000000001" customHeight="1">
      <c r="A2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66" s="25" t="str">
        <f ca="1">IF(NOTA[[#This Row],[NAMA BARANG]]="","",INDEX(NOTA[ID],MATCH(,INDIRECT(ADDRESS(ROW(NOTA[ID]),COLUMN(NOTA[ID]))&amp;":"&amp;ADDRESS(ROW(),COLUMN(NOTA[ID]))),-1)))</f>
        <v/>
      </c>
      <c r="E266" s="33"/>
      <c r="H266" s="34"/>
      <c r="Q266" s="29"/>
      <c r="R266" s="35"/>
      <c r="S266" s="36"/>
      <c r="V266" s="37"/>
      <c r="W266" s="32"/>
      <c r="X266" s="37" t="str">
        <f>IF(NOTA[[#This Row],[HARGA/ CTN]]="",NOTA[[#This Row],[JUMLAH_H]],NOTA[[#This Row],[HARGA/ CTN]]*IF(NOTA[[#This Row],[C]]="",0,NOTA[[#This Row],[C]]))</f>
        <v/>
      </c>
      <c r="Y266" s="37" t="str">
        <f>IF(NOTA[[#This Row],[JUMLAH]]="","",NOTA[[#This Row],[JUMLAH]]*NOTA[[#This Row],[DISC 1]])</f>
        <v/>
      </c>
      <c r="Z266" s="37" t="str">
        <f>IF(NOTA[[#This Row],[JUMLAH]]="","",(NOTA[[#This Row],[JUMLAH]]-NOTA[[#This Row],[DISC 1-]])*NOTA[[#This Row],[DISC 2]])</f>
        <v/>
      </c>
      <c r="AA266" s="37" t="str">
        <f>IF(NOTA[[#This Row],[JUMLAH]]="","",(NOTA[[#This Row],[JUMLAH]]-NOTA[[#This Row],[DISC 1-]]-NOTA[[#This Row],[DISC 2-]])*NOTA[[#This Row],[DISC 3]])</f>
        <v/>
      </c>
      <c r="AB266" s="37" t="str">
        <f>IF(NOTA[[#This Row],[JUMLAH]]="","",NOTA[[#This Row],[DISC 1-]]+NOTA[[#This Row],[DISC 2-]]+NOTA[[#This Row],[DISC 3-]])</f>
        <v/>
      </c>
      <c r="AC266" s="37" t="str">
        <f>IF(NOTA[[#This Row],[JUMLAH]]="","",NOTA[[#This Row],[JUMLAH]]-NOTA[[#This Row],[DISC]])</f>
        <v/>
      </c>
      <c r="AD266" s="37"/>
      <c r="AE2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6" s="37" t="str">
        <f>IF(OR(NOTA[[#This Row],[QTY]]="",NOTA[[#This Row],[HARGA SATUAN]]="",),"",NOTA[[#This Row],[QTY]]*NOTA[[#This Row],[HARGA SATUAN]])</f>
        <v/>
      </c>
      <c r="AI266" s="26" t="str">
        <f ca="1">IF(NOTA[[#This Row],[ID_H]]="","",INDEX(NOTA[TANGGAL],MATCH(,INDIRECT(ADDRESS(ROW(NOTA[TANGGAL]),COLUMN(NOTA[TANGGAL]))&amp;":"&amp;ADDRESS(ROW(),COLUMN(NOTA[TANGGAL]))),-1)))</f>
        <v/>
      </c>
      <c r="AJ266" s="26" t="str">
        <f ca="1">IF(NOTA[[#This Row],[ID_H]]="","",INDEX(NOTA[TGL.NOTA],MATCH(,INDIRECT(ADDRESS(ROW(NOTA[TGL.NOTA]),COLUMN(NOTA[TGL.NOTA]))&amp;":"&amp;ADDRESS(ROW(),COLUMN(NOTA[TGL.NOTA]))),-1)))</f>
        <v/>
      </c>
      <c r="AK266" s="26" t="str">
        <f ca="1">IF(NOTA[[#This Row],[ID_H]]="","",INDEX(NOTA[NO.NOTA],MATCH(NOTA[[#This Row],[ID_H]],NOTA[ID_H],0)))</f>
        <v/>
      </c>
      <c r="AL266" s="28" t="str">
        <f ca="1">IF(NOTA[[#This Row],[NAMA BARANG]]="","",INDEX(NOTA[SUPPLIER],MATCH(,INDIRECT(ADDRESS(ROW(NOTA[ID]),COLUMN(NOTA[ID]))&amp;":"&amp;ADDRESS(ROW(),COLUMN(NOTA[ID]))),-1)))</f>
        <v/>
      </c>
      <c r="AM266" s="28" t="str">
        <f ca="1">IF(NOTA[[#This Row],[ID_H]]="","",IF(NOTA[[#This Row],[FAKTUR]]="",INDIRECT(ADDRESS(ROW()-1,COLUMN())),NOTA[[#This Row],[FAKTUR]]))</f>
        <v/>
      </c>
      <c r="AN266" s="25" t="str">
        <f ca="1">IF(NOTA[[#This Row],[ID]]="","",COUNTIF(NOTA[ID_H],NOTA[[#This Row],[ID_H]]))</f>
        <v/>
      </c>
      <c r="AO266" s="25" t="str">
        <f ca="1">IF(NOTA[[#This Row],[TGL.NOTA]]="",IF(NOTA[[#This Row],[SUPPLIER_H]]="","",AO265),MONTH(NOTA[[#This Row],[TGL.NOTA]]))</f>
        <v/>
      </c>
      <c r="AP2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6" s="25"/>
      <c r="AU266" s="25" t="str">
        <f>IF(NOTA[[#This Row],[CONCAT1]]="","",MATCH(NOTA[[#This Row],[CONCAT1]],[3]!db[NB NOTA_C],0))</f>
        <v/>
      </c>
      <c r="AV266" s="25" t="str">
        <f>IF(NOTA[[#This Row],[QTY/ CTN]]="","",TRUE)</f>
        <v/>
      </c>
      <c r="AW266" s="25" t="str">
        <f ca="1">IF(NOTA[[#This Row],[ID_H]]="","",IF(NOTA[[#This Row],[Column3]]=TRUE,NOTA[[#This Row],[QTY/ CTN]],INDEX([3]!db[QTY/ CTN],NOTA[[#This Row],[//DB]])))</f>
        <v/>
      </c>
      <c r="AX2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6" s="25" t="str">
        <f ca="1">IF(NOTA[[#This Row],[ID_H]]="","",MATCH(NOTA[[#This Row],[NB NOTA_C_QTY]],[3]!db[NB NOTA_C_QTY+F],0))</f>
        <v/>
      </c>
      <c r="AZ266" s="38" t="str">
        <f ca="1">IF(NOTA[[#This Row],[NB NOTA_C_QTY]]="","",ROW()-2)</f>
        <v/>
      </c>
    </row>
    <row r="267" spans="1:52" ht="20.100000000000001" customHeight="1">
      <c r="A267" s="28">
        <f ca="1">IF(INDIRECT(ADDRESS(ROW()-1,COLUMN(NOTA[[#Headers],[ID]])))="ID",1,IF(NOTA[[#This Row],[FAKTUR]]="","",COUNT(INDIRECT(ADDRESS(ROW(NOTA[ID]),COLUMN(NOTA[ID]))&amp;":"&amp;ADDRESS(ROW()-1,COLUMN(NOTA[ID]))))+1))</f>
        <v>53</v>
      </c>
      <c r="B26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DBS_2406_624-17</v>
      </c>
      <c r="D267" s="25">
        <f ca="1">IF(NOTA[[#This Row],[NAMA BARANG]]="","",INDEX(NOTA[ID],MATCH(,INDIRECT(ADDRESS(ROW(NOTA[ID]),COLUMN(NOTA[ID]))&amp;":"&amp;ADDRESS(ROW(),COLUMN(NOTA[ID]))),-1)))</f>
        <v>53</v>
      </c>
      <c r="E267" s="33">
        <v>45467</v>
      </c>
      <c r="F267" s="25" t="s">
        <v>165</v>
      </c>
      <c r="G267" s="25" t="s">
        <v>109</v>
      </c>
      <c r="H267" s="34" t="s">
        <v>488</v>
      </c>
      <c r="J267" s="26">
        <v>45464</v>
      </c>
      <c r="L267" s="25" t="s">
        <v>489</v>
      </c>
      <c r="M267" s="27">
        <v>1</v>
      </c>
      <c r="N267" s="25">
        <v>24</v>
      </c>
      <c r="O267" s="25" t="s">
        <v>265</v>
      </c>
      <c r="P267" s="28">
        <v>92500</v>
      </c>
      <c r="Q267" s="29"/>
      <c r="R267" s="35" t="s">
        <v>503</v>
      </c>
      <c r="S267" s="36"/>
      <c r="V267" s="37"/>
      <c r="W267" s="32"/>
      <c r="X267" s="37">
        <f>IF(NOTA[[#This Row],[HARGA/ CTN]]="",NOTA[[#This Row],[JUMLAH_H]],NOTA[[#This Row],[HARGA/ CTN]]*IF(NOTA[[#This Row],[C]]="",0,NOTA[[#This Row],[C]]))</f>
        <v>2220000</v>
      </c>
      <c r="Y267" s="37">
        <f>IF(NOTA[[#This Row],[JUMLAH]]="","",NOTA[[#This Row],[JUMLAH]]*NOTA[[#This Row],[DISC 1]])</f>
        <v>0</v>
      </c>
      <c r="Z267" s="37">
        <f>IF(NOTA[[#This Row],[JUMLAH]]="","",(NOTA[[#This Row],[JUMLAH]]-NOTA[[#This Row],[DISC 1-]])*NOTA[[#This Row],[DISC 2]])</f>
        <v>0</v>
      </c>
      <c r="AA267" s="37">
        <f>IF(NOTA[[#This Row],[JUMLAH]]="","",(NOTA[[#This Row],[JUMLAH]]-NOTA[[#This Row],[DISC 1-]]-NOTA[[#This Row],[DISC 2-]])*NOTA[[#This Row],[DISC 3]])</f>
        <v>0</v>
      </c>
      <c r="AB267" s="37">
        <f>IF(NOTA[[#This Row],[JUMLAH]]="","",NOTA[[#This Row],[DISC 1-]]+NOTA[[#This Row],[DISC 2-]]+NOTA[[#This Row],[DISC 3-]])</f>
        <v>0</v>
      </c>
      <c r="AC267" s="37">
        <f>IF(NOTA[[#This Row],[JUMLAH]]="","",NOTA[[#This Row],[JUMLAH]]-NOTA[[#This Row],[DISC]])</f>
        <v>2220000</v>
      </c>
      <c r="AD267" s="37"/>
      <c r="AE2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7" s="28">
        <f>IF(NOTA[[#This Row],[NAMA BARANG]]="","",IF(NOTA[[#This Row],[JUMLAH_H]]="",NOTA[[#This Row],[HARGA/ CTN]],NOTA[[#This Row],[QTY]]*NOTA[[#This Row],[HARGA SATUAN]]/IF(ISNUMBER(NOTA[[#This Row],[C]]),NOTA[[#This Row],[C]],1)))</f>
        <v>2220000</v>
      </c>
      <c r="AH267" s="37">
        <f>IF(OR(NOTA[[#This Row],[QTY]]="",NOTA[[#This Row],[HARGA SATUAN]]="",),"",NOTA[[#This Row],[QTY]]*NOTA[[#This Row],[HARGA SATUAN]])</f>
        <v>2220000</v>
      </c>
      <c r="AI267" s="26">
        <f ca="1">IF(NOTA[[#This Row],[ID_H]]="","",INDEX(NOTA[TANGGAL],MATCH(,INDIRECT(ADDRESS(ROW(NOTA[TANGGAL]),COLUMN(NOTA[TANGGAL]))&amp;":"&amp;ADDRESS(ROW(),COLUMN(NOTA[TANGGAL]))),-1)))</f>
        <v>45467</v>
      </c>
      <c r="AJ267" s="26">
        <f ca="1">IF(NOTA[[#This Row],[ID_H]]="","",INDEX(NOTA[TGL.NOTA],MATCH(,INDIRECT(ADDRESS(ROW(NOTA[TGL.NOTA]),COLUMN(NOTA[TGL.NOTA]))&amp;":"&amp;ADDRESS(ROW(),COLUMN(NOTA[TGL.NOTA]))),-1)))</f>
        <v>45464</v>
      </c>
      <c r="AK267" s="26" t="str">
        <f ca="1">IF(NOTA[[#This Row],[ID_H]]="","",INDEX(NOTA[NO.NOTA],MATCH(NOTA[[#This Row],[ID_H]],NOTA[ID_H],0)))</f>
        <v>JUF476/24</v>
      </c>
      <c r="AL267" s="28" t="str">
        <f ca="1">IF(NOTA[[#This Row],[NAMA BARANG]]="","",INDEX(NOTA[SUPPLIER],MATCH(,INDIRECT(ADDRESS(ROW(NOTA[ID]),COLUMN(NOTA[ID]))&amp;":"&amp;ADDRESS(ROW(),COLUMN(NOTA[ID]))),-1)))</f>
        <v>DB STATIONERY</v>
      </c>
      <c r="AM267" s="28" t="str">
        <f ca="1">IF(NOTA[[#This Row],[ID_H]]="","",IF(NOTA[[#This Row],[FAKTUR]]="",INDIRECT(ADDRESS(ROW()-1,COLUMN())),NOTA[[#This Row],[FAKTUR]]))</f>
        <v>UNTANA</v>
      </c>
      <c r="AN267" s="25">
        <f ca="1">IF(NOTA[[#This Row],[ID]]="","",COUNTIF(NOTA[ID_H],NOTA[[#This Row],[ID_H]]))</f>
        <v>17</v>
      </c>
      <c r="AO267" s="25">
        <f>IF(NOTA[[#This Row],[TGL.NOTA]]="",IF(NOTA[[#This Row],[SUPPLIER_H]]="","",AO266),MONTH(NOTA[[#This Row],[TGL.NOTA]]))</f>
        <v>6</v>
      </c>
      <c r="AP267" s="25" t="str">
        <f>LOWER(SUBSTITUTE(SUBSTITUTE(SUBSTITUTE(SUBSTITUTE(SUBSTITUTE(SUBSTITUTE(SUBSTITUTE(SUBSTITUTE(SUBSTITUTE(NOTA[[#This Row],[NAMA BARANG]]," ",),".",""),"-",""),"(",""),")",""),",",""),"/",""),"""",""),"+",""))</f>
        <v>rautantoples25pcsxlgr5861</v>
      </c>
      <c r="AQ2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rautantoples25pcsxlgr58612220000</v>
      </c>
      <c r="AR2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rautantoples25pcsxlgr58612220000</v>
      </c>
      <c r="AS267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STATIONERYUNTANAJUF476/2445464rautantoples25pcsxlgr5861</v>
      </c>
      <c r="AT267" s="25"/>
      <c r="AU267" s="25">
        <f>IF(NOTA[[#This Row],[CONCAT1]]="","",MATCH(NOTA[[#This Row],[CONCAT1]],[3]!db[NB NOTA_C],0))</f>
        <v>2789</v>
      </c>
      <c r="AV267" s="25" t="b">
        <f>IF(NOTA[[#This Row],[QTY/ CTN]]="","",TRUE)</f>
        <v>1</v>
      </c>
      <c r="AW267" s="25" t="str">
        <f ca="1">IF(NOTA[[#This Row],[ID_H]]="","",IF(NOTA[[#This Row],[Column3]]=TRUE,NOTA[[#This Row],[QTY/ CTN]],INDEX([3]!db[QTY/ CTN],NOTA[[#This Row],[//DB]])))</f>
        <v>24 TOP</v>
      </c>
      <c r="AX2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rautantoples25pcsxlgr586124topuntana</v>
      </c>
      <c r="AY267" s="25">
        <f ca="1">IF(NOTA[[#This Row],[ID_H]]="","",MATCH(NOTA[[#This Row],[NB NOTA_C_QTY]],[3]!db[NB NOTA_C_QTY+F],0))</f>
        <v>2789</v>
      </c>
      <c r="AZ267" s="38">
        <f ca="1">IF(NOTA[[#This Row],[NB NOTA_C_QTY]]="","",ROW()-2)</f>
        <v>265</v>
      </c>
    </row>
    <row r="268" spans="1:52" ht="20.100000000000001" customHeight="1">
      <c r="A2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68" s="25">
        <f ca="1">IF(NOTA[[#This Row],[NAMA BARANG]]="","",INDEX(NOTA[ID],MATCH(,INDIRECT(ADDRESS(ROW(NOTA[ID]),COLUMN(NOTA[ID]))&amp;":"&amp;ADDRESS(ROW(),COLUMN(NOTA[ID]))),-1)))</f>
        <v>53</v>
      </c>
      <c r="E268" s="33"/>
      <c r="H268" s="34"/>
      <c r="L268" s="64" t="s">
        <v>381</v>
      </c>
      <c r="M268" s="27">
        <v>1</v>
      </c>
      <c r="N268" s="25">
        <v>3</v>
      </c>
      <c r="O268" s="25" t="s">
        <v>111</v>
      </c>
      <c r="Q268" s="29"/>
      <c r="R268" s="35"/>
      <c r="S268" s="36"/>
      <c r="V268" s="37"/>
      <c r="W268" s="32"/>
      <c r="X268" s="37" t="str">
        <f>IF(NOTA[[#This Row],[HARGA/ CTN]]="",NOTA[[#This Row],[JUMLAH_H]],NOTA[[#This Row],[HARGA/ CTN]]*IF(NOTA[[#This Row],[C]]="",0,NOTA[[#This Row],[C]]))</f>
        <v/>
      </c>
      <c r="Y268" s="37" t="str">
        <f>IF(NOTA[[#This Row],[JUMLAH]]="","",NOTA[[#This Row],[JUMLAH]]*NOTA[[#This Row],[DISC 1]])</f>
        <v/>
      </c>
      <c r="Z268" s="37" t="str">
        <f>IF(NOTA[[#This Row],[JUMLAH]]="","",(NOTA[[#This Row],[JUMLAH]]-NOTA[[#This Row],[DISC 1-]])*NOTA[[#This Row],[DISC 2]])</f>
        <v/>
      </c>
      <c r="AA268" s="37" t="str">
        <f>IF(NOTA[[#This Row],[JUMLAH]]="","",(NOTA[[#This Row],[JUMLAH]]-NOTA[[#This Row],[DISC 1-]]-NOTA[[#This Row],[DISC 2-]])*NOTA[[#This Row],[DISC 3]])</f>
        <v/>
      </c>
      <c r="AB268" s="37" t="str">
        <f>IF(NOTA[[#This Row],[JUMLAH]]="","",NOTA[[#This Row],[DISC 1-]]+NOTA[[#This Row],[DISC 2-]]+NOTA[[#This Row],[DISC 3-]])</f>
        <v/>
      </c>
      <c r="AC268" s="37" t="str">
        <f>IF(NOTA[[#This Row],[JUMLAH]]="","",NOTA[[#This Row],[JUMLAH]]-NOTA[[#This Row],[DISC]])</f>
        <v/>
      </c>
      <c r="AD268" s="37"/>
      <c r="AE2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68" s="37" t="str">
        <f>IF(OR(NOTA[[#This Row],[QTY]]="",NOTA[[#This Row],[HARGA SATUAN]]="",),"",NOTA[[#This Row],[QTY]]*NOTA[[#This Row],[HARGA SATUAN]])</f>
        <v/>
      </c>
      <c r="AI268" s="26">
        <f ca="1">IF(NOTA[[#This Row],[ID_H]]="","",INDEX(NOTA[TANGGAL],MATCH(,INDIRECT(ADDRESS(ROW(NOTA[TANGGAL]),COLUMN(NOTA[TANGGAL]))&amp;":"&amp;ADDRESS(ROW(),COLUMN(NOTA[TANGGAL]))),-1)))</f>
        <v>45467</v>
      </c>
      <c r="AJ268" s="26">
        <f ca="1">IF(NOTA[[#This Row],[ID_H]]="","",INDEX(NOTA[TGL.NOTA],MATCH(,INDIRECT(ADDRESS(ROW(NOTA[TGL.NOTA]),COLUMN(NOTA[TGL.NOTA]))&amp;":"&amp;ADDRESS(ROW(),COLUMN(NOTA[TGL.NOTA]))),-1)))</f>
        <v>45464</v>
      </c>
      <c r="AK268" s="26" t="str">
        <f ca="1">IF(NOTA[[#This Row],[ID_H]]="","",INDEX(NOTA[NO.NOTA],MATCH(NOTA[[#This Row],[ID_H]],NOTA[ID_H],0)))</f>
        <v>JUF476/24</v>
      </c>
      <c r="AL268" s="28" t="str">
        <f ca="1">IF(NOTA[[#This Row],[NAMA BARANG]]="","",INDEX(NOTA[SUPPLIER],MATCH(,INDIRECT(ADDRESS(ROW(NOTA[ID]),COLUMN(NOTA[ID]))&amp;":"&amp;ADDRESS(ROW(),COLUMN(NOTA[ID]))),-1)))</f>
        <v>DB STATIONERY</v>
      </c>
      <c r="AM268" s="28" t="str">
        <f ca="1">IF(NOTA[[#This Row],[ID_H]]="","",IF(NOTA[[#This Row],[FAKTUR]]="",INDIRECT(ADDRESS(ROW()-1,COLUMN())),NOTA[[#This Row],[FAKTUR]]))</f>
        <v>UNTANA</v>
      </c>
      <c r="AN268" s="25" t="str">
        <f ca="1">IF(NOTA[[#This Row],[ID]]="","",COUNTIF(NOTA[ID_H],NOTA[[#This Row],[ID_H]]))</f>
        <v/>
      </c>
      <c r="AO268" s="25">
        <f ca="1">IF(NOTA[[#This Row],[TGL.NOTA]]="",IF(NOTA[[#This Row],[SUPPLIER_H]]="","",AO267),MONTH(NOTA[[#This Row],[TGL.NOTA]]))</f>
        <v>6</v>
      </c>
      <c r="AP268" s="25" t="str">
        <f>LOWER(SUBSTITUTE(SUBSTITUTE(SUBSTITUTE(SUBSTITUTE(SUBSTITUTE(SUBSTITUTE(SUBSTITUTE(SUBSTITUTE(SUBSTITUTE(NOTA[[#This Row],[NAMA BARANG]]," ",),".",""),"-",""),"(",""),")",""),",",""),"/",""),"""",""),"+",""))</f>
        <v>rautanmejabonekasx0065l</v>
      </c>
      <c r="AQ2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rautanmejabonekasx0065l0</v>
      </c>
      <c r="AR2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rautanmejabonekasx0065l0</v>
      </c>
      <c r="AS2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8" s="25"/>
      <c r="AU268" s="25">
        <f>IF(NOTA[[#This Row],[CONCAT1]]="","",MATCH(NOTA[[#This Row],[CONCAT1]],[3]!db[NB NOTA_C],0))</f>
        <v>3458</v>
      </c>
      <c r="AV268" s="25" t="str">
        <f>IF(NOTA[[#This Row],[QTY/ CTN]]="","",TRUE)</f>
        <v/>
      </c>
      <c r="AW268" s="25" t="str">
        <f ca="1">IF(NOTA[[#This Row],[ID_H]]="","",IF(NOTA[[#This Row],[Column3]]=TRUE,NOTA[[#This Row],[QTY/ CTN]],INDEX([3]!db[QTY/ CTN],NOTA[[#This Row],[//DB]])))</f>
        <v>15 PCS</v>
      </c>
      <c r="AX2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rautanmejabonekasx0065l15pcsuntana</v>
      </c>
      <c r="AY268" s="25">
        <f ca="1">IF(NOTA[[#This Row],[ID_H]]="","",MATCH(NOTA[[#This Row],[NB NOTA_C_QTY]],[3]!db[NB NOTA_C_QTY+F],0))</f>
        <v>3458</v>
      </c>
      <c r="AZ268" s="38">
        <f ca="1">IF(NOTA[[#This Row],[NB NOTA_C_QTY]]="","",ROW()-2)</f>
        <v>266</v>
      </c>
    </row>
    <row r="269" spans="1:52" ht="20.100000000000001" customHeight="1">
      <c r="A2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69" s="25">
        <f ca="1">IF(NOTA[[#This Row],[NAMA BARANG]]="","",INDEX(NOTA[ID],MATCH(,INDIRECT(ADDRESS(ROW(NOTA[ID]),COLUMN(NOTA[ID]))&amp;":"&amp;ADDRESS(ROW(),COLUMN(NOTA[ID]))),-1)))</f>
        <v>53</v>
      </c>
      <c r="E269" s="33"/>
      <c r="H269" s="34"/>
      <c r="L269" s="25" t="s">
        <v>490</v>
      </c>
      <c r="M269" s="27">
        <v>2</v>
      </c>
      <c r="N269" s="25">
        <v>240</v>
      </c>
      <c r="O269" s="25" t="s">
        <v>110</v>
      </c>
      <c r="P269" s="28">
        <v>18250</v>
      </c>
      <c r="Q269" s="29"/>
      <c r="R269" s="35" t="s">
        <v>171</v>
      </c>
      <c r="S269" s="36"/>
      <c r="V269" s="37"/>
      <c r="W269" s="32"/>
      <c r="X269" s="37">
        <f>IF(NOTA[[#This Row],[HARGA/ CTN]]="",NOTA[[#This Row],[JUMLAH_H]],NOTA[[#This Row],[HARGA/ CTN]]*IF(NOTA[[#This Row],[C]]="",0,NOTA[[#This Row],[C]]))</f>
        <v>4380000</v>
      </c>
      <c r="Y269" s="37">
        <f>IF(NOTA[[#This Row],[JUMLAH]]="","",NOTA[[#This Row],[JUMLAH]]*NOTA[[#This Row],[DISC 1]])</f>
        <v>0</v>
      </c>
      <c r="Z269" s="37">
        <f>IF(NOTA[[#This Row],[JUMLAH]]="","",(NOTA[[#This Row],[JUMLAH]]-NOTA[[#This Row],[DISC 1-]])*NOTA[[#This Row],[DISC 2]])</f>
        <v>0</v>
      </c>
      <c r="AA269" s="37">
        <f>IF(NOTA[[#This Row],[JUMLAH]]="","",(NOTA[[#This Row],[JUMLAH]]-NOTA[[#This Row],[DISC 1-]]-NOTA[[#This Row],[DISC 2-]])*NOTA[[#This Row],[DISC 3]])</f>
        <v>0</v>
      </c>
      <c r="AB269" s="37">
        <f>IF(NOTA[[#This Row],[JUMLAH]]="","",NOTA[[#This Row],[DISC 1-]]+NOTA[[#This Row],[DISC 2-]]+NOTA[[#This Row],[DISC 3-]])</f>
        <v>0</v>
      </c>
      <c r="AC269" s="37">
        <f>IF(NOTA[[#This Row],[JUMLAH]]="","",NOTA[[#This Row],[JUMLAH]]-NOTA[[#This Row],[DISC]])</f>
        <v>4380000</v>
      </c>
      <c r="AD269" s="37"/>
      <c r="AE2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9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69" s="37">
        <f>IF(OR(NOTA[[#This Row],[QTY]]="",NOTA[[#This Row],[HARGA SATUAN]]="",),"",NOTA[[#This Row],[QTY]]*NOTA[[#This Row],[HARGA SATUAN]])</f>
        <v>4380000</v>
      </c>
      <c r="AI269" s="26">
        <f ca="1">IF(NOTA[[#This Row],[ID_H]]="","",INDEX(NOTA[TANGGAL],MATCH(,INDIRECT(ADDRESS(ROW(NOTA[TANGGAL]),COLUMN(NOTA[TANGGAL]))&amp;":"&amp;ADDRESS(ROW(),COLUMN(NOTA[TANGGAL]))),-1)))</f>
        <v>45467</v>
      </c>
      <c r="AJ269" s="26">
        <f ca="1">IF(NOTA[[#This Row],[ID_H]]="","",INDEX(NOTA[TGL.NOTA],MATCH(,INDIRECT(ADDRESS(ROW(NOTA[TGL.NOTA]),COLUMN(NOTA[TGL.NOTA]))&amp;":"&amp;ADDRESS(ROW(),COLUMN(NOTA[TGL.NOTA]))),-1)))</f>
        <v>45464</v>
      </c>
      <c r="AK269" s="26" t="str">
        <f ca="1">IF(NOTA[[#This Row],[ID_H]]="","",INDEX(NOTA[NO.NOTA],MATCH(NOTA[[#This Row],[ID_H]],NOTA[ID_H],0)))</f>
        <v>JUF476/24</v>
      </c>
      <c r="AL269" s="28" t="str">
        <f ca="1">IF(NOTA[[#This Row],[NAMA BARANG]]="","",INDEX(NOTA[SUPPLIER],MATCH(,INDIRECT(ADDRESS(ROW(NOTA[ID]),COLUMN(NOTA[ID]))&amp;":"&amp;ADDRESS(ROW(),COLUMN(NOTA[ID]))),-1)))</f>
        <v>DB STATIONERY</v>
      </c>
      <c r="AM269" s="28" t="str">
        <f ca="1">IF(NOTA[[#This Row],[ID_H]]="","",IF(NOTA[[#This Row],[FAKTUR]]="",INDIRECT(ADDRESS(ROW()-1,COLUMN())),NOTA[[#This Row],[FAKTUR]]))</f>
        <v>UNTANA</v>
      </c>
      <c r="AN269" s="25" t="str">
        <f ca="1">IF(NOTA[[#This Row],[ID]]="","",COUNTIF(NOTA[ID_H],NOTA[[#This Row],[ID_H]]))</f>
        <v/>
      </c>
      <c r="AO269" s="25">
        <f ca="1">IF(NOTA[[#This Row],[TGL.NOTA]]="",IF(NOTA[[#This Row],[SUPPLIER_H]]="","",AO268),MONTH(NOTA[[#This Row],[TGL.NOTA]]))</f>
        <v>6</v>
      </c>
      <c r="AP269" s="25" t="str">
        <f>LOWER(SUBSTITUTE(SUBSTITUTE(SUBSTITUTE(SUBSTITUTE(SUBSTITUTE(SUBSTITUTE(SUBSTITUTE(SUBSTITUTE(SUBSTITUTE(NOTA[[#This Row],[NAMA BARANG]]," ",),".",""),"-",""),"(",""),")",""),",",""),"/",""),"""",""),"+",""))</f>
        <v>gelzhixinrefillg3109</v>
      </c>
      <c r="AQ2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gelzhixinrefillg31092190000</v>
      </c>
      <c r="AR2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gelzhixinrefillg31092190000</v>
      </c>
      <c r="AS2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9" s="25"/>
      <c r="AU269" s="25">
        <f>IF(NOTA[[#This Row],[CONCAT1]]="","",MATCH(NOTA[[#This Row],[CONCAT1]],[3]!db[NB NOTA_C],0))</f>
        <v>1337</v>
      </c>
      <c r="AV269" s="25" t="b">
        <f>IF(NOTA[[#This Row],[QTY/ CTN]]="","",TRUE)</f>
        <v>1</v>
      </c>
      <c r="AW269" s="25" t="str">
        <f ca="1">IF(NOTA[[#This Row],[ID_H]]="","",IF(NOTA[[#This Row],[Column3]]=TRUE,NOTA[[#This Row],[QTY/ CTN]],INDEX([3]!db[QTY/ CTN],NOTA[[#This Row],[//DB]])))</f>
        <v>120 LSN</v>
      </c>
      <c r="AX2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gelzhixinrefillg3109120lsnuntana</v>
      </c>
      <c r="AY269" s="25">
        <f ca="1">IF(NOTA[[#This Row],[ID_H]]="","",MATCH(NOTA[[#This Row],[NB NOTA_C_QTY]],[3]!db[NB NOTA_C_QTY+F],0))</f>
        <v>1337</v>
      </c>
      <c r="AZ269" s="38">
        <f ca="1">IF(NOTA[[#This Row],[NB NOTA_C_QTY]]="","",ROW()-2)</f>
        <v>267</v>
      </c>
    </row>
    <row r="270" spans="1:52" ht="20.100000000000001" customHeight="1">
      <c r="A2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0" s="25">
        <f ca="1">IF(NOTA[[#This Row],[NAMA BARANG]]="","",INDEX(NOTA[ID],MATCH(,INDIRECT(ADDRESS(ROW(NOTA[ID]),COLUMN(NOTA[ID]))&amp;":"&amp;ADDRESS(ROW(),COLUMN(NOTA[ID]))),-1)))</f>
        <v>53</v>
      </c>
      <c r="E270" s="33"/>
      <c r="H270" s="34"/>
      <c r="L270" s="25" t="s">
        <v>491</v>
      </c>
      <c r="M270" s="27">
        <v>2</v>
      </c>
      <c r="N270" s="25">
        <v>240</v>
      </c>
      <c r="O270" s="25" t="s">
        <v>110</v>
      </c>
      <c r="P270" s="28">
        <v>18250</v>
      </c>
      <c r="Q270" s="29"/>
      <c r="R270" s="35" t="s">
        <v>171</v>
      </c>
      <c r="S270" s="36"/>
      <c r="V270" s="37"/>
      <c r="W270" s="32"/>
      <c r="X270" s="37">
        <f>IF(NOTA[[#This Row],[HARGA/ CTN]]="",NOTA[[#This Row],[JUMLAH_H]],NOTA[[#This Row],[HARGA/ CTN]]*IF(NOTA[[#This Row],[C]]="",0,NOTA[[#This Row],[C]]))</f>
        <v>4380000</v>
      </c>
      <c r="Y270" s="37">
        <f>IF(NOTA[[#This Row],[JUMLAH]]="","",NOTA[[#This Row],[JUMLAH]]*NOTA[[#This Row],[DISC 1]])</f>
        <v>0</v>
      </c>
      <c r="Z270" s="37">
        <f>IF(NOTA[[#This Row],[JUMLAH]]="","",(NOTA[[#This Row],[JUMLAH]]-NOTA[[#This Row],[DISC 1-]])*NOTA[[#This Row],[DISC 2]])</f>
        <v>0</v>
      </c>
      <c r="AA270" s="37">
        <f>IF(NOTA[[#This Row],[JUMLAH]]="","",(NOTA[[#This Row],[JUMLAH]]-NOTA[[#This Row],[DISC 1-]]-NOTA[[#This Row],[DISC 2-]])*NOTA[[#This Row],[DISC 3]])</f>
        <v>0</v>
      </c>
      <c r="AB270" s="37">
        <f>IF(NOTA[[#This Row],[JUMLAH]]="","",NOTA[[#This Row],[DISC 1-]]+NOTA[[#This Row],[DISC 2-]]+NOTA[[#This Row],[DISC 3-]])</f>
        <v>0</v>
      </c>
      <c r="AC270" s="37">
        <f>IF(NOTA[[#This Row],[JUMLAH]]="","",NOTA[[#This Row],[JUMLAH]]-NOTA[[#This Row],[DISC]])</f>
        <v>4380000</v>
      </c>
      <c r="AD270" s="37"/>
      <c r="AE2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0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0" s="37">
        <f>IF(OR(NOTA[[#This Row],[QTY]]="",NOTA[[#This Row],[HARGA SATUAN]]="",),"",NOTA[[#This Row],[QTY]]*NOTA[[#This Row],[HARGA SATUAN]])</f>
        <v>4380000</v>
      </c>
      <c r="AI270" s="26">
        <f ca="1">IF(NOTA[[#This Row],[ID_H]]="","",INDEX(NOTA[TANGGAL],MATCH(,INDIRECT(ADDRESS(ROW(NOTA[TANGGAL]),COLUMN(NOTA[TANGGAL]))&amp;":"&amp;ADDRESS(ROW(),COLUMN(NOTA[TANGGAL]))),-1)))</f>
        <v>45467</v>
      </c>
      <c r="AJ270" s="26">
        <f ca="1">IF(NOTA[[#This Row],[ID_H]]="","",INDEX(NOTA[TGL.NOTA],MATCH(,INDIRECT(ADDRESS(ROW(NOTA[TGL.NOTA]),COLUMN(NOTA[TGL.NOTA]))&amp;":"&amp;ADDRESS(ROW(),COLUMN(NOTA[TGL.NOTA]))),-1)))</f>
        <v>45464</v>
      </c>
      <c r="AK270" s="26" t="str">
        <f ca="1">IF(NOTA[[#This Row],[ID_H]]="","",INDEX(NOTA[NO.NOTA],MATCH(NOTA[[#This Row],[ID_H]],NOTA[ID_H],0)))</f>
        <v>JUF476/24</v>
      </c>
      <c r="AL270" s="28" t="str">
        <f ca="1">IF(NOTA[[#This Row],[NAMA BARANG]]="","",INDEX(NOTA[SUPPLIER],MATCH(,INDIRECT(ADDRESS(ROW(NOTA[ID]),COLUMN(NOTA[ID]))&amp;":"&amp;ADDRESS(ROW(),COLUMN(NOTA[ID]))),-1)))</f>
        <v>DB STATIONERY</v>
      </c>
      <c r="AM270" s="28" t="str">
        <f ca="1">IF(NOTA[[#This Row],[ID_H]]="","",IF(NOTA[[#This Row],[FAKTUR]]="",INDIRECT(ADDRESS(ROW()-1,COLUMN())),NOTA[[#This Row],[FAKTUR]]))</f>
        <v>UNTANA</v>
      </c>
      <c r="AN270" s="25" t="str">
        <f ca="1">IF(NOTA[[#This Row],[ID]]="","",COUNTIF(NOTA[ID_H],NOTA[[#This Row],[ID_H]]))</f>
        <v/>
      </c>
      <c r="AO270" s="25">
        <f ca="1">IF(NOTA[[#This Row],[TGL.NOTA]]="",IF(NOTA[[#This Row],[SUPPLIER_H]]="","",AO269),MONTH(NOTA[[#This Row],[TGL.NOTA]]))</f>
        <v>6</v>
      </c>
      <c r="AP270" s="25" t="str">
        <f>LOWER(SUBSTITUTE(SUBSTITUTE(SUBSTITUTE(SUBSTITUTE(SUBSTITUTE(SUBSTITUTE(SUBSTITUTE(SUBSTITUTE(SUBSTITUTE(NOTA[[#This Row],[NAMA BARANG]]," ",),".",""),"-",""),"(",""),")",""),",",""),"/",""),"""",""),"+",""))</f>
        <v>gelzhixinrefillg3125</v>
      </c>
      <c r="AQ2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gelzhixinrefillg31252190000</v>
      </c>
      <c r="AR2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gelzhixinrefillg31252190000</v>
      </c>
      <c r="AS2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0" s="25"/>
      <c r="AU270" s="25">
        <f>IF(NOTA[[#This Row],[CONCAT1]]="","",MATCH(NOTA[[#This Row],[CONCAT1]],[3]!db[NB NOTA_C],0))</f>
        <v>1352</v>
      </c>
      <c r="AV270" s="25" t="b">
        <f>IF(NOTA[[#This Row],[QTY/ CTN]]="","",TRUE)</f>
        <v>1</v>
      </c>
      <c r="AW270" s="25" t="str">
        <f ca="1">IF(NOTA[[#This Row],[ID_H]]="","",IF(NOTA[[#This Row],[Column3]]=TRUE,NOTA[[#This Row],[QTY/ CTN]],INDEX([3]!db[QTY/ CTN],NOTA[[#This Row],[//DB]])))</f>
        <v>120 LSN</v>
      </c>
      <c r="AX2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gelzhixinrefillg3125120lsnuntana</v>
      </c>
      <c r="AY270" s="25">
        <f ca="1">IF(NOTA[[#This Row],[ID_H]]="","",MATCH(NOTA[[#This Row],[NB NOTA_C_QTY]],[3]!db[NB NOTA_C_QTY+F],0))</f>
        <v>1352</v>
      </c>
      <c r="AZ270" s="38">
        <f ca="1">IF(NOTA[[#This Row],[NB NOTA_C_QTY]]="","",ROW()-2)</f>
        <v>268</v>
      </c>
    </row>
    <row r="271" spans="1:52" ht="20.100000000000001" customHeight="1">
      <c r="A2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1" s="25">
        <f ca="1">IF(NOTA[[#This Row],[NAMA BARANG]]="","",INDEX(NOTA[ID],MATCH(,INDIRECT(ADDRESS(ROW(NOTA[ID]),COLUMN(NOTA[ID]))&amp;":"&amp;ADDRESS(ROW(),COLUMN(NOTA[ID]))),-1)))</f>
        <v>53</v>
      </c>
      <c r="E271" s="33"/>
      <c r="H271" s="34"/>
      <c r="L271" s="25" t="s">
        <v>492</v>
      </c>
      <c r="M271" s="27">
        <v>2</v>
      </c>
      <c r="N271" s="25">
        <v>240</v>
      </c>
      <c r="O271" s="25" t="s">
        <v>110</v>
      </c>
      <c r="P271" s="28">
        <v>18250</v>
      </c>
      <c r="Q271" s="29"/>
      <c r="R271" s="35" t="s">
        <v>171</v>
      </c>
      <c r="S271" s="36"/>
      <c r="V271" s="37"/>
      <c r="W271" s="32"/>
      <c r="X271" s="37">
        <f>IF(NOTA[[#This Row],[HARGA/ CTN]]="",NOTA[[#This Row],[JUMLAH_H]],NOTA[[#This Row],[HARGA/ CTN]]*IF(NOTA[[#This Row],[C]]="",0,NOTA[[#This Row],[C]]))</f>
        <v>4380000</v>
      </c>
      <c r="Y271" s="37">
        <f>IF(NOTA[[#This Row],[JUMLAH]]="","",NOTA[[#This Row],[JUMLAH]]*NOTA[[#This Row],[DISC 1]])</f>
        <v>0</v>
      </c>
      <c r="Z271" s="37">
        <f>IF(NOTA[[#This Row],[JUMLAH]]="","",(NOTA[[#This Row],[JUMLAH]]-NOTA[[#This Row],[DISC 1-]])*NOTA[[#This Row],[DISC 2]])</f>
        <v>0</v>
      </c>
      <c r="AA271" s="37">
        <f>IF(NOTA[[#This Row],[JUMLAH]]="","",(NOTA[[#This Row],[JUMLAH]]-NOTA[[#This Row],[DISC 1-]]-NOTA[[#This Row],[DISC 2-]])*NOTA[[#This Row],[DISC 3]])</f>
        <v>0</v>
      </c>
      <c r="AB271" s="37">
        <f>IF(NOTA[[#This Row],[JUMLAH]]="","",NOTA[[#This Row],[DISC 1-]]+NOTA[[#This Row],[DISC 2-]]+NOTA[[#This Row],[DISC 3-]])</f>
        <v>0</v>
      </c>
      <c r="AC271" s="37">
        <f>IF(NOTA[[#This Row],[JUMLAH]]="","",NOTA[[#This Row],[JUMLAH]]-NOTA[[#This Row],[DISC]])</f>
        <v>4380000</v>
      </c>
      <c r="AD271" s="37"/>
      <c r="AE2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1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1" s="37">
        <f>IF(OR(NOTA[[#This Row],[QTY]]="",NOTA[[#This Row],[HARGA SATUAN]]="",),"",NOTA[[#This Row],[QTY]]*NOTA[[#This Row],[HARGA SATUAN]])</f>
        <v>4380000</v>
      </c>
      <c r="AI271" s="26">
        <f ca="1">IF(NOTA[[#This Row],[ID_H]]="","",INDEX(NOTA[TANGGAL],MATCH(,INDIRECT(ADDRESS(ROW(NOTA[TANGGAL]),COLUMN(NOTA[TANGGAL]))&amp;":"&amp;ADDRESS(ROW(),COLUMN(NOTA[TANGGAL]))),-1)))</f>
        <v>45467</v>
      </c>
      <c r="AJ271" s="26">
        <f ca="1">IF(NOTA[[#This Row],[ID_H]]="","",INDEX(NOTA[TGL.NOTA],MATCH(,INDIRECT(ADDRESS(ROW(NOTA[TGL.NOTA]),COLUMN(NOTA[TGL.NOTA]))&amp;":"&amp;ADDRESS(ROW(),COLUMN(NOTA[TGL.NOTA]))),-1)))</f>
        <v>45464</v>
      </c>
      <c r="AK271" s="26" t="str">
        <f ca="1">IF(NOTA[[#This Row],[ID_H]]="","",INDEX(NOTA[NO.NOTA],MATCH(NOTA[[#This Row],[ID_H]],NOTA[ID_H],0)))</f>
        <v>JUF476/24</v>
      </c>
      <c r="AL271" s="28" t="str">
        <f ca="1">IF(NOTA[[#This Row],[NAMA BARANG]]="","",INDEX(NOTA[SUPPLIER],MATCH(,INDIRECT(ADDRESS(ROW(NOTA[ID]),COLUMN(NOTA[ID]))&amp;":"&amp;ADDRESS(ROW(),COLUMN(NOTA[ID]))),-1)))</f>
        <v>DB STATIONERY</v>
      </c>
      <c r="AM271" s="28" t="str">
        <f ca="1">IF(NOTA[[#This Row],[ID_H]]="","",IF(NOTA[[#This Row],[FAKTUR]]="",INDIRECT(ADDRESS(ROW()-1,COLUMN())),NOTA[[#This Row],[FAKTUR]]))</f>
        <v>UNTANA</v>
      </c>
      <c r="AN271" s="25" t="str">
        <f ca="1">IF(NOTA[[#This Row],[ID]]="","",COUNTIF(NOTA[ID_H],NOTA[[#This Row],[ID_H]]))</f>
        <v/>
      </c>
      <c r="AO271" s="25">
        <f ca="1">IF(NOTA[[#This Row],[TGL.NOTA]]="",IF(NOTA[[#This Row],[SUPPLIER_H]]="","",AO270),MONTH(NOTA[[#This Row],[TGL.NOTA]]))</f>
        <v>6</v>
      </c>
      <c r="AP271" s="25" t="str">
        <f>LOWER(SUBSTITUTE(SUBSTITUTE(SUBSTITUTE(SUBSTITUTE(SUBSTITUTE(SUBSTITUTE(SUBSTITUTE(SUBSTITUTE(SUBSTITUTE(NOTA[[#This Row],[NAMA BARANG]]," ",),".",""),"-",""),"(",""),")",""),",",""),"/",""),"""",""),"+",""))</f>
        <v>gelzhixinrefillg3158</v>
      </c>
      <c r="AQ2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gelzhixinrefillg31582190000</v>
      </c>
      <c r="AR2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gelzhixinrefillg31582190000</v>
      </c>
      <c r="AS2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1" s="25"/>
      <c r="AU271" s="25">
        <f>IF(NOTA[[#This Row],[CONCAT1]]="","",MATCH(NOTA[[#This Row],[CONCAT1]],[3]!db[NB NOTA_C],0))</f>
        <v>1286</v>
      </c>
      <c r="AV271" s="25" t="b">
        <f>IF(NOTA[[#This Row],[QTY/ CTN]]="","",TRUE)</f>
        <v>1</v>
      </c>
      <c r="AW271" s="25" t="str">
        <f ca="1">IF(NOTA[[#This Row],[ID_H]]="","",IF(NOTA[[#This Row],[Column3]]=TRUE,NOTA[[#This Row],[QTY/ CTN]],INDEX([3]!db[QTY/ CTN],NOTA[[#This Row],[//DB]])))</f>
        <v>120 LSN</v>
      </c>
      <c r="AX2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gelzhixinrefillg3158120lsnuntana</v>
      </c>
      <c r="AY271" s="25">
        <f ca="1">IF(NOTA[[#This Row],[ID_H]]="","",MATCH(NOTA[[#This Row],[NB NOTA_C_QTY]],[3]!db[NB NOTA_C_QTY+F],0))</f>
        <v>1286</v>
      </c>
      <c r="AZ271" s="38">
        <f ca="1">IF(NOTA[[#This Row],[NB NOTA_C_QTY]]="","",ROW()-2)</f>
        <v>269</v>
      </c>
    </row>
    <row r="272" spans="1:52" ht="20.100000000000001" customHeight="1">
      <c r="A2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2" s="25">
        <f ca="1">IF(NOTA[[#This Row],[NAMA BARANG]]="","",INDEX(NOTA[ID],MATCH(,INDIRECT(ADDRESS(ROW(NOTA[ID]),COLUMN(NOTA[ID]))&amp;":"&amp;ADDRESS(ROW(),COLUMN(NOTA[ID]))),-1)))</f>
        <v>53</v>
      </c>
      <c r="E272" s="33"/>
      <c r="H272" s="34"/>
      <c r="L272" s="25" t="s">
        <v>493</v>
      </c>
      <c r="M272" s="27">
        <v>2</v>
      </c>
      <c r="N272" s="25">
        <v>240</v>
      </c>
      <c r="O272" s="25" t="s">
        <v>110</v>
      </c>
      <c r="P272" s="28">
        <v>18250</v>
      </c>
      <c r="Q272" s="29"/>
      <c r="R272" s="35" t="s">
        <v>171</v>
      </c>
      <c r="S272" s="36"/>
      <c r="V272" s="37"/>
      <c r="W272" s="32"/>
      <c r="X272" s="37">
        <f>IF(NOTA[[#This Row],[HARGA/ CTN]]="",NOTA[[#This Row],[JUMLAH_H]],NOTA[[#This Row],[HARGA/ CTN]]*IF(NOTA[[#This Row],[C]]="",0,NOTA[[#This Row],[C]]))</f>
        <v>4380000</v>
      </c>
      <c r="Y272" s="37">
        <f>IF(NOTA[[#This Row],[JUMLAH]]="","",NOTA[[#This Row],[JUMLAH]]*NOTA[[#This Row],[DISC 1]])</f>
        <v>0</v>
      </c>
      <c r="Z272" s="37">
        <f>IF(NOTA[[#This Row],[JUMLAH]]="","",(NOTA[[#This Row],[JUMLAH]]-NOTA[[#This Row],[DISC 1-]])*NOTA[[#This Row],[DISC 2]])</f>
        <v>0</v>
      </c>
      <c r="AA272" s="37">
        <f>IF(NOTA[[#This Row],[JUMLAH]]="","",(NOTA[[#This Row],[JUMLAH]]-NOTA[[#This Row],[DISC 1-]]-NOTA[[#This Row],[DISC 2-]])*NOTA[[#This Row],[DISC 3]])</f>
        <v>0</v>
      </c>
      <c r="AB272" s="37">
        <f>IF(NOTA[[#This Row],[JUMLAH]]="","",NOTA[[#This Row],[DISC 1-]]+NOTA[[#This Row],[DISC 2-]]+NOTA[[#This Row],[DISC 3-]])</f>
        <v>0</v>
      </c>
      <c r="AC272" s="37">
        <f>IF(NOTA[[#This Row],[JUMLAH]]="","",NOTA[[#This Row],[JUMLAH]]-NOTA[[#This Row],[DISC]])</f>
        <v>4380000</v>
      </c>
      <c r="AD272" s="37"/>
      <c r="AE2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2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2" s="37">
        <f>IF(OR(NOTA[[#This Row],[QTY]]="",NOTA[[#This Row],[HARGA SATUAN]]="",),"",NOTA[[#This Row],[QTY]]*NOTA[[#This Row],[HARGA SATUAN]])</f>
        <v>4380000</v>
      </c>
      <c r="AI272" s="26">
        <f ca="1">IF(NOTA[[#This Row],[ID_H]]="","",INDEX(NOTA[TANGGAL],MATCH(,INDIRECT(ADDRESS(ROW(NOTA[TANGGAL]),COLUMN(NOTA[TANGGAL]))&amp;":"&amp;ADDRESS(ROW(),COLUMN(NOTA[TANGGAL]))),-1)))</f>
        <v>45467</v>
      </c>
      <c r="AJ272" s="26">
        <f ca="1">IF(NOTA[[#This Row],[ID_H]]="","",INDEX(NOTA[TGL.NOTA],MATCH(,INDIRECT(ADDRESS(ROW(NOTA[TGL.NOTA]),COLUMN(NOTA[TGL.NOTA]))&amp;":"&amp;ADDRESS(ROW(),COLUMN(NOTA[TGL.NOTA]))),-1)))</f>
        <v>45464</v>
      </c>
      <c r="AK272" s="26" t="str">
        <f ca="1">IF(NOTA[[#This Row],[ID_H]]="","",INDEX(NOTA[NO.NOTA],MATCH(NOTA[[#This Row],[ID_H]],NOTA[ID_H],0)))</f>
        <v>JUF476/24</v>
      </c>
      <c r="AL272" s="28" t="str">
        <f ca="1">IF(NOTA[[#This Row],[NAMA BARANG]]="","",INDEX(NOTA[SUPPLIER],MATCH(,INDIRECT(ADDRESS(ROW(NOTA[ID]),COLUMN(NOTA[ID]))&amp;":"&amp;ADDRESS(ROW(),COLUMN(NOTA[ID]))),-1)))</f>
        <v>DB STATIONERY</v>
      </c>
      <c r="AM272" s="28" t="str">
        <f ca="1">IF(NOTA[[#This Row],[ID_H]]="","",IF(NOTA[[#This Row],[FAKTUR]]="",INDIRECT(ADDRESS(ROW()-1,COLUMN())),NOTA[[#This Row],[FAKTUR]]))</f>
        <v>UNTANA</v>
      </c>
      <c r="AN272" s="25" t="str">
        <f ca="1">IF(NOTA[[#This Row],[ID]]="","",COUNTIF(NOTA[ID_H],NOTA[[#This Row],[ID_H]]))</f>
        <v/>
      </c>
      <c r="AO272" s="25">
        <f ca="1">IF(NOTA[[#This Row],[TGL.NOTA]]="",IF(NOTA[[#This Row],[SUPPLIER_H]]="","",AO271),MONTH(NOTA[[#This Row],[TGL.NOTA]]))</f>
        <v>6</v>
      </c>
      <c r="AP272" s="25" t="str">
        <f>LOWER(SUBSTITUTE(SUBSTITUTE(SUBSTITUTE(SUBSTITUTE(SUBSTITUTE(SUBSTITUTE(SUBSTITUTE(SUBSTITUTE(SUBSTITUTE(NOTA[[#This Row],[NAMA BARANG]]," ",),".",""),"-",""),"(",""),")",""),",",""),"/",""),"""",""),"+",""))</f>
        <v>gelzhixinrefillg3159</v>
      </c>
      <c r="AQ2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gelzhixinrefillg31592190000</v>
      </c>
      <c r="AR2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gelzhixinrefillg31592190000</v>
      </c>
      <c r="AS2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2" s="25"/>
      <c r="AU272" s="25">
        <f>IF(NOTA[[#This Row],[CONCAT1]]="","",MATCH(NOTA[[#This Row],[CONCAT1]],[3]!db[NB NOTA_C],0))</f>
        <v>1274</v>
      </c>
      <c r="AV272" s="25" t="b">
        <f>IF(NOTA[[#This Row],[QTY/ CTN]]="","",TRUE)</f>
        <v>1</v>
      </c>
      <c r="AW272" s="25" t="str">
        <f ca="1">IF(NOTA[[#This Row],[ID_H]]="","",IF(NOTA[[#This Row],[Column3]]=TRUE,NOTA[[#This Row],[QTY/ CTN]],INDEX([3]!db[QTY/ CTN],NOTA[[#This Row],[//DB]])))</f>
        <v>120 LSN</v>
      </c>
      <c r="AX2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gelzhixinrefillg3159120lsnuntana</v>
      </c>
      <c r="AY272" s="25">
        <f ca="1">IF(NOTA[[#This Row],[ID_H]]="","",MATCH(NOTA[[#This Row],[NB NOTA_C_QTY]],[3]!db[NB NOTA_C_QTY+F],0))</f>
        <v>1274</v>
      </c>
      <c r="AZ272" s="38">
        <f ca="1">IF(NOTA[[#This Row],[NB NOTA_C_QTY]]="","",ROW()-2)</f>
        <v>270</v>
      </c>
    </row>
    <row r="273" spans="1:52" ht="20.100000000000001" customHeight="1">
      <c r="A2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3" s="25">
        <f ca="1">IF(NOTA[[#This Row],[NAMA BARANG]]="","",INDEX(NOTA[ID],MATCH(,INDIRECT(ADDRESS(ROW(NOTA[ID]),COLUMN(NOTA[ID]))&amp;":"&amp;ADDRESS(ROW(),COLUMN(NOTA[ID]))),-1)))</f>
        <v>53</v>
      </c>
      <c r="E273" s="33"/>
      <c r="H273" s="34"/>
      <c r="L273" s="25" t="s">
        <v>494</v>
      </c>
      <c r="M273" s="27">
        <v>2</v>
      </c>
      <c r="N273" s="25">
        <v>240</v>
      </c>
      <c r="O273" s="25" t="s">
        <v>110</v>
      </c>
      <c r="P273" s="28">
        <v>18250</v>
      </c>
      <c r="Q273" s="29"/>
      <c r="R273" s="35" t="s">
        <v>171</v>
      </c>
      <c r="S273" s="36"/>
      <c r="V273" s="37"/>
      <c r="W273" s="32"/>
      <c r="X273" s="37">
        <f>IF(NOTA[[#This Row],[HARGA/ CTN]]="",NOTA[[#This Row],[JUMLAH_H]],NOTA[[#This Row],[HARGA/ CTN]]*IF(NOTA[[#This Row],[C]]="",0,NOTA[[#This Row],[C]]))</f>
        <v>4380000</v>
      </c>
      <c r="Y273" s="37">
        <f>IF(NOTA[[#This Row],[JUMLAH]]="","",NOTA[[#This Row],[JUMLAH]]*NOTA[[#This Row],[DISC 1]])</f>
        <v>0</v>
      </c>
      <c r="Z273" s="37">
        <f>IF(NOTA[[#This Row],[JUMLAH]]="","",(NOTA[[#This Row],[JUMLAH]]-NOTA[[#This Row],[DISC 1-]])*NOTA[[#This Row],[DISC 2]])</f>
        <v>0</v>
      </c>
      <c r="AA273" s="37">
        <f>IF(NOTA[[#This Row],[JUMLAH]]="","",(NOTA[[#This Row],[JUMLAH]]-NOTA[[#This Row],[DISC 1-]]-NOTA[[#This Row],[DISC 2-]])*NOTA[[#This Row],[DISC 3]])</f>
        <v>0</v>
      </c>
      <c r="AB273" s="37">
        <f>IF(NOTA[[#This Row],[JUMLAH]]="","",NOTA[[#This Row],[DISC 1-]]+NOTA[[#This Row],[DISC 2-]]+NOTA[[#This Row],[DISC 3-]])</f>
        <v>0</v>
      </c>
      <c r="AC273" s="37">
        <f>IF(NOTA[[#This Row],[JUMLAH]]="","",NOTA[[#This Row],[JUMLAH]]-NOTA[[#This Row],[DISC]])</f>
        <v>4380000</v>
      </c>
      <c r="AD273" s="37"/>
      <c r="AE2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3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3" s="37">
        <f>IF(OR(NOTA[[#This Row],[QTY]]="",NOTA[[#This Row],[HARGA SATUAN]]="",),"",NOTA[[#This Row],[QTY]]*NOTA[[#This Row],[HARGA SATUAN]])</f>
        <v>4380000</v>
      </c>
      <c r="AI273" s="26">
        <f ca="1">IF(NOTA[[#This Row],[ID_H]]="","",INDEX(NOTA[TANGGAL],MATCH(,INDIRECT(ADDRESS(ROW(NOTA[TANGGAL]),COLUMN(NOTA[TANGGAL]))&amp;":"&amp;ADDRESS(ROW(),COLUMN(NOTA[TANGGAL]))),-1)))</f>
        <v>45467</v>
      </c>
      <c r="AJ273" s="26">
        <f ca="1">IF(NOTA[[#This Row],[ID_H]]="","",INDEX(NOTA[TGL.NOTA],MATCH(,INDIRECT(ADDRESS(ROW(NOTA[TGL.NOTA]),COLUMN(NOTA[TGL.NOTA]))&amp;":"&amp;ADDRESS(ROW(),COLUMN(NOTA[TGL.NOTA]))),-1)))</f>
        <v>45464</v>
      </c>
      <c r="AK273" s="26" t="str">
        <f ca="1">IF(NOTA[[#This Row],[ID_H]]="","",INDEX(NOTA[NO.NOTA],MATCH(NOTA[[#This Row],[ID_H]],NOTA[ID_H],0)))</f>
        <v>JUF476/24</v>
      </c>
      <c r="AL273" s="28" t="str">
        <f ca="1">IF(NOTA[[#This Row],[NAMA BARANG]]="","",INDEX(NOTA[SUPPLIER],MATCH(,INDIRECT(ADDRESS(ROW(NOTA[ID]),COLUMN(NOTA[ID]))&amp;":"&amp;ADDRESS(ROW(),COLUMN(NOTA[ID]))),-1)))</f>
        <v>DB STATIONERY</v>
      </c>
      <c r="AM273" s="28" t="str">
        <f ca="1">IF(NOTA[[#This Row],[ID_H]]="","",IF(NOTA[[#This Row],[FAKTUR]]="",INDIRECT(ADDRESS(ROW()-1,COLUMN())),NOTA[[#This Row],[FAKTUR]]))</f>
        <v>UNTANA</v>
      </c>
      <c r="AN273" s="25" t="str">
        <f ca="1">IF(NOTA[[#This Row],[ID]]="","",COUNTIF(NOTA[ID_H],NOTA[[#This Row],[ID_H]]))</f>
        <v/>
      </c>
      <c r="AO273" s="25">
        <f ca="1">IF(NOTA[[#This Row],[TGL.NOTA]]="",IF(NOTA[[#This Row],[SUPPLIER_H]]="","",AO272),MONTH(NOTA[[#This Row],[TGL.NOTA]]))</f>
        <v>6</v>
      </c>
      <c r="AP273" s="25" t="str">
        <f>LOWER(SUBSTITUTE(SUBSTITUTE(SUBSTITUTE(SUBSTITUTE(SUBSTITUTE(SUBSTITUTE(SUBSTITUTE(SUBSTITUTE(SUBSTITUTE(NOTA[[#This Row],[NAMA BARANG]]," ",),".",""),"-",""),"(",""),")",""),",",""),"/",""),"""",""),"+",""))</f>
        <v>gelzhixinrefillg3161</v>
      </c>
      <c r="AQ2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gelzhixinrefillg31612190000</v>
      </c>
      <c r="AR2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gelzhixinrefillg31612190000</v>
      </c>
      <c r="AS2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3" s="25"/>
      <c r="AU273" s="25">
        <f>IF(NOTA[[#This Row],[CONCAT1]]="","",MATCH(NOTA[[#This Row],[CONCAT1]],[3]!db[NB NOTA_C],0))</f>
        <v>1275</v>
      </c>
      <c r="AV273" s="25" t="b">
        <f>IF(NOTA[[#This Row],[QTY/ CTN]]="","",TRUE)</f>
        <v>1</v>
      </c>
      <c r="AW273" s="25" t="str">
        <f ca="1">IF(NOTA[[#This Row],[ID_H]]="","",IF(NOTA[[#This Row],[Column3]]=TRUE,NOTA[[#This Row],[QTY/ CTN]],INDEX([3]!db[QTY/ CTN],NOTA[[#This Row],[//DB]])))</f>
        <v>120 LSN</v>
      </c>
      <c r="AX2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gelzhixinrefillg3161120lsnuntana</v>
      </c>
      <c r="AY273" s="25">
        <f ca="1">IF(NOTA[[#This Row],[ID_H]]="","",MATCH(NOTA[[#This Row],[NB NOTA_C_QTY]],[3]!db[NB NOTA_C_QTY+F],0))</f>
        <v>1275</v>
      </c>
      <c r="AZ273" s="38">
        <f ca="1">IF(NOTA[[#This Row],[NB NOTA_C_QTY]]="","",ROW()-2)</f>
        <v>271</v>
      </c>
    </row>
    <row r="274" spans="1:52" ht="20.100000000000001" customHeight="1">
      <c r="A2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4" s="25">
        <f ca="1">IF(NOTA[[#This Row],[NAMA BARANG]]="","",INDEX(NOTA[ID],MATCH(,INDIRECT(ADDRESS(ROW(NOTA[ID]),COLUMN(NOTA[ID]))&amp;":"&amp;ADDRESS(ROW(),COLUMN(NOTA[ID]))),-1)))</f>
        <v>53</v>
      </c>
      <c r="E274" s="33"/>
      <c r="H274" s="34"/>
      <c r="L274" s="25" t="s">
        <v>495</v>
      </c>
      <c r="M274" s="27">
        <v>2</v>
      </c>
      <c r="N274" s="25">
        <v>240</v>
      </c>
      <c r="O274" s="25" t="s">
        <v>110</v>
      </c>
      <c r="P274" s="28">
        <v>18250</v>
      </c>
      <c r="Q274" s="29"/>
      <c r="R274" s="35" t="s">
        <v>171</v>
      </c>
      <c r="S274" s="36"/>
      <c r="V274" s="37"/>
      <c r="W274" s="32"/>
      <c r="X274" s="37">
        <f>IF(NOTA[[#This Row],[HARGA/ CTN]]="",NOTA[[#This Row],[JUMLAH_H]],NOTA[[#This Row],[HARGA/ CTN]]*IF(NOTA[[#This Row],[C]]="",0,NOTA[[#This Row],[C]]))</f>
        <v>4380000</v>
      </c>
      <c r="Y274" s="37">
        <f>IF(NOTA[[#This Row],[JUMLAH]]="","",NOTA[[#This Row],[JUMLAH]]*NOTA[[#This Row],[DISC 1]])</f>
        <v>0</v>
      </c>
      <c r="Z274" s="37">
        <f>IF(NOTA[[#This Row],[JUMLAH]]="","",(NOTA[[#This Row],[JUMLAH]]-NOTA[[#This Row],[DISC 1-]])*NOTA[[#This Row],[DISC 2]])</f>
        <v>0</v>
      </c>
      <c r="AA274" s="37">
        <f>IF(NOTA[[#This Row],[JUMLAH]]="","",(NOTA[[#This Row],[JUMLAH]]-NOTA[[#This Row],[DISC 1-]]-NOTA[[#This Row],[DISC 2-]])*NOTA[[#This Row],[DISC 3]])</f>
        <v>0</v>
      </c>
      <c r="AB274" s="37">
        <f>IF(NOTA[[#This Row],[JUMLAH]]="","",NOTA[[#This Row],[DISC 1-]]+NOTA[[#This Row],[DISC 2-]]+NOTA[[#This Row],[DISC 3-]])</f>
        <v>0</v>
      </c>
      <c r="AC274" s="37">
        <f>IF(NOTA[[#This Row],[JUMLAH]]="","",NOTA[[#This Row],[JUMLAH]]-NOTA[[#This Row],[DISC]])</f>
        <v>4380000</v>
      </c>
      <c r="AD274" s="37"/>
      <c r="AE2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4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4" s="37">
        <f>IF(OR(NOTA[[#This Row],[QTY]]="",NOTA[[#This Row],[HARGA SATUAN]]="",),"",NOTA[[#This Row],[QTY]]*NOTA[[#This Row],[HARGA SATUAN]])</f>
        <v>4380000</v>
      </c>
      <c r="AI274" s="26">
        <f ca="1">IF(NOTA[[#This Row],[ID_H]]="","",INDEX(NOTA[TANGGAL],MATCH(,INDIRECT(ADDRESS(ROW(NOTA[TANGGAL]),COLUMN(NOTA[TANGGAL]))&amp;":"&amp;ADDRESS(ROW(),COLUMN(NOTA[TANGGAL]))),-1)))</f>
        <v>45467</v>
      </c>
      <c r="AJ274" s="26">
        <f ca="1">IF(NOTA[[#This Row],[ID_H]]="","",INDEX(NOTA[TGL.NOTA],MATCH(,INDIRECT(ADDRESS(ROW(NOTA[TGL.NOTA]),COLUMN(NOTA[TGL.NOTA]))&amp;":"&amp;ADDRESS(ROW(),COLUMN(NOTA[TGL.NOTA]))),-1)))</f>
        <v>45464</v>
      </c>
      <c r="AK274" s="26" t="str">
        <f ca="1">IF(NOTA[[#This Row],[ID_H]]="","",INDEX(NOTA[NO.NOTA],MATCH(NOTA[[#This Row],[ID_H]],NOTA[ID_H],0)))</f>
        <v>JUF476/24</v>
      </c>
      <c r="AL274" s="28" t="str">
        <f ca="1">IF(NOTA[[#This Row],[NAMA BARANG]]="","",INDEX(NOTA[SUPPLIER],MATCH(,INDIRECT(ADDRESS(ROW(NOTA[ID]),COLUMN(NOTA[ID]))&amp;":"&amp;ADDRESS(ROW(),COLUMN(NOTA[ID]))),-1)))</f>
        <v>DB STATIONERY</v>
      </c>
      <c r="AM274" s="28" t="str">
        <f ca="1">IF(NOTA[[#This Row],[ID_H]]="","",IF(NOTA[[#This Row],[FAKTUR]]="",INDIRECT(ADDRESS(ROW()-1,COLUMN())),NOTA[[#This Row],[FAKTUR]]))</f>
        <v>UNTANA</v>
      </c>
      <c r="AN274" s="25" t="str">
        <f ca="1">IF(NOTA[[#This Row],[ID]]="","",COUNTIF(NOTA[ID_H],NOTA[[#This Row],[ID_H]]))</f>
        <v/>
      </c>
      <c r="AO274" s="25">
        <f ca="1">IF(NOTA[[#This Row],[TGL.NOTA]]="",IF(NOTA[[#This Row],[SUPPLIER_H]]="","",AO273),MONTH(NOTA[[#This Row],[TGL.NOTA]]))</f>
        <v>6</v>
      </c>
      <c r="AP274" s="25" t="str">
        <f>LOWER(SUBSTITUTE(SUBSTITUTE(SUBSTITUTE(SUBSTITUTE(SUBSTITUTE(SUBSTITUTE(SUBSTITUTE(SUBSTITUTE(SUBSTITUTE(NOTA[[#This Row],[NAMA BARANG]]," ",),".",""),"-",""),"(",""),")",""),",",""),"/",""),"""",""),"+",""))</f>
        <v>gelzhixinrefillg3160</v>
      </c>
      <c r="AQ2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gelzhixinrefillg31602190000</v>
      </c>
      <c r="AR2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gelzhixinrefillg31602190000</v>
      </c>
      <c r="AS2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4" s="25"/>
      <c r="AU274" s="25">
        <f>IF(NOTA[[#This Row],[CONCAT1]]="","",MATCH(NOTA[[#This Row],[CONCAT1]],[3]!db[NB NOTA_C],0))</f>
        <v>1276</v>
      </c>
      <c r="AV274" s="25" t="b">
        <f>IF(NOTA[[#This Row],[QTY/ CTN]]="","",TRUE)</f>
        <v>1</v>
      </c>
      <c r="AW274" s="25" t="str">
        <f ca="1">IF(NOTA[[#This Row],[ID_H]]="","",IF(NOTA[[#This Row],[Column3]]=TRUE,NOTA[[#This Row],[QTY/ CTN]],INDEX([3]!db[QTY/ CTN],NOTA[[#This Row],[//DB]])))</f>
        <v>120 LSN</v>
      </c>
      <c r="AX2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gelzhixinrefillg3160120lsnuntana</v>
      </c>
      <c r="AY274" s="25">
        <f ca="1">IF(NOTA[[#This Row],[ID_H]]="","",MATCH(NOTA[[#This Row],[NB NOTA_C_QTY]],[3]!db[NB NOTA_C_QTY+F],0))</f>
        <v>1276</v>
      </c>
      <c r="AZ274" s="38">
        <f ca="1">IF(NOTA[[#This Row],[NB NOTA_C_QTY]]="","",ROW()-2)</f>
        <v>272</v>
      </c>
    </row>
    <row r="275" spans="1:52" ht="20.100000000000001" customHeight="1">
      <c r="A2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5" s="25">
        <f ca="1">IF(NOTA[[#This Row],[NAMA BARANG]]="","",INDEX(NOTA[ID],MATCH(,INDIRECT(ADDRESS(ROW(NOTA[ID]),COLUMN(NOTA[ID]))&amp;":"&amp;ADDRESS(ROW(),COLUMN(NOTA[ID]))),-1)))</f>
        <v>53</v>
      </c>
      <c r="E275" s="33"/>
      <c r="H275" s="34"/>
      <c r="L275" s="25" t="s">
        <v>496</v>
      </c>
      <c r="M275" s="27">
        <v>2</v>
      </c>
      <c r="N275" s="25">
        <v>240</v>
      </c>
      <c r="O275" s="25" t="s">
        <v>110</v>
      </c>
      <c r="P275" s="28">
        <v>18250</v>
      </c>
      <c r="Q275" s="29"/>
      <c r="R275" s="35" t="s">
        <v>171</v>
      </c>
      <c r="S275" s="36"/>
      <c r="V275" s="37"/>
      <c r="W275" s="32"/>
      <c r="X275" s="37">
        <f>IF(NOTA[[#This Row],[HARGA/ CTN]]="",NOTA[[#This Row],[JUMLAH_H]],NOTA[[#This Row],[HARGA/ CTN]]*IF(NOTA[[#This Row],[C]]="",0,NOTA[[#This Row],[C]]))</f>
        <v>4380000</v>
      </c>
      <c r="Y275" s="37">
        <f>IF(NOTA[[#This Row],[JUMLAH]]="","",NOTA[[#This Row],[JUMLAH]]*NOTA[[#This Row],[DISC 1]])</f>
        <v>0</v>
      </c>
      <c r="Z275" s="37">
        <f>IF(NOTA[[#This Row],[JUMLAH]]="","",(NOTA[[#This Row],[JUMLAH]]-NOTA[[#This Row],[DISC 1-]])*NOTA[[#This Row],[DISC 2]])</f>
        <v>0</v>
      </c>
      <c r="AA275" s="37">
        <f>IF(NOTA[[#This Row],[JUMLAH]]="","",(NOTA[[#This Row],[JUMLAH]]-NOTA[[#This Row],[DISC 1-]]-NOTA[[#This Row],[DISC 2-]])*NOTA[[#This Row],[DISC 3]])</f>
        <v>0</v>
      </c>
      <c r="AB275" s="37">
        <f>IF(NOTA[[#This Row],[JUMLAH]]="","",NOTA[[#This Row],[DISC 1-]]+NOTA[[#This Row],[DISC 2-]]+NOTA[[#This Row],[DISC 3-]])</f>
        <v>0</v>
      </c>
      <c r="AC275" s="37">
        <f>IF(NOTA[[#This Row],[JUMLAH]]="","",NOTA[[#This Row],[JUMLAH]]-NOTA[[#This Row],[DISC]])</f>
        <v>4380000</v>
      </c>
      <c r="AD275" s="37"/>
      <c r="AE2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5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5" s="37">
        <f>IF(OR(NOTA[[#This Row],[QTY]]="",NOTA[[#This Row],[HARGA SATUAN]]="",),"",NOTA[[#This Row],[QTY]]*NOTA[[#This Row],[HARGA SATUAN]])</f>
        <v>4380000</v>
      </c>
      <c r="AI275" s="26">
        <f ca="1">IF(NOTA[[#This Row],[ID_H]]="","",INDEX(NOTA[TANGGAL],MATCH(,INDIRECT(ADDRESS(ROW(NOTA[TANGGAL]),COLUMN(NOTA[TANGGAL]))&amp;":"&amp;ADDRESS(ROW(),COLUMN(NOTA[TANGGAL]))),-1)))</f>
        <v>45467</v>
      </c>
      <c r="AJ275" s="26">
        <f ca="1">IF(NOTA[[#This Row],[ID_H]]="","",INDEX(NOTA[TGL.NOTA],MATCH(,INDIRECT(ADDRESS(ROW(NOTA[TGL.NOTA]),COLUMN(NOTA[TGL.NOTA]))&amp;":"&amp;ADDRESS(ROW(),COLUMN(NOTA[TGL.NOTA]))),-1)))</f>
        <v>45464</v>
      </c>
      <c r="AK275" s="26" t="str">
        <f ca="1">IF(NOTA[[#This Row],[ID_H]]="","",INDEX(NOTA[NO.NOTA],MATCH(NOTA[[#This Row],[ID_H]],NOTA[ID_H],0)))</f>
        <v>JUF476/24</v>
      </c>
      <c r="AL275" s="28" t="str">
        <f ca="1">IF(NOTA[[#This Row],[NAMA BARANG]]="","",INDEX(NOTA[SUPPLIER],MATCH(,INDIRECT(ADDRESS(ROW(NOTA[ID]),COLUMN(NOTA[ID]))&amp;":"&amp;ADDRESS(ROW(),COLUMN(NOTA[ID]))),-1)))</f>
        <v>DB STATIONERY</v>
      </c>
      <c r="AM275" s="28" t="str">
        <f ca="1">IF(NOTA[[#This Row],[ID_H]]="","",IF(NOTA[[#This Row],[FAKTUR]]="",INDIRECT(ADDRESS(ROW()-1,COLUMN())),NOTA[[#This Row],[FAKTUR]]))</f>
        <v>UNTANA</v>
      </c>
      <c r="AN275" s="25" t="str">
        <f ca="1">IF(NOTA[[#This Row],[ID]]="","",COUNTIF(NOTA[ID_H],NOTA[[#This Row],[ID_H]]))</f>
        <v/>
      </c>
      <c r="AO275" s="25">
        <f ca="1">IF(NOTA[[#This Row],[TGL.NOTA]]="",IF(NOTA[[#This Row],[SUPPLIER_H]]="","",AO274),MONTH(NOTA[[#This Row],[TGL.NOTA]]))</f>
        <v>6</v>
      </c>
      <c r="AP275" s="25" t="str">
        <f>LOWER(SUBSTITUTE(SUBSTITUTE(SUBSTITUTE(SUBSTITUTE(SUBSTITUTE(SUBSTITUTE(SUBSTITUTE(SUBSTITUTE(SUBSTITUTE(NOTA[[#This Row],[NAMA BARANG]]," ",),".",""),"-",""),"(",""),")",""),",",""),"/",""),"""",""),"+",""))</f>
        <v>gelzhixinrefillg3166</v>
      </c>
      <c r="AQ2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gelzhixinrefillg31662190000</v>
      </c>
      <c r="AR2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gelzhixinrefillg31662190000</v>
      </c>
      <c r="AS2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5" s="25"/>
      <c r="AU275" s="25">
        <f>IF(NOTA[[#This Row],[CONCAT1]]="","",MATCH(NOTA[[#This Row],[CONCAT1]],[3]!db[NB NOTA_C],0))</f>
        <v>1277</v>
      </c>
      <c r="AV275" s="25" t="b">
        <f>IF(NOTA[[#This Row],[QTY/ CTN]]="","",TRUE)</f>
        <v>1</v>
      </c>
      <c r="AW275" s="25" t="str">
        <f ca="1">IF(NOTA[[#This Row],[ID_H]]="","",IF(NOTA[[#This Row],[Column3]]=TRUE,NOTA[[#This Row],[QTY/ CTN]],INDEX([3]!db[QTY/ CTN],NOTA[[#This Row],[//DB]])))</f>
        <v>120 LSN</v>
      </c>
      <c r="AX2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gelzhixinrefillg3166120lsnuntana</v>
      </c>
      <c r="AY275" s="25">
        <f ca="1">IF(NOTA[[#This Row],[ID_H]]="","",MATCH(NOTA[[#This Row],[NB NOTA_C_QTY]],[3]!db[NB NOTA_C_QTY+F],0))</f>
        <v>1277</v>
      </c>
      <c r="AZ275" s="38">
        <f ca="1">IF(NOTA[[#This Row],[NB NOTA_C_QTY]]="","",ROW()-2)</f>
        <v>273</v>
      </c>
    </row>
    <row r="276" spans="1:52" ht="20.100000000000001" customHeight="1">
      <c r="A2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6" s="25">
        <f ca="1">IF(NOTA[[#This Row],[NAMA BARANG]]="","",INDEX(NOTA[ID],MATCH(,INDIRECT(ADDRESS(ROW(NOTA[ID]),COLUMN(NOTA[ID]))&amp;":"&amp;ADDRESS(ROW(),COLUMN(NOTA[ID]))),-1)))</f>
        <v>53</v>
      </c>
      <c r="E276" s="33"/>
      <c r="H276" s="34"/>
      <c r="L276" s="25" t="s">
        <v>497</v>
      </c>
      <c r="M276" s="27">
        <v>2</v>
      </c>
      <c r="N276" s="25">
        <v>240</v>
      </c>
      <c r="O276" s="25" t="s">
        <v>110</v>
      </c>
      <c r="P276" s="28">
        <v>18250</v>
      </c>
      <c r="Q276" s="29"/>
      <c r="R276" s="35" t="s">
        <v>171</v>
      </c>
      <c r="S276" s="36"/>
      <c r="V276" s="37"/>
      <c r="W276" s="32"/>
      <c r="X276" s="37">
        <f>IF(NOTA[[#This Row],[HARGA/ CTN]]="",NOTA[[#This Row],[JUMLAH_H]],NOTA[[#This Row],[HARGA/ CTN]]*IF(NOTA[[#This Row],[C]]="",0,NOTA[[#This Row],[C]]))</f>
        <v>4380000</v>
      </c>
      <c r="Y276" s="37">
        <f>IF(NOTA[[#This Row],[JUMLAH]]="","",NOTA[[#This Row],[JUMLAH]]*NOTA[[#This Row],[DISC 1]])</f>
        <v>0</v>
      </c>
      <c r="Z276" s="37">
        <f>IF(NOTA[[#This Row],[JUMLAH]]="","",(NOTA[[#This Row],[JUMLAH]]-NOTA[[#This Row],[DISC 1-]])*NOTA[[#This Row],[DISC 2]])</f>
        <v>0</v>
      </c>
      <c r="AA276" s="37">
        <f>IF(NOTA[[#This Row],[JUMLAH]]="","",(NOTA[[#This Row],[JUMLAH]]-NOTA[[#This Row],[DISC 1-]]-NOTA[[#This Row],[DISC 2-]])*NOTA[[#This Row],[DISC 3]])</f>
        <v>0</v>
      </c>
      <c r="AB276" s="37">
        <f>IF(NOTA[[#This Row],[JUMLAH]]="","",NOTA[[#This Row],[DISC 1-]]+NOTA[[#This Row],[DISC 2-]]+NOTA[[#This Row],[DISC 3-]])</f>
        <v>0</v>
      </c>
      <c r="AC276" s="37">
        <f>IF(NOTA[[#This Row],[JUMLAH]]="","",NOTA[[#This Row],[JUMLAH]]-NOTA[[#This Row],[DISC]])</f>
        <v>4380000</v>
      </c>
      <c r="AD276" s="37"/>
      <c r="AE2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6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6" s="37">
        <f>IF(OR(NOTA[[#This Row],[QTY]]="",NOTA[[#This Row],[HARGA SATUAN]]="",),"",NOTA[[#This Row],[QTY]]*NOTA[[#This Row],[HARGA SATUAN]])</f>
        <v>4380000</v>
      </c>
      <c r="AI276" s="26">
        <f ca="1">IF(NOTA[[#This Row],[ID_H]]="","",INDEX(NOTA[TANGGAL],MATCH(,INDIRECT(ADDRESS(ROW(NOTA[TANGGAL]),COLUMN(NOTA[TANGGAL]))&amp;":"&amp;ADDRESS(ROW(),COLUMN(NOTA[TANGGAL]))),-1)))</f>
        <v>45467</v>
      </c>
      <c r="AJ276" s="26">
        <f ca="1">IF(NOTA[[#This Row],[ID_H]]="","",INDEX(NOTA[TGL.NOTA],MATCH(,INDIRECT(ADDRESS(ROW(NOTA[TGL.NOTA]),COLUMN(NOTA[TGL.NOTA]))&amp;":"&amp;ADDRESS(ROW(),COLUMN(NOTA[TGL.NOTA]))),-1)))</f>
        <v>45464</v>
      </c>
      <c r="AK276" s="26" t="str">
        <f ca="1">IF(NOTA[[#This Row],[ID_H]]="","",INDEX(NOTA[NO.NOTA],MATCH(NOTA[[#This Row],[ID_H]],NOTA[ID_H],0)))</f>
        <v>JUF476/24</v>
      </c>
      <c r="AL276" s="28" t="str">
        <f ca="1">IF(NOTA[[#This Row],[NAMA BARANG]]="","",INDEX(NOTA[SUPPLIER],MATCH(,INDIRECT(ADDRESS(ROW(NOTA[ID]),COLUMN(NOTA[ID]))&amp;":"&amp;ADDRESS(ROW(),COLUMN(NOTA[ID]))),-1)))</f>
        <v>DB STATIONERY</v>
      </c>
      <c r="AM276" s="28" t="str">
        <f ca="1">IF(NOTA[[#This Row],[ID_H]]="","",IF(NOTA[[#This Row],[FAKTUR]]="",INDIRECT(ADDRESS(ROW()-1,COLUMN())),NOTA[[#This Row],[FAKTUR]]))</f>
        <v>UNTANA</v>
      </c>
      <c r="AN276" s="25" t="str">
        <f ca="1">IF(NOTA[[#This Row],[ID]]="","",COUNTIF(NOTA[ID_H],NOTA[[#This Row],[ID_H]]))</f>
        <v/>
      </c>
      <c r="AO276" s="25">
        <f ca="1">IF(NOTA[[#This Row],[TGL.NOTA]]="",IF(NOTA[[#This Row],[SUPPLIER_H]]="","",AO275),MONTH(NOTA[[#This Row],[TGL.NOTA]]))</f>
        <v>6</v>
      </c>
      <c r="AP276" s="25" t="str">
        <f>LOWER(SUBSTITUTE(SUBSTITUTE(SUBSTITUTE(SUBSTITUTE(SUBSTITUTE(SUBSTITUTE(SUBSTITUTE(SUBSTITUTE(SUBSTITUTE(NOTA[[#This Row],[NAMA BARANG]]," ",),".",""),"-",""),"(",""),")",""),",",""),"/",""),"""",""),"+",""))</f>
        <v>gelzhixinrefillg3167</v>
      </c>
      <c r="AQ2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gelzhixinrefillg31672190000</v>
      </c>
      <c r="AR2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gelzhixinrefillg31672190000</v>
      </c>
      <c r="AS2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6" s="25"/>
      <c r="AU276" s="25">
        <f>IF(NOTA[[#This Row],[CONCAT1]]="","",MATCH(NOTA[[#This Row],[CONCAT1]],[3]!db[NB NOTA_C],0))</f>
        <v>1267</v>
      </c>
      <c r="AV276" s="25" t="b">
        <f>IF(NOTA[[#This Row],[QTY/ CTN]]="","",TRUE)</f>
        <v>1</v>
      </c>
      <c r="AW276" s="25" t="str">
        <f ca="1">IF(NOTA[[#This Row],[ID_H]]="","",IF(NOTA[[#This Row],[Column3]]=TRUE,NOTA[[#This Row],[QTY/ CTN]],INDEX([3]!db[QTY/ CTN],NOTA[[#This Row],[//DB]])))</f>
        <v>120 LSN</v>
      </c>
      <c r="AX2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gelzhixinrefillg3167120lsnuntana</v>
      </c>
      <c r="AY276" s="25">
        <f ca="1">IF(NOTA[[#This Row],[ID_H]]="","",MATCH(NOTA[[#This Row],[NB NOTA_C_QTY]],[3]!db[NB NOTA_C_QTY+F],0))</f>
        <v>1267</v>
      </c>
      <c r="AZ276" s="38">
        <f ca="1">IF(NOTA[[#This Row],[NB NOTA_C_QTY]]="","",ROW()-2)</f>
        <v>274</v>
      </c>
    </row>
    <row r="277" spans="1:52" ht="20.100000000000001" customHeight="1">
      <c r="A2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7" s="25">
        <f ca="1">IF(NOTA[[#This Row],[NAMA BARANG]]="","",INDEX(NOTA[ID],MATCH(,INDIRECT(ADDRESS(ROW(NOTA[ID]),COLUMN(NOTA[ID]))&amp;":"&amp;ADDRESS(ROW(),COLUMN(NOTA[ID]))),-1)))</f>
        <v>53</v>
      </c>
      <c r="E277" s="33"/>
      <c r="H277" s="34"/>
      <c r="L277" s="25" t="s">
        <v>498</v>
      </c>
      <c r="M277" s="27">
        <v>2</v>
      </c>
      <c r="N277" s="25">
        <v>240</v>
      </c>
      <c r="O277" s="25" t="s">
        <v>110</v>
      </c>
      <c r="P277" s="28">
        <v>18250</v>
      </c>
      <c r="Q277" s="29"/>
      <c r="R277" s="35" t="s">
        <v>171</v>
      </c>
      <c r="S277" s="36"/>
      <c r="V277" s="37"/>
      <c r="W277" s="32"/>
      <c r="X277" s="37">
        <f>IF(NOTA[[#This Row],[HARGA/ CTN]]="",NOTA[[#This Row],[JUMLAH_H]],NOTA[[#This Row],[HARGA/ CTN]]*IF(NOTA[[#This Row],[C]]="",0,NOTA[[#This Row],[C]]))</f>
        <v>4380000</v>
      </c>
      <c r="Y277" s="37">
        <f>IF(NOTA[[#This Row],[JUMLAH]]="","",NOTA[[#This Row],[JUMLAH]]*NOTA[[#This Row],[DISC 1]])</f>
        <v>0</v>
      </c>
      <c r="Z277" s="37">
        <f>IF(NOTA[[#This Row],[JUMLAH]]="","",(NOTA[[#This Row],[JUMLAH]]-NOTA[[#This Row],[DISC 1-]])*NOTA[[#This Row],[DISC 2]])</f>
        <v>0</v>
      </c>
      <c r="AA277" s="37">
        <f>IF(NOTA[[#This Row],[JUMLAH]]="","",(NOTA[[#This Row],[JUMLAH]]-NOTA[[#This Row],[DISC 1-]]-NOTA[[#This Row],[DISC 2-]])*NOTA[[#This Row],[DISC 3]])</f>
        <v>0</v>
      </c>
      <c r="AB277" s="37">
        <f>IF(NOTA[[#This Row],[JUMLAH]]="","",NOTA[[#This Row],[DISC 1-]]+NOTA[[#This Row],[DISC 2-]]+NOTA[[#This Row],[DISC 3-]])</f>
        <v>0</v>
      </c>
      <c r="AC277" s="37">
        <f>IF(NOTA[[#This Row],[JUMLAH]]="","",NOTA[[#This Row],[JUMLAH]]-NOTA[[#This Row],[DISC]])</f>
        <v>4380000</v>
      </c>
      <c r="AD277" s="37"/>
      <c r="AE2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7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7" s="37">
        <f>IF(OR(NOTA[[#This Row],[QTY]]="",NOTA[[#This Row],[HARGA SATUAN]]="",),"",NOTA[[#This Row],[QTY]]*NOTA[[#This Row],[HARGA SATUAN]])</f>
        <v>4380000</v>
      </c>
      <c r="AI277" s="26">
        <f ca="1">IF(NOTA[[#This Row],[ID_H]]="","",INDEX(NOTA[TANGGAL],MATCH(,INDIRECT(ADDRESS(ROW(NOTA[TANGGAL]),COLUMN(NOTA[TANGGAL]))&amp;":"&amp;ADDRESS(ROW(),COLUMN(NOTA[TANGGAL]))),-1)))</f>
        <v>45467</v>
      </c>
      <c r="AJ277" s="26">
        <f ca="1">IF(NOTA[[#This Row],[ID_H]]="","",INDEX(NOTA[TGL.NOTA],MATCH(,INDIRECT(ADDRESS(ROW(NOTA[TGL.NOTA]),COLUMN(NOTA[TGL.NOTA]))&amp;":"&amp;ADDRESS(ROW(),COLUMN(NOTA[TGL.NOTA]))),-1)))</f>
        <v>45464</v>
      </c>
      <c r="AK277" s="26" t="str">
        <f ca="1">IF(NOTA[[#This Row],[ID_H]]="","",INDEX(NOTA[NO.NOTA],MATCH(NOTA[[#This Row],[ID_H]],NOTA[ID_H],0)))</f>
        <v>JUF476/24</v>
      </c>
      <c r="AL277" s="28" t="str">
        <f ca="1">IF(NOTA[[#This Row],[NAMA BARANG]]="","",INDEX(NOTA[SUPPLIER],MATCH(,INDIRECT(ADDRESS(ROW(NOTA[ID]),COLUMN(NOTA[ID]))&amp;":"&amp;ADDRESS(ROW(),COLUMN(NOTA[ID]))),-1)))</f>
        <v>DB STATIONERY</v>
      </c>
      <c r="AM277" s="28" t="str">
        <f ca="1">IF(NOTA[[#This Row],[ID_H]]="","",IF(NOTA[[#This Row],[FAKTUR]]="",INDIRECT(ADDRESS(ROW()-1,COLUMN())),NOTA[[#This Row],[FAKTUR]]))</f>
        <v>UNTANA</v>
      </c>
      <c r="AN277" s="25" t="str">
        <f ca="1">IF(NOTA[[#This Row],[ID]]="","",COUNTIF(NOTA[ID_H],NOTA[[#This Row],[ID_H]]))</f>
        <v/>
      </c>
      <c r="AO277" s="25">
        <f ca="1">IF(NOTA[[#This Row],[TGL.NOTA]]="",IF(NOTA[[#This Row],[SUPPLIER_H]]="","",AO276),MONTH(NOTA[[#This Row],[TGL.NOTA]]))</f>
        <v>6</v>
      </c>
      <c r="AP277" s="25" t="str">
        <f>LOWER(SUBSTITUTE(SUBSTITUTE(SUBSTITUTE(SUBSTITUTE(SUBSTITUTE(SUBSTITUTE(SUBSTITUTE(SUBSTITUTE(SUBSTITUTE(NOTA[[#This Row],[NAMA BARANG]]," ",),".",""),"-",""),"(",""),")",""),",",""),"/",""),"""",""),"+",""))</f>
        <v>gelzhixinrefillg5017</v>
      </c>
      <c r="AQ2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gelzhixinrefillg50172190000</v>
      </c>
      <c r="AR2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gelzhixinrefillg50172190000</v>
      </c>
      <c r="AS2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7" s="25"/>
      <c r="AU277" s="25">
        <f>IF(NOTA[[#This Row],[CONCAT1]]="","",MATCH(NOTA[[#This Row],[CONCAT1]],[3]!db[NB NOTA_C],0))</f>
        <v>1293</v>
      </c>
      <c r="AV277" s="25" t="b">
        <f>IF(NOTA[[#This Row],[QTY/ CTN]]="","",TRUE)</f>
        <v>1</v>
      </c>
      <c r="AW277" s="25" t="str">
        <f ca="1">IF(NOTA[[#This Row],[ID_H]]="","",IF(NOTA[[#This Row],[Column3]]=TRUE,NOTA[[#This Row],[QTY/ CTN]],INDEX([3]!db[QTY/ CTN],NOTA[[#This Row],[//DB]])))</f>
        <v>120 LSN</v>
      </c>
      <c r="AX2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gelzhixinrefillg5017120lsnuntana</v>
      </c>
      <c r="AY277" s="25">
        <f ca="1">IF(NOTA[[#This Row],[ID_H]]="","",MATCH(NOTA[[#This Row],[NB NOTA_C_QTY]],[3]!db[NB NOTA_C_QTY+F],0))</f>
        <v>1293</v>
      </c>
      <c r="AZ277" s="38">
        <f ca="1">IF(NOTA[[#This Row],[NB NOTA_C_QTY]]="","",ROW()-2)</f>
        <v>275</v>
      </c>
    </row>
    <row r="278" spans="1:52" ht="20.100000000000001" customHeight="1">
      <c r="A2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8" s="25">
        <f ca="1">IF(NOTA[[#This Row],[NAMA BARANG]]="","",INDEX(NOTA[ID],MATCH(,INDIRECT(ADDRESS(ROW(NOTA[ID]),COLUMN(NOTA[ID]))&amp;":"&amp;ADDRESS(ROW(),COLUMN(NOTA[ID]))),-1)))</f>
        <v>53</v>
      </c>
      <c r="E278" s="33"/>
      <c r="H278" s="34"/>
      <c r="L278" s="25" t="s">
        <v>499</v>
      </c>
      <c r="M278" s="27">
        <v>2</v>
      </c>
      <c r="N278" s="25">
        <v>240</v>
      </c>
      <c r="O278" s="25" t="s">
        <v>110</v>
      </c>
      <c r="P278" s="28">
        <v>18250</v>
      </c>
      <c r="Q278" s="29"/>
      <c r="R278" s="35" t="s">
        <v>171</v>
      </c>
      <c r="S278" s="36"/>
      <c r="V278" s="37"/>
      <c r="W278" s="32"/>
      <c r="X278" s="37">
        <f>IF(NOTA[[#This Row],[HARGA/ CTN]]="",NOTA[[#This Row],[JUMLAH_H]],NOTA[[#This Row],[HARGA/ CTN]]*IF(NOTA[[#This Row],[C]]="",0,NOTA[[#This Row],[C]]))</f>
        <v>4380000</v>
      </c>
      <c r="Y278" s="37">
        <f>IF(NOTA[[#This Row],[JUMLAH]]="","",NOTA[[#This Row],[JUMLAH]]*NOTA[[#This Row],[DISC 1]])</f>
        <v>0</v>
      </c>
      <c r="Z278" s="37">
        <f>IF(NOTA[[#This Row],[JUMLAH]]="","",(NOTA[[#This Row],[JUMLAH]]-NOTA[[#This Row],[DISC 1-]])*NOTA[[#This Row],[DISC 2]])</f>
        <v>0</v>
      </c>
      <c r="AA278" s="37">
        <f>IF(NOTA[[#This Row],[JUMLAH]]="","",(NOTA[[#This Row],[JUMLAH]]-NOTA[[#This Row],[DISC 1-]]-NOTA[[#This Row],[DISC 2-]])*NOTA[[#This Row],[DISC 3]])</f>
        <v>0</v>
      </c>
      <c r="AB278" s="37">
        <f>IF(NOTA[[#This Row],[JUMLAH]]="","",NOTA[[#This Row],[DISC 1-]]+NOTA[[#This Row],[DISC 2-]]+NOTA[[#This Row],[DISC 3-]])</f>
        <v>0</v>
      </c>
      <c r="AC278" s="37">
        <f>IF(NOTA[[#This Row],[JUMLAH]]="","",NOTA[[#This Row],[JUMLAH]]-NOTA[[#This Row],[DISC]])</f>
        <v>4380000</v>
      </c>
      <c r="AD278" s="37"/>
      <c r="AE2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8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8" s="37">
        <f>IF(OR(NOTA[[#This Row],[QTY]]="",NOTA[[#This Row],[HARGA SATUAN]]="",),"",NOTA[[#This Row],[QTY]]*NOTA[[#This Row],[HARGA SATUAN]])</f>
        <v>4380000</v>
      </c>
      <c r="AI278" s="26">
        <f ca="1">IF(NOTA[[#This Row],[ID_H]]="","",INDEX(NOTA[TANGGAL],MATCH(,INDIRECT(ADDRESS(ROW(NOTA[TANGGAL]),COLUMN(NOTA[TANGGAL]))&amp;":"&amp;ADDRESS(ROW(),COLUMN(NOTA[TANGGAL]))),-1)))</f>
        <v>45467</v>
      </c>
      <c r="AJ278" s="26">
        <f ca="1">IF(NOTA[[#This Row],[ID_H]]="","",INDEX(NOTA[TGL.NOTA],MATCH(,INDIRECT(ADDRESS(ROW(NOTA[TGL.NOTA]),COLUMN(NOTA[TGL.NOTA]))&amp;":"&amp;ADDRESS(ROW(),COLUMN(NOTA[TGL.NOTA]))),-1)))</f>
        <v>45464</v>
      </c>
      <c r="AK278" s="26" t="str">
        <f ca="1">IF(NOTA[[#This Row],[ID_H]]="","",INDEX(NOTA[NO.NOTA],MATCH(NOTA[[#This Row],[ID_H]],NOTA[ID_H],0)))</f>
        <v>JUF476/24</v>
      </c>
      <c r="AL278" s="28" t="str">
        <f ca="1">IF(NOTA[[#This Row],[NAMA BARANG]]="","",INDEX(NOTA[SUPPLIER],MATCH(,INDIRECT(ADDRESS(ROW(NOTA[ID]),COLUMN(NOTA[ID]))&amp;":"&amp;ADDRESS(ROW(),COLUMN(NOTA[ID]))),-1)))</f>
        <v>DB STATIONERY</v>
      </c>
      <c r="AM278" s="28" t="str">
        <f ca="1">IF(NOTA[[#This Row],[ID_H]]="","",IF(NOTA[[#This Row],[FAKTUR]]="",INDIRECT(ADDRESS(ROW()-1,COLUMN())),NOTA[[#This Row],[FAKTUR]]))</f>
        <v>UNTANA</v>
      </c>
      <c r="AN278" s="25" t="str">
        <f ca="1">IF(NOTA[[#This Row],[ID]]="","",COUNTIF(NOTA[ID_H],NOTA[[#This Row],[ID_H]]))</f>
        <v/>
      </c>
      <c r="AO278" s="25">
        <f ca="1">IF(NOTA[[#This Row],[TGL.NOTA]]="",IF(NOTA[[#This Row],[SUPPLIER_H]]="","",AO277),MONTH(NOTA[[#This Row],[TGL.NOTA]]))</f>
        <v>6</v>
      </c>
      <c r="AP278" s="25" t="str">
        <f>LOWER(SUBSTITUTE(SUBSTITUTE(SUBSTITUTE(SUBSTITUTE(SUBSTITUTE(SUBSTITUTE(SUBSTITUTE(SUBSTITUTE(SUBSTITUTE(NOTA[[#This Row],[NAMA BARANG]]," ",),".",""),"-",""),"(",""),")",""),",",""),"/",""),"""",""),"+",""))</f>
        <v>gelzhixinrefillg5018</v>
      </c>
      <c r="AQ2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gelzhixinrefillg50182190000</v>
      </c>
      <c r="AR2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gelzhixinrefillg50182190000</v>
      </c>
      <c r="AS2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8" s="25"/>
      <c r="AU278" s="25">
        <f>IF(NOTA[[#This Row],[CONCAT1]]="","",MATCH(NOTA[[#This Row],[CONCAT1]],[3]!db[NB NOTA_C],0))</f>
        <v>1278</v>
      </c>
      <c r="AV278" s="25" t="b">
        <f>IF(NOTA[[#This Row],[QTY/ CTN]]="","",TRUE)</f>
        <v>1</v>
      </c>
      <c r="AW278" s="25" t="str">
        <f ca="1">IF(NOTA[[#This Row],[ID_H]]="","",IF(NOTA[[#This Row],[Column3]]=TRUE,NOTA[[#This Row],[QTY/ CTN]],INDEX([3]!db[QTY/ CTN],NOTA[[#This Row],[//DB]])))</f>
        <v>120 LSN</v>
      </c>
      <c r="AX2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gelzhixinrefillg5018120lsnuntana</v>
      </c>
      <c r="AY278" s="25">
        <f ca="1">IF(NOTA[[#This Row],[ID_H]]="","",MATCH(NOTA[[#This Row],[NB NOTA_C_QTY]],[3]!db[NB NOTA_C_QTY+F],0))</f>
        <v>1278</v>
      </c>
      <c r="AZ278" s="38">
        <f ca="1">IF(NOTA[[#This Row],[NB NOTA_C_QTY]]="","",ROW()-2)</f>
        <v>276</v>
      </c>
    </row>
    <row r="279" spans="1:52" ht="20.100000000000001" customHeight="1">
      <c r="A2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9" s="25">
        <f ca="1">IF(NOTA[[#This Row],[NAMA BARANG]]="","",INDEX(NOTA[ID],MATCH(,INDIRECT(ADDRESS(ROW(NOTA[ID]),COLUMN(NOTA[ID]))&amp;":"&amp;ADDRESS(ROW(),COLUMN(NOTA[ID]))),-1)))</f>
        <v>53</v>
      </c>
      <c r="E279" s="33"/>
      <c r="H279" s="34"/>
      <c r="L279" s="25" t="s">
        <v>500</v>
      </c>
      <c r="M279" s="27">
        <v>2</v>
      </c>
      <c r="N279" s="25">
        <v>240</v>
      </c>
      <c r="O279" s="25" t="s">
        <v>110</v>
      </c>
      <c r="P279" s="28">
        <v>18250</v>
      </c>
      <c r="Q279" s="29"/>
      <c r="R279" s="35" t="s">
        <v>171</v>
      </c>
      <c r="S279" s="36"/>
      <c r="V279" s="37"/>
      <c r="W279" s="32"/>
      <c r="X279" s="37">
        <f>IF(NOTA[[#This Row],[HARGA/ CTN]]="",NOTA[[#This Row],[JUMLAH_H]],NOTA[[#This Row],[HARGA/ CTN]]*IF(NOTA[[#This Row],[C]]="",0,NOTA[[#This Row],[C]]))</f>
        <v>4380000</v>
      </c>
      <c r="Y279" s="37">
        <f>IF(NOTA[[#This Row],[JUMLAH]]="","",NOTA[[#This Row],[JUMLAH]]*NOTA[[#This Row],[DISC 1]])</f>
        <v>0</v>
      </c>
      <c r="Z279" s="37">
        <f>IF(NOTA[[#This Row],[JUMLAH]]="","",(NOTA[[#This Row],[JUMLAH]]-NOTA[[#This Row],[DISC 1-]])*NOTA[[#This Row],[DISC 2]])</f>
        <v>0</v>
      </c>
      <c r="AA279" s="37">
        <f>IF(NOTA[[#This Row],[JUMLAH]]="","",(NOTA[[#This Row],[JUMLAH]]-NOTA[[#This Row],[DISC 1-]]-NOTA[[#This Row],[DISC 2-]])*NOTA[[#This Row],[DISC 3]])</f>
        <v>0</v>
      </c>
      <c r="AB279" s="37">
        <f>IF(NOTA[[#This Row],[JUMLAH]]="","",NOTA[[#This Row],[DISC 1-]]+NOTA[[#This Row],[DISC 2-]]+NOTA[[#This Row],[DISC 3-]])</f>
        <v>0</v>
      </c>
      <c r="AC279" s="37">
        <f>IF(NOTA[[#This Row],[JUMLAH]]="","",NOTA[[#This Row],[JUMLAH]]-NOTA[[#This Row],[DISC]])</f>
        <v>4380000</v>
      </c>
      <c r="AD279" s="37"/>
      <c r="AE2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9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9" s="37">
        <f>IF(OR(NOTA[[#This Row],[QTY]]="",NOTA[[#This Row],[HARGA SATUAN]]="",),"",NOTA[[#This Row],[QTY]]*NOTA[[#This Row],[HARGA SATUAN]])</f>
        <v>4380000</v>
      </c>
      <c r="AI279" s="26">
        <f ca="1">IF(NOTA[[#This Row],[ID_H]]="","",INDEX(NOTA[TANGGAL],MATCH(,INDIRECT(ADDRESS(ROW(NOTA[TANGGAL]),COLUMN(NOTA[TANGGAL]))&amp;":"&amp;ADDRESS(ROW(),COLUMN(NOTA[TANGGAL]))),-1)))</f>
        <v>45467</v>
      </c>
      <c r="AJ279" s="26">
        <f ca="1">IF(NOTA[[#This Row],[ID_H]]="","",INDEX(NOTA[TGL.NOTA],MATCH(,INDIRECT(ADDRESS(ROW(NOTA[TGL.NOTA]),COLUMN(NOTA[TGL.NOTA]))&amp;":"&amp;ADDRESS(ROW(),COLUMN(NOTA[TGL.NOTA]))),-1)))</f>
        <v>45464</v>
      </c>
      <c r="AK279" s="26" t="str">
        <f ca="1">IF(NOTA[[#This Row],[ID_H]]="","",INDEX(NOTA[NO.NOTA],MATCH(NOTA[[#This Row],[ID_H]],NOTA[ID_H],0)))</f>
        <v>JUF476/24</v>
      </c>
      <c r="AL279" s="28" t="str">
        <f ca="1">IF(NOTA[[#This Row],[NAMA BARANG]]="","",INDEX(NOTA[SUPPLIER],MATCH(,INDIRECT(ADDRESS(ROW(NOTA[ID]),COLUMN(NOTA[ID]))&amp;":"&amp;ADDRESS(ROW(),COLUMN(NOTA[ID]))),-1)))</f>
        <v>DB STATIONERY</v>
      </c>
      <c r="AM279" s="28" t="str">
        <f ca="1">IF(NOTA[[#This Row],[ID_H]]="","",IF(NOTA[[#This Row],[FAKTUR]]="",INDIRECT(ADDRESS(ROW()-1,COLUMN())),NOTA[[#This Row],[FAKTUR]]))</f>
        <v>UNTANA</v>
      </c>
      <c r="AN279" s="25" t="str">
        <f ca="1">IF(NOTA[[#This Row],[ID]]="","",COUNTIF(NOTA[ID_H],NOTA[[#This Row],[ID_H]]))</f>
        <v/>
      </c>
      <c r="AO279" s="25">
        <f ca="1">IF(NOTA[[#This Row],[TGL.NOTA]]="",IF(NOTA[[#This Row],[SUPPLIER_H]]="","",AO278),MONTH(NOTA[[#This Row],[TGL.NOTA]]))</f>
        <v>6</v>
      </c>
      <c r="AP279" s="25" t="str">
        <f>LOWER(SUBSTITUTE(SUBSTITUTE(SUBSTITUTE(SUBSTITUTE(SUBSTITUTE(SUBSTITUTE(SUBSTITUTE(SUBSTITUTE(SUBSTITUTE(NOTA[[#This Row],[NAMA BARANG]]," ",),".",""),"-",""),"(",""),")",""),",",""),"/",""),"""",""),"+",""))</f>
        <v>gelzhixinrefillg5035</v>
      </c>
      <c r="AQ2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gelzhixinrefillg50352190000</v>
      </c>
      <c r="AR2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gelzhixinrefillg50352190000</v>
      </c>
      <c r="AS2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9" s="25"/>
      <c r="AU279" s="25">
        <f>IF(NOTA[[#This Row],[CONCAT1]]="","",MATCH(NOTA[[#This Row],[CONCAT1]],[3]!db[NB NOTA_C],0))</f>
        <v>1279</v>
      </c>
      <c r="AV279" s="25" t="b">
        <f>IF(NOTA[[#This Row],[QTY/ CTN]]="","",TRUE)</f>
        <v>1</v>
      </c>
      <c r="AW279" s="25" t="str">
        <f ca="1">IF(NOTA[[#This Row],[ID_H]]="","",IF(NOTA[[#This Row],[Column3]]=TRUE,NOTA[[#This Row],[QTY/ CTN]],INDEX([3]!db[QTY/ CTN],NOTA[[#This Row],[//DB]])))</f>
        <v>120 LSN</v>
      </c>
      <c r="AX2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gelzhixinrefillg5035120lsnuntana</v>
      </c>
      <c r="AY279" s="25">
        <f ca="1">IF(NOTA[[#This Row],[ID_H]]="","",MATCH(NOTA[[#This Row],[NB NOTA_C_QTY]],[3]!db[NB NOTA_C_QTY+F],0))</f>
        <v>1279</v>
      </c>
      <c r="AZ279" s="38">
        <f ca="1">IF(NOTA[[#This Row],[NB NOTA_C_QTY]]="","",ROW()-2)</f>
        <v>277</v>
      </c>
    </row>
    <row r="280" spans="1:52" ht="20.100000000000001" customHeight="1">
      <c r="A2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80" s="25">
        <f ca="1">IF(NOTA[[#This Row],[NAMA BARANG]]="","",INDEX(NOTA[ID],MATCH(,INDIRECT(ADDRESS(ROW(NOTA[ID]),COLUMN(NOTA[ID]))&amp;":"&amp;ADDRESS(ROW(),COLUMN(NOTA[ID]))),-1)))</f>
        <v>53</v>
      </c>
      <c r="E280" s="33"/>
      <c r="H280" s="34"/>
      <c r="L280" s="25" t="s">
        <v>501</v>
      </c>
      <c r="M280" s="27">
        <v>2</v>
      </c>
      <c r="N280" s="25">
        <v>240</v>
      </c>
      <c r="O280" s="25" t="s">
        <v>110</v>
      </c>
      <c r="P280" s="28">
        <v>18250</v>
      </c>
      <c r="Q280" s="29"/>
      <c r="R280" s="35" t="s">
        <v>171</v>
      </c>
      <c r="S280" s="36"/>
      <c r="V280" s="37"/>
      <c r="W280" s="32"/>
      <c r="X280" s="37">
        <f>IF(NOTA[[#This Row],[HARGA/ CTN]]="",NOTA[[#This Row],[JUMLAH_H]],NOTA[[#This Row],[HARGA/ CTN]]*IF(NOTA[[#This Row],[C]]="",0,NOTA[[#This Row],[C]]))</f>
        <v>4380000</v>
      </c>
      <c r="Y280" s="37">
        <f>IF(NOTA[[#This Row],[JUMLAH]]="","",NOTA[[#This Row],[JUMLAH]]*NOTA[[#This Row],[DISC 1]])</f>
        <v>0</v>
      </c>
      <c r="Z280" s="37">
        <f>IF(NOTA[[#This Row],[JUMLAH]]="","",(NOTA[[#This Row],[JUMLAH]]-NOTA[[#This Row],[DISC 1-]])*NOTA[[#This Row],[DISC 2]])</f>
        <v>0</v>
      </c>
      <c r="AA280" s="37">
        <f>IF(NOTA[[#This Row],[JUMLAH]]="","",(NOTA[[#This Row],[JUMLAH]]-NOTA[[#This Row],[DISC 1-]]-NOTA[[#This Row],[DISC 2-]])*NOTA[[#This Row],[DISC 3]])</f>
        <v>0</v>
      </c>
      <c r="AB280" s="37">
        <f>IF(NOTA[[#This Row],[JUMLAH]]="","",NOTA[[#This Row],[DISC 1-]]+NOTA[[#This Row],[DISC 2-]]+NOTA[[#This Row],[DISC 3-]])</f>
        <v>0</v>
      </c>
      <c r="AC280" s="37">
        <f>IF(NOTA[[#This Row],[JUMLAH]]="","",NOTA[[#This Row],[JUMLAH]]-NOTA[[#This Row],[DISC]])</f>
        <v>4380000</v>
      </c>
      <c r="AD280" s="37"/>
      <c r="AE2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0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80" s="37">
        <f>IF(OR(NOTA[[#This Row],[QTY]]="",NOTA[[#This Row],[HARGA SATUAN]]="",),"",NOTA[[#This Row],[QTY]]*NOTA[[#This Row],[HARGA SATUAN]])</f>
        <v>4380000</v>
      </c>
      <c r="AI280" s="26">
        <f ca="1">IF(NOTA[[#This Row],[ID_H]]="","",INDEX(NOTA[TANGGAL],MATCH(,INDIRECT(ADDRESS(ROW(NOTA[TANGGAL]),COLUMN(NOTA[TANGGAL]))&amp;":"&amp;ADDRESS(ROW(),COLUMN(NOTA[TANGGAL]))),-1)))</f>
        <v>45467</v>
      </c>
      <c r="AJ280" s="26">
        <f ca="1">IF(NOTA[[#This Row],[ID_H]]="","",INDEX(NOTA[TGL.NOTA],MATCH(,INDIRECT(ADDRESS(ROW(NOTA[TGL.NOTA]),COLUMN(NOTA[TGL.NOTA]))&amp;":"&amp;ADDRESS(ROW(),COLUMN(NOTA[TGL.NOTA]))),-1)))</f>
        <v>45464</v>
      </c>
      <c r="AK280" s="26" t="str">
        <f ca="1">IF(NOTA[[#This Row],[ID_H]]="","",INDEX(NOTA[NO.NOTA],MATCH(NOTA[[#This Row],[ID_H]],NOTA[ID_H],0)))</f>
        <v>JUF476/24</v>
      </c>
      <c r="AL280" s="28" t="str">
        <f ca="1">IF(NOTA[[#This Row],[NAMA BARANG]]="","",INDEX(NOTA[SUPPLIER],MATCH(,INDIRECT(ADDRESS(ROW(NOTA[ID]),COLUMN(NOTA[ID]))&amp;":"&amp;ADDRESS(ROW(),COLUMN(NOTA[ID]))),-1)))</f>
        <v>DB STATIONERY</v>
      </c>
      <c r="AM280" s="28" t="str">
        <f ca="1">IF(NOTA[[#This Row],[ID_H]]="","",IF(NOTA[[#This Row],[FAKTUR]]="",INDIRECT(ADDRESS(ROW()-1,COLUMN())),NOTA[[#This Row],[FAKTUR]]))</f>
        <v>UNTANA</v>
      </c>
      <c r="AN280" s="25" t="str">
        <f ca="1">IF(NOTA[[#This Row],[ID]]="","",COUNTIF(NOTA[ID_H],NOTA[[#This Row],[ID_H]]))</f>
        <v/>
      </c>
      <c r="AO280" s="25">
        <f ca="1">IF(NOTA[[#This Row],[TGL.NOTA]]="",IF(NOTA[[#This Row],[SUPPLIER_H]]="","",AO279),MONTH(NOTA[[#This Row],[TGL.NOTA]]))</f>
        <v>6</v>
      </c>
      <c r="AP280" s="25" t="str">
        <f>LOWER(SUBSTITUTE(SUBSTITUTE(SUBSTITUTE(SUBSTITUTE(SUBSTITUTE(SUBSTITUTE(SUBSTITUTE(SUBSTITUTE(SUBSTITUTE(NOTA[[#This Row],[NAMA BARANG]]," ",),".",""),"-",""),"(",""),")",""),",",""),"/",""),"""",""),"+",""))</f>
        <v>gelzhixinrefillg5040</v>
      </c>
      <c r="AQ2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gelzhixinrefillg50402190000</v>
      </c>
      <c r="AR2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gelzhixinrefillg50402190000</v>
      </c>
      <c r="AS2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0" s="25"/>
      <c r="AU280" s="25">
        <f>IF(NOTA[[#This Row],[CONCAT1]]="","",MATCH(NOTA[[#This Row],[CONCAT1]],[3]!db[NB NOTA_C],0))</f>
        <v>1280</v>
      </c>
      <c r="AV280" s="25" t="b">
        <f>IF(NOTA[[#This Row],[QTY/ CTN]]="","",TRUE)</f>
        <v>1</v>
      </c>
      <c r="AW280" s="25" t="str">
        <f ca="1">IF(NOTA[[#This Row],[ID_H]]="","",IF(NOTA[[#This Row],[Column3]]=TRUE,NOTA[[#This Row],[QTY/ CTN]],INDEX([3]!db[QTY/ CTN],NOTA[[#This Row],[//DB]])))</f>
        <v>120 LSN</v>
      </c>
      <c r="AX2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gelzhixinrefillg5040120lsnuntana</v>
      </c>
      <c r="AY280" s="25">
        <f ca="1">IF(NOTA[[#This Row],[ID_H]]="","",MATCH(NOTA[[#This Row],[NB NOTA_C_QTY]],[3]!db[NB NOTA_C_QTY+F],0))</f>
        <v>1280</v>
      </c>
      <c r="AZ280" s="38">
        <f ca="1">IF(NOTA[[#This Row],[NB NOTA_C_QTY]]="","",ROW()-2)</f>
        <v>278</v>
      </c>
    </row>
    <row r="281" spans="1:52" ht="20.100000000000001" customHeight="1">
      <c r="A2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81" s="25">
        <f ca="1">IF(NOTA[[#This Row],[NAMA BARANG]]="","",INDEX(NOTA[ID],MATCH(,INDIRECT(ADDRESS(ROW(NOTA[ID]),COLUMN(NOTA[ID]))&amp;":"&amp;ADDRESS(ROW(),COLUMN(NOTA[ID]))),-1)))</f>
        <v>53</v>
      </c>
      <c r="E281" s="33"/>
      <c r="H281" s="34"/>
      <c r="L281" s="25" t="s">
        <v>502</v>
      </c>
      <c r="M281" s="27">
        <v>1</v>
      </c>
      <c r="N281" s="25">
        <v>120</v>
      </c>
      <c r="O281" s="25" t="s">
        <v>110</v>
      </c>
      <c r="P281" s="28">
        <v>18250</v>
      </c>
      <c r="Q281" s="29"/>
      <c r="R281" s="35" t="s">
        <v>171</v>
      </c>
      <c r="S281" s="36"/>
      <c r="V281" s="37"/>
      <c r="W281" s="32"/>
      <c r="X281" s="37">
        <f>IF(NOTA[[#This Row],[HARGA/ CTN]]="",NOTA[[#This Row],[JUMLAH_H]],NOTA[[#This Row],[HARGA/ CTN]]*IF(NOTA[[#This Row],[C]]="",0,NOTA[[#This Row],[C]]))</f>
        <v>2190000</v>
      </c>
      <c r="Y281" s="37">
        <f>IF(NOTA[[#This Row],[JUMLAH]]="","",NOTA[[#This Row],[JUMLAH]]*NOTA[[#This Row],[DISC 1]])</f>
        <v>0</v>
      </c>
      <c r="Z281" s="37">
        <f>IF(NOTA[[#This Row],[JUMLAH]]="","",(NOTA[[#This Row],[JUMLAH]]-NOTA[[#This Row],[DISC 1-]])*NOTA[[#This Row],[DISC 2]])</f>
        <v>0</v>
      </c>
      <c r="AA281" s="37">
        <f>IF(NOTA[[#This Row],[JUMLAH]]="","",(NOTA[[#This Row],[JUMLAH]]-NOTA[[#This Row],[DISC 1-]]-NOTA[[#This Row],[DISC 2-]])*NOTA[[#This Row],[DISC 3]])</f>
        <v>0</v>
      </c>
      <c r="AB281" s="37">
        <f>IF(NOTA[[#This Row],[JUMLAH]]="","",NOTA[[#This Row],[DISC 1-]]+NOTA[[#This Row],[DISC 2-]]+NOTA[[#This Row],[DISC 3-]])</f>
        <v>0</v>
      </c>
      <c r="AC281" s="37">
        <f>IF(NOTA[[#This Row],[JUMLAH]]="","",NOTA[[#This Row],[JUMLAH]]-NOTA[[#This Row],[DISC]])</f>
        <v>2190000</v>
      </c>
      <c r="AD281" s="37"/>
      <c r="AE2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1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81" s="37">
        <f>IF(OR(NOTA[[#This Row],[QTY]]="",NOTA[[#This Row],[HARGA SATUAN]]="",),"",NOTA[[#This Row],[QTY]]*NOTA[[#This Row],[HARGA SATUAN]])</f>
        <v>2190000</v>
      </c>
      <c r="AI281" s="26">
        <f ca="1">IF(NOTA[[#This Row],[ID_H]]="","",INDEX(NOTA[TANGGAL],MATCH(,INDIRECT(ADDRESS(ROW(NOTA[TANGGAL]),COLUMN(NOTA[TANGGAL]))&amp;":"&amp;ADDRESS(ROW(),COLUMN(NOTA[TANGGAL]))),-1)))</f>
        <v>45467</v>
      </c>
      <c r="AJ281" s="26">
        <f ca="1">IF(NOTA[[#This Row],[ID_H]]="","",INDEX(NOTA[TGL.NOTA],MATCH(,INDIRECT(ADDRESS(ROW(NOTA[TGL.NOTA]),COLUMN(NOTA[TGL.NOTA]))&amp;":"&amp;ADDRESS(ROW(),COLUMN(NOTA[TGL.NOTA]))),-1)))</f>
        <v>45464</v>
      </c>
      <c r="AK281" s="26" t="str">
        <f ca="1">IF(NOTA[[#This Row],[ID_H]]="","",INDEX(NOTA[NO.NOTA],MATCH(NOTA[[#This Row],[ID_H]],NOTA[ID_H],0)))</f>
        <v>JUF476/24</v>
      </c>
      <c r="AL281" s="28" t="str">
        <f ca="1">IF(NOTA[[#This Row],[NAMA BARANG]]="","",INDEX(NOTA[SUPPLIER],MATCH(,INDIRECT(ADDRESS(ROW(NOTA[ID]),COLUMN(NOTA[ID]))&amp;":"&amp;ADDRESS(ROW(),COLUMN(NOTA[ID]))),-1)))</f>
        <v>DB STATIONERY</v>
      </c>
      <c r="AM281" s="28" t="str">
        <f ca="1">IF(NOTA[[#This Row],[ID_H]]="","",IF(NOTA[[#This Row],[FAKTUR]]="",INDIRECT(ADDRESS(ROW()-1,COLUMN())),NOTA[[#This Row],[FAKTUR]]))</f>
        <v>UNTANA</v>
      </c>
      <c r="AN281" s="25" t="str">
        <f ca="1">IF(NOTA[[#This Row],[ID]]="","",COUNTIF(NOTA[ID_H],NOTA[[#This Row],[ID_H]]))</f>
        <v/>
      </c>
      <c r="AO281" s="25">
        <f ca="1">IF(NOTA[[#This Row],[TGL.NOTA]]="",IF(NOTA[[#This Row],[SUPPLIER_H]]="","",AO280),MONTH(NOTA[[#This Row],[TGL.NOTA]]))</f>
        <v>6</v>
      </c>
      <c r="AP281" s="25" t="str">
        <f>LOWER(SUBSTITUTE(SUBSTITUTE(SUBSTITUTE(SUBSTITUTE(SUBSTITUTE(SUBSTITUTE(SUBSTITUTE(SUBSTITUTE(SUBSTITUTE(NOTA[[#This Row],[NAMA BARANG]]," ",),".",""),"-",""),"(",""),")",""),",",""),"/",""),"""",""),"+",""))</f>
        <v>gelzhixinrefillg5042</v>
      </c>
      <c r="AQ2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gelzhixinrefillg50422190000</v>
      </c>
      <c r="AR2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gelzhixinrefillg50422190000</v>
      </c>
      <c r="AS2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1" s="25"/>
      <c r="AU281" s="25">
        <f>IF(NOTA[[#This Row],[CONCAT1]]="","",MATCH(NOTA[[#This Row],[CONCAT1]],[3]!db[NB NOTA_C],0))</f>
        <v>1281</v>
      </c>
      <c r="AV281" s="25" t="b">
        <f>IF(NOTA[[#This Row],[QTY/ CTN]]="","",TRUE)</f>
        <v>1</v>
      </c>
      <c r="AW281" s="25" t="str">
        <f ca="1">IF(NOTA[[#This Row],[ID_H]]="","",IF(NOTA[[#This Row],[Column3]]=TRUE,NOTA[[#This Row],[QTY/ CTN]],INDEX([3]!db[QTY/ CTN],NOTA[[#This Row],[//DB]])))</f>
        <v>120 LSN</v>
      </c>
      <c r="AX2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gelzhixinrefillg5042120lsnuntana</v>
      </c>
      <c r="AY281" s="25">
        <f ca="1">IF(NOTA[[#This Row],[ID_H]]="","",MATCH(NOTA[[#This Row],[NB NOTA_C_QTY]],[3]!db[NB NOTA_C_QTY+F],0))</f>
        <v>1281</v>
      </c>
      <c r="AZ281" s="38">
        <f ca="1">IF(NOTA[[#This Row],[NB NOTA_C_QTY]]="","",ROW()-2)</f>
        <v>279</v>
      </c>
    </row>
    <row r="282" spans="1:52" ht="20.100000000000001" customHeight="1">
      <c r="A2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82" s="25">
        <f ca="1">IF(NOTA[[#This Row],[NAMA BARANG]]="","",INDEX(NOTA[ID],MATCH(,INDIRECT(ADDRESS(ROW(NOTA[ID]),COLUMN(NOTA[ID]))&amp;":"&amp;ADDRESS(ROW(),COLUMN(NOTA[ID]))),-1)))</f>
        <v>53</v>
      </c>
      <c r="E282" s="33"/>
      <c r="H282" s="34"/>
      <c r="L282" s="25" t="s">
        <v>502</v>
      </c>
      <c r="M282" s="27">
        <v>1</v>
      </c>
      <c r="N282" s="25">
        <v>120</v>
      </c>
      <c r="O282" s="25" t="s">
        <v>110</v>
      </c>
      <c r="Q282" s="29"/>
      <c r="R282" s="35" t="s">
        <v>171</v>
      </c>
      <c r="S282" s="36"/>
      <c r="V282" s="37"/>
      <c r="W282" s="32" t="s">
        <v>170</v>
      </c>
      <c r="X282" s="37" t="str">
        <f>IF(NOTA[[#This Row],[HARGA/ CTN]]="",NOTA[[#This Row],[JUMLAH_H]],NOTA[[#This Row],[HARGA/ CTN]]*IF(NOTA[[#This Row],[C]]="",0,NOTA[[#This Row],[C]]))</f>
        <v/>
      </c>
      <c r="Y282" s="37" t="str">
        <f>IF(NOTA[[#This Row],[JUMLAH]]="","",NOTA[[#This Row],[JUMLAH]]*NOTA[[#This Row],[DISC 1]])</f>
        <v/>
      </c>
      <c r="Z282" s="37" t="str">
        <f>IF(NOTA[[#This Row],[JUMLAH]]="","",(NOTA[[#This Row],[JUMLAH]]-NOTA[[#This Row],[DISC 1-]])*NOTA[[#This Row],[DISC 2]])</f>
        <v/>
      </c>
      <c r="AA282" s="37" t="str">
        <f>IF(NOTA[[#This Row],[JUMLAH]]="","",(NOTA[[#This Row],[JUMLAH]]-NOTA[[#This Row],[DISC 1-]]-NOTA[[#This Row],[DISC 2-]])*NOTA[[#This Row],[DISC 3]])</f>
        <v/>
      </c>
      <c r="AB282" s="37" t="str">
        <f>IF(NOTA[[#This Row],[JUMLAH]]="","",NOTA[[#This Row],[DISC 1-]]+NOTA[[#This Row],[DISC 2-]]+NOTA[[#This Row],[DISC 3-]])</f>
        <v/>
      </c>
      <c r="AC282" s="37" t="str">
        <f>IF(NOTA[[#This Row],[JUMLAH]]="","",NOTA[[#This Row],[JUMLAH]]-NOTA[[#This Row],[DISC]])</f>
        <v/>
      </c>
      <c r="AD282" s="37"/>
      <c r="AE2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2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82" s="37" t="str">
        <f>IF(OR(NOTA[[#This Row],[QTY]]="",NOTA[[#This Row],[HARGA SATUAN]]="",),"",NOTA[[#This Row],[QTY]]*NOTA[[#This Row],[HARGA SATUAN]])</f>
        <v/>
      </c>
      <c r="AI282" s="26">
        <f ca="1">IF(NOTA[[#This Row],[ID_H]]="","",INDEX(NOTA[TANGGAL],MATCH(,INDIRECT(ADDRESS(ROW(NOTA[TANGGAL]),COLUMN(NOTA[TANGGAL]))&amp;":"&amp;ADDRESS(ROW(),COLUMN(NOTA[TANGGAL]))),-1)))</f>
        <v>45467</v>
      </c>
      <c r="AJ282" s="26">
        <f ca="1">IF(NOTA[[#This Row],[ID_H]]="","",INDEX(NOTA[TGL.NOTA],MATCH(,INDIRECT(ADDRESS(ROW(NOTA[TGL.NOTA]),COLUMN(NOTA[TGL.NOTA]))&amp;":"&amp;ADDRESS(ROW(),COLUMN(NOTA[TGL.NOTA]))),-1)))</f>
        <v>45464</v>
      </c>
      <c r="AK282" s="26" t="str">
        <f ca="1">IF(NOTA[[#This Row],[ID_H]]="","",INDEX(NOTA[NO.NOTA],MATCH(NOTA[[#This Row],[ID_H]],NOTA[ID_H],0)))</f>
        <v>JUF476/24</v>
      </c>
      <c r="AL282" s="28" t="str">
        <f ca="1">IF(NOTA[[#This Row],[NAMA BARANG]]="","",INDEX(NOTA[SUPPLIER],MATCH(,INDIRECT(ADDRESS(ROW(NOTA[ID]),COLUMN(NOTA[ID]))&amp;":"&amp;ADDRESS(ROW(),COLUMN(NOTA[ID]))),-1)))</f>
        <v>DB STATIONERY</v>
      </c>
      <c r="AM282" s="28" t="str">
        <f ca="1">IF(NOTA[[#This Row],[ID_H]]="","",IF(NOTA[[#This Row],[FAKTUR]]="",INDIRECT(ADDRESS(ROW()-1,COLUMN())),NOTA[[#This Row],[FAKTUR]]))</f>
        <v>UNTANA</v>
      </c>
      <c r="AN282" s="25" t="str">
        <f ca="1">IF(NOTA[[#This Row],[ID]]="","",COUNTIF(NOTA[ID_H],NOTA[[#This Row],[ID_H]]))</f>
        <v/>
      </c>
      <c r="AO282" s="25">
        <f ca="1">IF(NOTA[[#This Row],[TGL.NOTA]]="",IF(NOTA[[#This Row],[SUPPLIER_H]]="","",AO281),MONTH(NOTA[[#This Row],[TGL.NOTA]]))</f>
        <v>6</v>
      </c>
      <c r="AP282" s="25" t="str">
        <f>LOWER(SUBSTITUTE(SUBSTITUTE(SUBSTITUTE(SUBSTITUTE(SUBSTITUTE(SUBSTITUTE(SUBSTITUTE(SUBSTITUTE(SUBSTITUTE(NOTA[[#This Row],[NAMA BARANG]]," ",),".",""),"-",""),"(",""),")",""),",",""),"/",""),"""",""),"+",""))</f>
        <v>gelzhixinrefillg5042</v>
      </c>
      <c r="AQ2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gelzhixinrefillg50420</v>
      </c>
      <c r="AR2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gelzhixinrefillg50420</v>
      </c>
      <c r="AS2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2" s="25"/>
      <c r="AU282" s="25">
        <f>IF(NOTA[[#This Row],[CONCAT1]]="","",MATCH(NOTA[[#This Row],[CONCAT1]],[3]!db[NB NOTA_C],0))</f>
        <v>1281</v>
      </c>
      <c r="AV282" s="25" t="b">
        <f>IF(NOTA[[#This Row],[QTY/ CTN]]="","",TRUE)</f>
        <v>1</v>
      </c>
      <c r="AW282" s="25" t="str">
        <f ca="1">IF(NOTA[[#This Row],[ID_H]]="","",IF(NOTA[[#This Row],[Column3]]=TRUE,NOTA[[#This Row],[QTY/ CTN]],INDEX([3]!db[QTY/ CTN],NOTA[[#This Row],[//DB]])))</f>
        <v>120 LSN</v>
      </c>
      <c r="AX2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gelzhixinrefillg5042120lsnuntana</v>
      </c>
      <c r="AY282" s="25">
        <f ca="1">IF(NOTA[[#This Row],[ID_H]]="","",MATCH(NOTA[[#This Row],[NB NOTA_C_QTY]],[3]!db[NB NOTA_C_QTY+F],0))</f>
        <v>1281</v>
      </c>
      <c r="AZ282" s="38">
        <f ca="1">IF(NOTA[[#This Row],[NB NOTA_C_QTY]]="","",ROW()-2)</f>
        <v>280</v>
      </c>
    </row>
    <row r="283" spans="1:52" ht="20.100000000000001" customHeight="1">
      <c r="A2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83" s="25">
        <f ca="1">IF(NOTA[[#This Row],[NAMA BARANG]]="","",INDEX(NOTA[ID],MATCH(,INDIRECT(ADDRESS(ROW(NOTA[ID]),COLUMN(NOTA[ID]))&amp;":"&amp;ADDRESS(ROW(),COLUMN(NOTA[ID]))),-1)))</f>
        <v>53</v>
      </c>
      <c r="E283" s="33"/>
      <c r="H283" s="34"/>
      <c r="L283" s="39" t="s">
        <v>510</v>
      </c>
      <c r="M283" s="27">
        <v>1</v>
      </c>
      <c r="N283" s="25">
        <v>96</v>
      </c>
      <c r="O283" s="25" t="s">
        <v>110</v>
      </c>
      <c r="P283" s="28">
        <v>31500</v>
      </c>
      <c r="Q283" s="29"/>
      <c r="R283" s="35" t="s">
        <v>278</v>
      </c>
      <c r="S283" s="36"/>
      <c r="V283" s="37"/>
      <c r="W283" s="32"/>
      <c r="X283" s="37">
        <f>IF(NOTA[[#This Row],[HARGA/ CTN]]="",NOTA[[#This Row],[JUMLAH_H]],NOTA[[#This Row],[HARGA/ CTN]]*IF(NOTA[[#This Row],[C]]="",0,NOTA[[#This Row],[C]]))</f>
        <v>3024000</v>
      </c>
      <c r="Y283" s="37">
        <f>IF(NOTA[[#This Row],[JUMLAH]]="","",NOTA[[#This Row],[JUMLAH]]*NOTA[[#This Row],[DISC 1]])</f>
        <v>0</v>
      </c>
      <c r="Z283" s="37">
        <f>IF(NOTA[[#This Row],[JUMLAH]]="","",(NOTA[[#This Row],[JUMLAH]]-NOTA[[#This Row],[DISC 1-]])*NOTA[[#This Row],[DISC 2]])</f>
        <v>0</v>
      </c>
      <c r="AA283" s="37">
        <f>IF(NOTA[[#This Row],[JUMLAH]]="","",(NOTA[[#This Row],[JUMLAH]]-NOTA[[#This Row],[DISC 1-]]-NOTA[[#This Row],[DISC 2-]])*NOTA[[#This Row],[DISC 3]])</f>
        <v>0</v>
      </c>
      <c r="AB283" s="37">
        <f>IF(NOTA[[#This Row],[JUMLAH]]="","",NOTA[[#This Row],[DISC 1-]]+NOTA[[#This Row],[DISC 2-]]+NOTA[[#This Row],[DISC 3-]])</f>
        <v>0</v>
      </c>
      <c r="AC283" s="37">
        <f>IF(NOTA[[#This Row],[JUMLAH]]="","",NOTA[[#This Row],[JUMLAH]]-NOTA[[#This Row],[DISC]])</f>
        <v>3024000</v>
      </c>
      <c r="AD283" s="37"/>
      <c r="AE28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8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59994000</v>
      </c>
      <c r="AG283" s="28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283" s="37">
        <f>IF(OR(NOTA[[#This Row],[QTY]]="",NOTA[[#This Row],[HARGA SATUAN]]="",),"",NOTA[[#This Row],[QTY]]*NOTA[[#This Row],[HARGA SATUAN]])</f>
        <v>3024000</v>
      </c>
      <c r="AI283" s="26">
        <f ca="1">IF(NOTA[[#This Row],[ID_H]]="","",INDEX(NOTA[TANGGAL],MATCH(,INDIRECT(ADDRESS(ROW(NOTA[TANGGAL]),COLUMN(NOTA[TANGGAL]))&amp;":"&amp;ADDRESS(ROW(),COLUMN(NOTA[TANGGAL]))),-1)))</f>
        <v>45467</v>
      </c>
      <c r="AJ283" s="26">
        <f ca="1">IF(NOTA[[#This Row],[ID_H]]="","",INDEX(NOTA[TGL.NOTA],MATCH(,INDIRECT(ADDRESS(ROW(NOTA[TGL.NOTA]),COLUMN(NOTA[TGL.NOTA]))&amp;":"&amp;ADDRESS(ROW(),COLUMN(NOTA[TGL.NOTA]))),-1)))</f>
        <v>45464</v>
      </c>
      <c r="AK283" s="26" t="str">
        <f ca="1">IF(NOTA[[#This Row],[ID_H]]="","",INDEX(NOTA[NO.NOTA],MATCH(NOTA[[#This Row],[ID_H]],NOTA[ID_H],0)))</f>
        <v>JUF476/24</v>
      </c>
      <c r="AL283" s="28" t="str">
        <f ca="1">IF(NOTA[[#This Row],[NAMA BARANG]]="","",INDEX(NOTA[SUPPLIER],MATCH(,INDIRECT(ADDRESS(ROW(NOTA[ID]),COLUMN(NOTA[ID]))&amp;":"&amp;ADDRESS(ROW(),COLUMN(NOTA[ID]))),-1)))</f>
        <v>DB STATIONERY</v>
      </c>
      <c r="AM283" s="28" t="str">
        <f ca="1">IF(NOTA[[#This Row],[ID_H]]="","",IF(NOTA[[#This Row],[FAKTUR]]="",INDIRECT(ADDRESS(ROW()-1,COLUMN())),NOTA[[#This Row],[FAKTUR]]))</f>
        <v>UNTANA</v>
      </c>
      <c r="AN283" s="25" t="str">
        <f ca="1">IF(NOTA[[#This Row],[ID]]="","",COUNTIF(NOTA[ID_H],NOTA[[#This Row],[ID_H]]))</f>
        <v/>
      </c>
      <c r="AO283" s="25">
        <f ca="1">IF(NOTA[[#This Row],[TGL.NOTA]]="",IF(NOTA[[#This Row],[SUPPLIER_H]]="","",AO282),MONTH(NOTA[[#This Row],[TGL.NOTA]]))</f>
        <v>6</v>
      </c>
      <c r="AP283" s="25" t="str">
        <f>LOWER(SUBSTITUTE(SUBSTITUTE(SUBSTITUTE(SUBSTITUTE(SUBSTITUTE(SUBSTITUTE(SUBSTITUTE(SUBSTITUTE(SUBSTITUTE(NOTA[[#This Row],[NAMA BARANG]]," ",),".",""),"-",""),"(",""),")",""),",",""),"/",""),"""",""),"+",""))</f>
        <v>gel10340birutg340bi</v>
      </c>
      <c r="AQ2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R2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S2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3" s="25"/>
      <c r="AU283" s="25">
        <f>IF(NOTA[[#This Row],[CONCAT1]]="","",MATCH(NOTA[[#This Row],[CONCAT1]],[3]!db[NB NOTA_C],0))</f>
        <v>1036</v>
      </c>
      <c r="AV283" s="25" t="b">
        <f>IF(NOTA[[#This Row],[QTY/ CTN]]="","",TRUE)</f>
        <v>1</v>
      </c>
      <c r="AW283" s="25" t="str">
        <f ca="1">IF(NOTA[[#This Row],[ID_H]]="","",IF(NOTA[[#This Row],[Column3]]=TRUE,NOTA[[#This Row],[QTY/ CTN]],INDEX([3]!db[QTY/ CTN],NOTA[[#This Row],[//DB]])))</f>
        <v>96 LSN</v>
      </c>
      <c r="AX2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Y283" s="25" t="e">
        <f ca="1">IF(NOTA[[#This Row],[ID_H]]="","",MATCH(NOTA[[#This Row],[NB NOTA_C_QTY]],[3]!db[NB NOTA_C_QTY+F],0))</f>
        <v>#N/A</v>
      </c>
      <c r="AZ283" s="38">
        <f ca="1">IF(NOTA[[#This Row],[NB NOTA_C_QTY]]="","",ROW()-2)</f>
        <v>281</v>
      </c>
    </row>
    <row r="284" spans="1:52" ht="20.100000000000001" customHeight="1">
      <c r="A2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84" s="25" t="str">
        <f ca="1">IF(NOTA[[#This Row],[NAMA BARANG]]="","",INDEX(NOTA[ID],MATCH(,INDIRECT(ADDRESS(ROW(NOTA[ID]),COLUMN(NOTA[ID]))&amp;":"&amp;ADDRESS(ROW(),COLUMN(NOTA[ID]))),-1)))</f>
        <v/>
      </c>
      <c r="E284" s="33"/>
      <c r="H284" s="34"/>
      <c r="Q284" s="29"/>
      <c r="R284" s="35"/>
      <c r="S284" s="36"/>
      <c r="V284" s="37"/>
      <c r="W284" s="32"/>
      <c r="X284" s="37" t="str">
        <f>IF(NOTA[[#This Row],[HARGA/ CTN]]="",NOTA[[#This Row],[JUMLAH_H]],NOTA[[#This Row],[HARGA/ CTN]]*IF(NOTA[[#This Row],[C]]="",0,NOTA[[#This Row],[C]]))</f>
        <v/>
      </c>
      <c r="Y284" s="37" t="str">
        <f>IF(NOTA[[#This Row],[JUMLAH]]="","",NOTA[[#This Row],[JUMLAH]]*NOTA[[#This Row],[DISC 1]])</f>
        <v/>
      </c>
      <c r="Z284" s="37" t="str">
        <f>IF(NOTA[[#This Row],[JUMLAH]]="","",(NOTA[[#This Row],[JUMLAH]]-NOTA[[#This Row],[DISC 1-]])*NOTA[[#This Row],[DISC 2]])</f>
        <v/>
      </c>
      <c r="AA284" s="37" t="str">
        <f>IF(NOTA[[#This Row],[JUMLAH]]="","",(NOTA[[#This Row],[JUMLAH]]-NOTA[[#This Row],[DISC 1-]]-NOTA[[#This Row],[DISC 2-]])*NOTA[[#This Row],[DISC 3]])</f>
        <v/>
      </c>
      <c r="AB284" s="37" t="str">
        <f>IF(NOTA[[#This Row],[JUMLAH]]="","",NOTA[[#This Row],[DISC 1-]]+NOTA[[#This Row],[DISC 2-]]+NOTA[[#This Row],[DISC 3-]])</f>
        <v/>
      </c>
      <c r="AC284" s="37" t="str">
        <f>IF(NOTA[[#This Row],[JUMLAH]]="","",NOTA[[#This Row],[JUMLAH]]-NOTA[[#This Row],[DISC]])</f>
        <v/>
      </c>
      <c r="AD284" s="37"/>
      <c r="AE2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4" s="37" t="str">
        <f>IF(OR(NOTA[[#This Row],[QTY]]="",NOTA[[#This Row],[HARGA SATUAN]]="",),"",NOTA[[#This Row],[QTY]]*NOTA[[#This Row],[HARGA SATUAN]])</f>
        <v/>
      </c>
      <c r="AI284" s="26" t="str">
        <f ca="1">IF(NOTA[[#This Row],[ID_H]]="","",INDEX(NOTA[TANGGAL],MATCH(,INDIRECT(ADDRESS(ROW(NOTA[TANGGAL]),COLUMN(NOTA[TANGGAL]))&amp;":"&amp;ADDRESS(ROW(),COLUMN(NOTA[TANGGAL]))),-1)))</f>
        <v/>
      </c>
      <c r="AJ284" s="26" t="str">
        <f ca="1">IF(NOTA[[#This Row],[ID_H]]="","",INDEX(NOTA[TGL.NOTA],MATCH(,INDIRECT(ADDRESS(ROW(NOTA[TGL.NOTA]),COLUMN(NOTA[TGL.NOTA]))&amp;":"&amp;ADDRESS(ROW(),COLUMN(NOTA[TGL.NOTA]))),-1)))</f>
        <v/>
      </c>
      <c r="AK284" s="26" t="str">
        <f ca="1">IF(NOTA[[#This Row],[ID_H]]="","",INDEX(NOTA[NO.NOTA],MATCH(NOTA[[#This Row],[ID_H]],NOTA[ID_H],0)))</f>
        <v/>
      </c>
      <c r="AL284" s="28" t="str">
        <f ca="1">IF(NOTA[[#This Row],[NAMA BARANG]]="","",INDEX(NOTA[SUPPLIER],MATCH(,INDIRECT(ADDRESS(ROW(NOTA[ID]),COLUMN(NOTA[ID]))&amp;":"&amp;ADDRESS(ROW(),COLUMN(NOTA[ID]))),-1)))</f>
        <v/>
      </c>
      <c r="AM284" s="28" t="str">
        <f ca="1">IF(NOTA[[#This Row],[ID_H]]="","",IF(NOTA[[#This Row],[FAKTUR]]="",INDIRECT(ADDRESS(ROW()-1,COLUMN())),NOTA[[#This Row],[FAKTUR]]))</f>
        <v/>
      </c>
      <c r="AN284" s="25" t="str">
        <f ca="1">IF(NOTA[[#This Row],[ID]]="","",COUNTIF(NOTA[ID_H],NOTA[[#This Row],[ID_H]]))</f>
        <v/>
      </c>
      <c r="AO284" s="25" t="str">
        <f ca="1">IF(NOTA[[#This Row],[TGL.NOTA]]="",IF(NOTA[[#This Row],[SUPPLIER_H]]="","",AO283),MONTH(NOTA[[#This Row],[TGL.NOTA]]))</f>
        <v/>
      </c>
      <c r="AP2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4" s="25"/>
      <c r="AU284" s="25" t="str">
        <f>IF(NOTA[[#This Row],[CONCAT1]]="","",MATCH(NOTA[[#This Row],[CONCAT1]],[3]!db[NB NOTA_C],0))</f>
        <v/>
      </c>
      <c r="AV284" s="25" t="str">
        <f>IF(NOTA[[#This Row],[QTY/ CTN]]="","",TRUE)</f>
        <v/>
      </c>
      <c r="AW284" s="25" t="str">
        <f ca="1">IF(NOTA[[#This Row],[ID_H]]="","",IF(NOTA[[#This Row],[Column3]]=TRUE,NOTA[[#This Row],[QTY/ CTN]],INDEX([3]!db[QTY/ CTN],NOTA[[#This Row],[//DB]])))</f>
        <v/>
      </c>
      <c r="AX2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4" s="25" t="str">
        <f ca="1">IF(NOTA[[#This Row],[ID_H]]="","",MATCH(NOTA[[#This Row],[NB NOTA_C_QTY]],[3]!db[NB NOTA_C_QTY+F],0))</f>
        <v/>
      </c>
      <c r="AZ284" s="38" t="str">
        <f ca="1">IF(NOTA[[#This Row],[NB NOTA_C_QTY]]="","",ROW()-2)</f>
        <v/>
      </c>
    </row>
    <row r="285" spans="1:52" ht="20.100000000000001" customHeight="1">
      <c r="A285" s="28">
        <f ca="1">IF(INDIRECT(ADDRESS(ROW()-1,COLUMN(NOTA[[#Headers],[ID]])))="ID",1,IF(NOTA[[#This Row],[FAKTUR]]="","",COUNT(INDIRECT(ADDRESS(ROW(NOTA[ID]),COLUMN(NOTA[ID]))&amp;":"&amp;ADDRESS(ROW()-1,COLUMN(NOTA[ID]))))+1))</f>
        <v>54</v>
      </c>
      <c r="B28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DUT_2406_24H-1</v>
      </c>
      <c r="D285" s="25">
        <f ca="1">IF(NOTA[[#This Row],[NAMA BARANG]]="","",INDEX(NOTA[ID],MATCH(,INDIRECT(ADDRESS(ROW(NOTA[ID]),COLUMN(NOTA[ID]))&amp;":"&amp;ADDRESS(ROW(),COLUMN(NOTA[ID]))),-1)))</f>
        <v>54</v>
      </c>
      <c r="E285" s="33">
        <v>45467</v>
      </c>
      <c r="F285" s="25" t="s">
        <v>275</v>
      </c>
      <c r="G285" s="25" t="s">
        <v>109</v>
      </c>
      <c r="H285" s="25" t="s">
        <v>504</v>
      </c>
      <c r="J285" s="26">
        <v>38160</v>
      </c>
      <c r="L285" s="25" t="s">
        <v>505</v>
      </c>
      <c r="M285" s="27">
        <v>3</v>
      </c>
      <c r="N285" s="25">
        <v>288</v>
      </c>
      <c r="O285" s="25" t="s">
        <v>110</v>
      </c>
      <c r="P285" s="28">
        <v>30500</v>
      </c>
      <c r="Q285" s="29"/>
      <c r="R285" s="35">
        <v>96</v>
      </c>
      <c r="S285" s="36">
        <v>0.03</v>
      </c>
      <c r="V285" s="37"/>
      <c r="W285" s="32"/>
      <c r="X285" s="37">
        <f>IF(NOTA[[#This Row],[HARGA/ CTN]]="",NOTA[[#This Row],[JUMLAH_H]],NOTA[[#This Row],[HARGA/ CTN]]*IF(NOTA[[#This Row],[C]]="",0,NOTA[[#This Row],[C]]))</f>
        <v>8784000</v>
      </c>
      <c r="Y285" s="37">
        <f>IF(NOTA[[#This Row],[JUMLAH]]="","",NOTA[[#This Row],[JUMLAH]]*NOTA[[#This Row],[DISC 1]])</f>
        <v>263520</v>
      </c>
      <c r="Z285" s="37">
        <f>IF(NOTA[[#This Row],[JUMLAH]]="","",(NOTA[[#This Row],[JUMLAH]]-NOTA[[#This Row],[DISC 1-]])*NOTA[[#This Row],[DISC 2]])</f>
        <v>0</v>
      </c>
      <c r="AA285" s="37">
        <f>IF(NOTA[[#This Row],[JUMLAH]]="","",(NOTA[[#This Row],[JUMLAH]]-NOTA[[#This Row],[DISC 1-]]-NOTA[[#This Row],[DISC 2-]])*NOTA[[#This Row],[DISC 3]])</f>
        <v>0</v>
      </c>
      <c r="AB285" s="37">
        <f>IF(NOTA[[#This Row],[JUMLAH]]="","",NOTA[[#This Row],[DISC 1-]]+NOTA[[#This Row],[DISC 2-]]+NOTA[[#This Row],[DISC 3-]])</f>
        <v>263520</v>
      </c>
      <c r="AC285" s="37">
        <f>IF(NOTA[[#This Row],[JUMLAH]]="","",NOTA[[#This Row],[JUMLAH]]-NOTA[[#This Row],[DISC]])</f>
        <v>8520480</v>
      </c>
      <c r="AD285" s="37"/>
      <c r="AE28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263520</v>
      </c>
      <c r="AF28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8520480</v>
      </c>
      <c r="AG285" s="28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H285" s="37">
        <f>IF(OR(NOTA[[#This Row],[QTY]]="",NOTA[[#This Row],[HARGA SATUAN]]="",),"",NOTA[[#This Row],[QTY]]*NOTA[[#This Row],[HARGA SATUAN]])</f>
        <v>8784000</v>
      </c>
      <c r="AI285" s="26">
        <f ca="1">IF(NOTA[[#This Row],[ID_H]]="","",INDEX(NOTA[TANGGAL],MATCH(,INDIRECT(ADDRESS(ROW(NOTA[TANGGAL]),COLUMN(NOTA[TANGGAL]))&amp;":"&amp;ADDRESS(ROW(),COLUMN(NOTA[TANGGAL]))),-1)))</f>
        <v>45467</v>
      </c>
      <c r="AJ285" s="26">
        <f ca="1">IF(NOTA[[#This Row],[ID_H]]="","",INDEX(NOTA[TGL.NOTA],MATCH(,INDIRECT(ADDRESS(ROW(NOTA[TGL.NOTA]),COLUMN(NOTA[TGL.NOTA]))&amp;":"&amp;ADDRESS(ROW(),COLUMN(NOTA[TGL.NOTA]))),-1)))</f>
        <v>38160</v>
      </c>
      <c r="AK285" s="26" t="str">
        <f ca="1">IF(NOTA[[#This Row],[ID_H]]="","",INDEX(NOTA[NO.NOTA],MATCH(NOTA[[#This Row],[ID_H]],NOTA[ID_H],0)))</f>
        <v>HM/116/06-24H</v>
      </c>
      <c r="AL285" s="28" t="str">
        <f ca="1">IF(NOTA[[#This Row],[NAMA BARANG]]="","",INDEX(NOTA[SUPPLIER],MATCH(,INDIRECT(ADDRESS(ROW(NOTA[ID]),COLUMN(NOTA[ID]))&amp;":"&amp;ADDRESS(ROW(),COLUMN(NOTA[ID]))),-1)))</f>
        <v>DUTA BUANA</v>
      </c>
      <c r="AM285" s="28" t="str">
        <f ca="1">IF(NOTA[[#This Row],[ID_H]]="","",IF(NOTA[[#This Row],[FAKTUR]]="",INDIRECT(ADDRESS(ROW()-1,COLUMN())),NOTA[[#This Row],[FAKTUR]]))</f>
        <v>UNTANA</v>
      </c>
      <c r="AN285" s="25">
        <f ca="1">IF(NOTA[[#This Row],[ID]]="","",COUNTIF(NOTA[ID_H],NOTA[[#This Row],[ID_H]]))</f>
        <v>1</v>
      </c>
      <c r="AO285" s="25">
        <f>IF(NOTA[[#This Row],[TGL.NOTA]]="",IF(NOTA[[#This Row],[SUPPLIER_H]]="","",AO284),MONTH(NOTA[[#This Row],[TGL.NOTA]]))</f>
        <v>6</v>
      </c>
      <c r="AP285" s="25" t="str">
        <f>LOWER(SUBSTITUTE(SUBSTITUTE(SUBSTITUTE(SUBSTITUTE(SUBSTITUTE(SUBSTITUTE(SUBSTITUTE(SUBSTITUTE(SUBSTITUTE(NOTA[[#This Row],[NAMA BARANG]]," ",),".",""),"-",""),"(",""),")",""),",",""),"/",""),"""",""),"+",""))</f>
        <v>ballpengeltf311503mmhightechknock</v>
      </c>
      <c r="AQ2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ballpengeltf311503mmhightechknock29280000,03</v>
      </c>
      <c r="AR2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ballpengeltf311503mmhightechknock29280000,03</v>
      </c>
      <c r="AS285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BUANAUNTANAHM/116/06-24H38160ballpengeltf311503mmhightechknock</v>
      </c>
      <c r="AT285" s="25"/>
      <c r="AU285" s="25">
        <f>IF(NOTA[[#This Row],[CONCAT1]]="","",MATCH(NOTA[[#This Row],[CONCAT1]],[3]!db[NB NOTA_C],0))</f>
        <v>149</v>
      </c>
      <c r="AV285" s="25" t="b">
        <f>IF(NOTA[[#This Row],[QTY/ CTN]]="","",TRUE)</f>
        <v>1</v>
      </c>
      <c r="AW285" s="25">
        <f ca="1">IF(NOTA[[#This Row],[ID_H]]="","",IF(NOTA[[#This Row],[Column3]]=TRUE,NOTA[[#This Row],[QTY/ CTN]],INDEX([3]!db[QTY/ CTN],NOTA[[#This Row],[//DB]])))</f>
        <v>96</v>
      </c>
      <c r="AX2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ballpengeltf311503mmhightechknock96untana</v>
      </c>
      <c r="AY285" s="25" t="e">
        <f ca="1">IF(NOTA[[#This Row],[ID_H]]="","",MATCH(NOTA[[#This Row],[NB NOTA_C_QTY]],[3]!db[NB NOTA_C_QTY+F],0))</f>
        <v>#N/A</v>
      </c>
      <c r="AZ285" s="38">
        <f ca="1">IF(NOTA[[#This Row],[NB NOTA_C_QTY]]="","",ROW()-2)</f>
        <v>283</v>
      </c>
    </row>
    <row r="286" spans="1:52" ht="20.100000000000001" customHeight="1">
      <c r="A2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86" s="25" t="str">
        <f ca="1">IF(NOTA[[#This Row],[NAMA BARANG]]="","",INDEX(NOTA[ID],MATCH(,INDIRECT(ADDRESS(ROW(NOTA[ID]),COLUMN(NOTA[ID]))&amp;":"&amp;ADDRESS(ROW(),COLUMN(NOTA[ID]))),-1)))</f>
        <v/>
      </c>
      <c r="E286" s="33"/>
      <c r="H286" s="34"/>
      <c r="Q286" s="29"/>
      <c r="R286" s="35"/>
      <c r="S286" s="36"/>
      <c r="V286" s="37"/>
      <c r="W286" s="32"/>
      <c r="X286" s="37" t="str">
        <f>IF(NOTA[[#This Row],[HARGA/ CTN]]="",NOTA[[#This Row],[JUMLAH_H]],NOTA[[#This Row],[HARGA/ CTN]]*IF(NOTA[[#This Row],[C]]="",0,NOTA[[#This Row],[C]]))</f>
        <v/>
      </c>
      <c r="Y286" s="37" t="str">
        <f>IF(NOTA[[#This Row],[JUMLAH]]="","",NOTA[[#This Row],[JUMLAH]]*NOTA[[#This Row],[DISC 1]])</f>
        <v/>
      </c>
      <c r="Z286" s="37" t="str">
        <f>IF(NOTA[[#This Row],[JUMLAH]]="","",(NOTA[[#This Row],[JUMLAH]]-NOTA[[#This Row],[DISC 1-]])*NOTA[[#This Row],[DISC 2]])</f>
        <v/>
      </c>
      <c r="AA286" s="37" t="str">
        <f>IF(NOTA[[#This Row],[JUMLAH]]="","",(NOTA[[#This Row],[JUMLAH]]-NOTA[[#This Row],[DISC 1-]]-NOTA[[#This Row],[DISC 2-]])*NOTA[[#This Row],[DISC 3]])</f>
        <v/>
      </c>
      <c r="AB286" s="37" t="str">
        <f>IF(NOTA[[#This Row],[JUMLAH]]="","",NOTA[[#This Row],[DISC 1-]]+NOTA[[#This Row],[DISC 2-]]+NOTA[[#This Row],[DISC 3-]])</f>
        <v/>
      </c>
      <c r="AC286" s="37" t="str">
        <f>IF(NOTA[[#This Row],[JUMLAH]]="","",NOTA[[#This Row],[JUMLAH]]-NOTA[[#This Row],[DISC]])</f>
        <v/>
      </c>
      <c r="AD286" s="37"/>
      <c r="AE2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6" s="37" t="str">
        <f>IF(OR(NOTA[[#This Row],[QTY]]="",NOTA[[#This Row],[HARGA SATUAN]]="",),"",NOTA[[#This Row],[QTY]]*NOTA[[#This Row],[HARGA SATUAN]])</f>
        <v/>
      </c>
      <c r="AI286" s="26" t="str">
        <f ca="1">IF(NOTA[[#This Row],[ID_H]]="","",INDEX(NOTA[TANGGAL],MATCH(,INDIRECT(ADDRESS(ROW(NOTA[TANGGAL]),COLUMN(NOTA[TANGGAL]))&amp;":"&amp;ADDRESS(ROW(),COLUMN(NOTA[TANGGAL]))),-1)))</f>
        <v/>
      </c>
      <c r="AJ286" s="26" t="str">
        <f ca="1">IF(NOTA[[#This Row],[ID_H]]="","",INDEX(NOTA[TGL.NOTA],MATCH(,INDIRECT(ADDRESS(ROW(NOTA[TGL.NOTA]),COLUMN(NOTA[TGL.NOTA]))&amp;":"&amp;ADDRESS(ROW(),COLUMN(NOTA[TGL.NOTA]))),-1)))</f>
        <v/>
      </c>
      <c r="AK286" s="26" t="str">
        <f ca="1">IF(NOTA[[#This Row],[ID_H]]="","",INDEX(NOTA[NO.NOTA],MATCH(NOTA[[#This Row],[ID_H]],NOTA[ID_H],0)))</f>
        <v/>
      </c>
      <c r="AL286" s="28" t="str">
        <f ca="1">IF(NOTA[[#This Row],[NAMA BARANG]]="","",INDEX(NOTA[SUPPLIER],MATCH(,INDIRECT(ADDRESS(ROW(NOTA[ID]),COLUMN(NOTA[ID]))&amp;":"&amp;ADDRESS(ROW(),COLUMN(NOTA[ID]))),-1)))</f>
        <v/>
      </c>
      <c r="AM286" s="28" t="str">
        <f ca="1">IF(NOTA[[#This Row],[ID_H]]="","",IF(NOTA[[#This Row],[FAKTUR]]="",INDIRECT(ADDRESS(ROW()-1,COLUMN())),NOTA[[#This Row],[FAKTUR]]))</f>
        <v/>
      </c>
      <c r="AN286" s="25" t="str">
        <f ca="1">IF(NOTA[[#This Row],[ID]]="","",COUNTIF(NOTA[ID_H],NOTA[[#This Row],[ID_H]]))</f>
        <v/>
      </c>
      <c r="AO286" s="25" t="str">
        <f ca="1">IF(NOTA[[#This Row],[TGL.NOTA]]="",IF(NOTA[[#This Row],[SUPPLIER_H]]="","",AO285),MONTH(NOTA[[#This Row],[TGL.NOTA]]))</f>
        <v/>
      </c>
      <c r="AP2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6" s="25"/>
      <c r="AU286" s="25" t="str">
        <f>IF(NOTA[[#This Row],[CONCAT1]]="","",MATCH(NOTA[[#This Row],[CONCAT1]],[3]!db[NB NOTA_C],0))</f>
        <v/>
      </c>
      <c r="AV286" s="25" t="str">
        <f>IF(NOTA[[#This Row],[QTY/ CTN]]="","",TRUE)</f>
        <v/>
      </c>
      <c r="AW286" s="25" t="str">
        <f ca="1">IF(NOTA[[#This Row],[ID_H]]="","",IF(NOTA[[#This Row],[Column3]]=TRUE,NOTA[[#This Row],[QTY/ CTN]],INDEX([3]!db[QTY/ CTN],NOTA[[#This Row],[//DB]])))</f>
        <v/>
      </c>
      <c r="AX2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6" s="25" t="str">
        <f ca="1">IF(NOTA[[#This Row],[ID_H]]="","",MATCH(NOTA[[#This Row],[NB NOTA_C_QTY]],[3]!db[NB NOTA_C_QTY+F],0))</f>
        <v/>
      </c>
      <c r="AZ286" s="38" t="str">
        <f ca="1">IF(NOTA[[#This Row],[NB NOTA_C_QTY]]="","",ROW()-2)</f>
        <v/>
      </c>
    </row>
    <row r="287" spans="1:52" ht="20.100000000000001" customHeight="1">
      <c r="A287" s="28">
        <f ca="1">IF(INDIRECT(ADDRESS(ROW()-1,COLUMN(NOTA[[#Headers],[ID]])))="ID",1,IF(NOTA[[#This Row],[FAKTUR]]="","",COUNT(INDIRECT(ADDRESS(ROW(NOTA[ID]),COLUMN(NOTA[ID]))&amp;":"&amp;ADDRESS(ROW()-1,COLUMN(NOTA[ID]))))+1))</f>
        <v>55</v>
      </c>
      <c r="B28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DUT_2406_24H-1</v>
      </c>
      <c r="D287" s="25">
        <f ca="1">IF(NOTA[[#This Row],[NAMA BARANG]]="","",INDEX(NOTA[ID],MATCH(,INDIRECT(ADDRESS(ROW(NOTA[ID]),COLUMN(NOTA[ID]))&amp;":"&amp;ADDRESS(ROW(),COLUMN(NOTA[ID]))),-1)))</f>
        <v>55</v>
      </c>
      <c r="E287" s="33">
        <v>45467</v>
      </c>
      <c r="F287" s="25" t="s">
        <v>275</v>
      </c>
      <c r="G287" s="25" t="s">
        <v>109</v>
      </c>
      <c r="H287" s="34" t="s">
        <v>506</v>
      </c>
      <c r="J287" s="26">
        <v>45465</v>
      </c>
      <c r="L287" s="39" t="s">
        <v>507</v>
      </c>
      <c r="M287" s="27">
        <v>2</v>
      </c>
      <c r="N287" s="25">
        <v>240</v>
      </c>
      <c r="O287" s="25" t="s">
        <v>322</v>
      </c>
      <c r="P287" s="28">
        <v>20000</v>
      </c>
      <c r="Q287" s="29"/>
      <c r="R287" s="35" t="s">
        <v>508</v>
      </c>
      <c r="S287" s="36">
        <v>0.03</v>
      </c>
      <c r="V287" s="37"/>
      <c r="W287" s="32"/>
      <c r="X287" s="37">
        <f>IF(NOTA[[#This Row],[HARGA/ CTN]]="",NOTA[[#This Row],[JUMLAH_H]],NOTA[[#This Row],[HARGA/ CTN]]*IF(NOTA[[#This Row],[C]]="",0,NOTA[[#This Row],[C]]))</f>
        <v>4800000</v>
      </c>
      <c r="Y287" s="37">
        <f>IF(NOTA[[#This Row],[JUMLAH]]="","",NOTA[[#This Row],[JUMLAH]]*NOTA[[#This Row],[DISC 1]])</f>
        <v>144000</v>
      </c>
      <c r="Z287" s="37">
        <f>IF(NOTA[[#This Row],[JUMLAH]]="","",(NOTA[[#This Row],[JUMLAH]]-NOTA[[#This Row],[DISC 1-]])*NOTA[[#This Row],[DISC 2]])</f>
        <v>0</v>
      </c>
      <c r="AA287" s="37">
        <f>IF(NOTA[[#This Row],[JUMLAH]]="","",(NOTA[[#This Row],[JUMLAH]]-NOTA[[#This Row],[DISC 1-]]-NOTA[[#This Row],[DISC 2-]])*NOTA[[#This Row],[DISC 3]])</f>
        <v>0</v>
      </c>
      <c r="AB287" s="37">
        <f>IF(NOTA[[#This Row],[JUMLAH]]="","",NOTA[[#This Row],[DISC 1-]]+NOTA[[#This Row],[DISC 2-]]+NOTA[[#This Row],[DISC 3-]])</f>
        <v>144000</v>
      </c>
      <c r="AC287" s="37">
        <f>IF(NOTA[[#This Row],[JUMLAH]]="","",NOTA[[#This Row],[JUMLAH]]-NOTA[[#This Row],[DISC]])</f>
        <v>4656000</v>
      </c>
      <c r="AD287" s="37"/>
      <c r="AE28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144000</v>
      </c>
      <c r="AF28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4656000</v>
      </c>
      <c r="AG287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287" s="37">
        <f>IF(OR(NOTA[[#This Row],[QTY]]="",NOTA[[#This Row],[HARGA SATUAN]]="",),"",NOTA[[#This Row],[QTY]]*NOTA[[#This Row],[HARGA SATUAN]])</f>
        <v>4800000</v>
      </c>
      <c r="AI287" s="26">
        <f ca="1">IF(NOTA[[#This Row],[ID_H]]="","",INDEX(NOTA[TANGGAL],MATCH(,INDIRECT(ADDRESS(ROW(NOTA[TANGGAL]),COLUMN(NOTA[TANGGAL]))&amp;":"&amp;ADDRESS(ROW(),COLUMN(NOTA[TANGGAL]))),-1)))</f>
        <v>45467</v>
      </c>
      <c r="AJ287" s="26">
        <f ca="1">IF(NOTA[[#This Row],[ID_H]]="","",INDEX(NOTA[TGL.NOTA],MATCH(,INDIRECT(ADDRESS(ROW(NOTA[TGL.NOTA]),COLUMN(NOTA[TGL.NOTA]))&amp;":"&amp;ADDRESS(ROW(),COLUMN(NOTA[TGL.NOTA]))),-1)))</f>
        <v>45465</v>
      </c>
      <c r="AK287" s="26" t="str">
        <f ca="1">IF(NOTA[[#This Row],[ID_H]]="","",INDEX(NOTA[NO.NOTA],MATCH(NOTA[[#This Row],[ID_H]],NOTA[ID_H],0)))</f>
        <v>HM/115/06-24H</v>
      </c>
      <c r="AL287" s="28" t="str">
        <f ca="1">IF(NOTA[[#This Row],[NAMA BARANG]]="","",INDEX(NOTA[SUPPLIER],MATCH(,INDIRECT(ADDRESS(ROW(NOTA[ID]),COLUMN(NOTA[ID]))&amp;":"&amp;ADDRESS(ROW(),COLUMN(NOTA[ID]))),-1)))</f>
        <v>DUTA BUANA</v>
      </c>
      <c r="AM287" s="28" t="str">
        <f ca="1">IF(NOTA[[#This Row],[ID_H]]="","",IF(NOTA[[#This Row],[FAKTUR]]="",INDIRECT(ADDRESS(ROW()-1,COLUMN())),NOTA[[#This Row],[FAKTUR]]))</f>
        <v>UNTANA</v>
      </c>
      <c r="AN287" s="25">
        <f ca="1">IF(NOTA[[#This Row],[ID]]="","",COUNTIF(NOTA[ID_H],NOTA[[#This Row],[ID_H]]))</f>
        <v>1</v>
      </c>
      <c r="AO287" s="25">
        <f>IF(NOTA[[#This Row],[TGL.NOTA]]="",IF(NOTA[[#This Row],[SUPPLIER_H]]="","",AO286),MONTH(NOTA[[#This Row],[TGL.NOTA]]))</f>
        <v>6</v>
      </c>
      <c r="AP287" s="25" t="str">
        <f>LOWER(SUBSTITUTE(SUBSTITUTE(SUBSTITUTE(SUBSTITUTE(SUBSTITUTE(SUBSTITUTE(SUBSTITUTE(SUBSTITUTE(SUBSTITUTE(NOTA[[#This Row],[NAMA BARANG]]," ",),".",""),"-",""),"(",""),")",""),",",""),"/",""),"""",""),"+",""))</f>
        <v>penciltf19424pastel24wrpj</v>
      </c>
      <c r="AQ2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penciltf19424pastel24wrpj24000000,03</v>
      </c>
      <c r="AR2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penciltf19424pastel24wrpj24000000,03</v>
      </c>
      <c r="AS287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BUANAUNTANAHM/115/06-24H45465penciltf19424pastel24wrpj</v>
      </c>
      <c r="AT287" s="25"/>
      <c r="AU287" s="25">
        <f>IF(NOTA[[#This Row],[CONCAT1]]="","",MATCH(NOTA[[#This Row],[CONCAT1]],[3]!db[NB NOTA_C],0))</f>
        <v>2590</v>
      </c>
      <c r="AV287" s="25" t="b">
        <f>IF(NOTA[[#This Row],[QTY/ CTN]]="","",TRUE)</f>
        <v>1</v>
      </c>
      <c r="AW287" s="25" t="str">
        <f ca="1">IF(NOTA[[#This Row],[ID_H]]="","",IF(NOTA[[#This Row],[Column3]]=TRUE,NOTA[[#This Row],[QTY/ CTN]],INDEX([3]!db[QTY/ CTN],NOTA[[#This Row],[//DB]])))</f>
        <v>120 SET</v>
      </c>
      <c r="AX2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penciltf19424pastel24wrpj120setuntana</v>
      </c>
      <c r="AY287" s="25">
        <f ca="1">IF(NOTA[[#This Row],[ID_H]]="","",MATCH(NOTA[[#This Row],[NB NOTA_C_QTY]],[3]!db[NB NOTA_C_QTY+F],0))</f>
        <v>2590</v>
      </c>
      <c r="AZ287" s="38">
        <f ca="1">IF(NOTA[[#This Row],[NB NOTA_C_QTY]]="","",ROW()-2)</f>
        <v>285</v>
      </c>
    </row>
    <row r="288" spans="1:52" ht="20.100000000000001" customHeight="1">
      <c r="A2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88" s="25" t="str">
        <f ca="1">IF(NOTA[[#This Row],[NAMA BARANG]]="","",INDEX(NOTA[ID],MATCH(,INDIRECT(ADDRESS(ROW(NOTA[ID]),COLUMN(NOTA[ID]))&amp;":"&amp;ADDRESS(ROW(),COLUMN(NOTA[ID]))),-1)))</f>
        <v/>
      </c>
      <c r="E288" s="33"/>
      <c r="H288" s="34"/>
      <c r="Q288" s="29"/>
      <c r="R288" s="35"/>
      <c r="S288" s="36"/>
      <c r="V288" s="37"/>
      <c r="W288" s="32"/>
      <c r="X288" s="37" t="str">
        <f>IF(NOTA[[#This Row],[HARGA/ CTN]]="",NOTA[[#This Row],[JUMLAH_H]],NOTA[[#This Row],[HARGA/ CTN]]*IF(NOTA[[#This Row],[C]]="",0,NOTA[[#This Row],[C]]))</f>
        <v/>
      </c>
      <c r="Y288" s="37" t="str">
        <f>IF(NOTA[[#This Row],[JUMLAH]]="","",NOTA[[#This Row],[JUMLAH]]*NOTA[[#This Row],[DISC 1]])</f>
        <v/>
      </c>
      <c r="Z288" s="37" t="str">
        <f>IF(NOTA[[#This Row],[JUMLAH]]="","",(NOTA[[#This Row],[JUMLAH]]-NOTA[[#This Row],[DISC 1-]])*NOTA[[#This Row],[DISC 2]])</f>
        <v/>
      </c>
      <c r="AA288" s="37" t="str">
        <f>IF(NOTA[[#This Row],[JUMLAH]]="","",(NOTA[[#This Row],[JUMLAH]]-NOTA[[#This Row],[DISC 1-]]-NOTA[[#This Row],[DISC 2-]])*NOTA[[#This Row],[DISC 3]])</f>
        <v/>
      </c>
      <c r="AB288" s="37" t="str">
        <f>IF(NOTA[[#This Row],[JUMLAH]]="","",NOTA[[#This Row],[DISC 1-]]+NOTA[[#This Row],[DISC 2-]]+NOTA[[#This Row],[DISC 3-]])</f>
        <v/>
      </c>
      <c r="AC288" s="37" t="str">
        <f>IF(NOTA[[#This Row],[JUMLAH]]="","",NOTA[[#This Row],[JUMLAH]]-NOTA[[#This Row],[DISC]])</f>
        <v/>
      </c>
      <c r="AD288" s="37"/>
      <c r="AE2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8" s="37" t="str">
        <f>IF(OR(NOTA[[#This Row],[QTY]]="",NOTA[[#This Row],[HARGA SATUAN]]="",),"",NOTA[[#This Row],[QTY]]*NOTA[[#This Row],[HARGA SATUAN]])</f>
        <v/>
      </c>
      <c r="AI288" s="26" t="str">
        <f ca="1">IF(NOTA[[#This Row],[ID_H]]="","",INDEX(NOTA[TANGGAL],MATCH(,INDIRECT(ADDRESS(ROW(NOTA[TANGGAL]),COLUMN(NOTA[TANGGAL]))&amp;":"&amp;ADDRESS(ROW(),COLUMN(NOTA[TANGGAL]))),-1)))</f>
        <v/>
      </c>
      <c r="AJ288" s="26" t="str">
        <f ca="1">IF(NOTA[[#This Row],[ID_H]]="","",INDEX(NOTA[TGL.NOTA],MATCH(,INDIRECT(ADDRESS(ROW(NOTA[TGL.NOTA]),COLUMN(NOTA[TGL.NOTA]))&amp;":"&amp;ADDRESS(ROW(),COLUMN(NOTA[TGL.NOTA]))),-1)))</f>
        <v/>
      </c>
      <c r="AK288" s="26" t="str">
        <f ca="1">IF(NOTA[[#This Row],[ID_H]]="","",INDEX(NOTA[NO.NOTA],MATCH(NOTA[[#This Row],[ID_H]],NOTA[ID_H],0)))</f>
        <v/>
      </c>
      <c r="AL288" s="28" t="str">
        <f ca="1">IF(NOTA[[#This Row],[NAMA BARANG]]="","",INDEX(NOTA[SUPPLIER],MATCH(,INDIRECT(ADDRESS(ROW(NOTA[ID]),COLUMN(NOTA[ID]))&amp;":"&amp;ADDRESS(ROW(),COLUMN(NOTA[ID]))),-1)))</f>
        <v/>
      </c>
      <c r="AM288" s="28" t="str">
        <f ca="1">IF(NOTA[[#This Row],[ID_H]]="","",IF(NOTA[[#This Row],[FAKTUR]]="",INDIRECT(ADDRESS(ROW()-1,COLUMN())),NOTA[[#This Row],[FAKTUR]]))</f>
        <v/>
      </c>
      <c r="AN288" s="25" t="str">
        <f ca="1">IF(NOTA[[#This Row],[ID]]="","",COUNTIF(NOTA[ID_H],NOTA[[#This Row],[ID_H]]))</f>
        <v/>
      </c>
      <c r="AO288" s="25" t="str">
        <f ca="1">IF(NOTA[[#This Row],[TGL.NOTA]]="",IF(NOTA[[#This Row],[SUPPLIER_H]]="","",AO287),MONTH(NOTA[[#This Row],[TGL.NOTA]]))</f>
        <v/>
      </c>
      <c r="AP2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8" s="25"/>
      <c r="AU288" s="25" t="str">
        <f>IF(NOTA[[#This Row],[CONCAT1]]="","",MATCH(NOTA[[#This Row],[CONCAT1]],[3]!db[NB NOTA_C],0))</f>
        <v/>
      </c>
      <c r="AV288" s="25" t="str">
        <f>IF(NOTA[[#This Row],[QTY/ CTN]]="","",TRUE)</f>
        <v/>
      </c>
      <c r="AW288" s="25" t="str">
        <f ca="1">IF(NOTA[[#This Row],[ID_H]]="","",IF(NOTA[[#This Row],[Column3]]=TRUE,NOTA[[#This Row],[QTY/ CTN]],INDEX([3]!db[QTY/ CTN],NOTA[[#This Row],[//DB]])))</f>
        <v/>
      </c>
      <c r="AX2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8" s="25" t="str">
        <f ca="1">IF(NOTA[[#This Row],[ID_H]]="","",MATCH(NOTA[[#This Row],[NB NOTA_C_QTY]],[3]!db[NB NOTA_C_QTY+F],0))</f>
        <v/>
      </c>
      <c r="AZ288" s="38" t="str">
        <f ca="1">IF(NOTA[[#This Row],[NB NOTA_C_QTY]]="","",ROW()-2)</f>
        <v/>
      </c>
    </row>
    <row r="289" spans="1:52" ht="20.100000000000001" customHeight="1">
      <c r="A289" s="28">
        <f ca="1">IF(INDIRECT(ADDRESS(ROW()-1,COLUMN(NOTA[[#Headers],[ID]])))="ID",1,IF(NOTA[[#This Row],[FAKTUR]]="","",COUNT(INDIRECT(ADDRESS(ROW(NOTA[ID]),COLUMN(NOTA[ID]))&amp;":"&amp;ADDRESS(ROW()-1,COLUMN(NOTA[ID]))))+1))</f>
        <v>56</v>
      </c>
      <c r="B28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AND_2206_764-2</v>
      </c>
      <c r="D289" s="25">
        <f ca="1">IF(NOTA[[#This Row],[NAMA BARANG]]="","",INDEX(NOTA[ID],MATCH(,INDIRECT(ADDRESS(ROW(NOTA[ID]),COLUMN(NOTA[ID]))&amp;":"&amp;ADDRESS(ROW(),COLUMN(NOTA[ID]))),-1)))</f>
        <v>56</v>
      </c>
      <c r="E289" s="33">
        <v>45465</v>
      </c>
      <c r="F289" s="25" t="s">
        <v>511</v>
      </c>
      <c r="G289" s="25" t="s">
        <v>109</v>
      </c>
      <c r="H289" s="34" t="s">
        <v>512</v>
      </c>
      <c r="J289" s="26">
        <v>45462</v>
      </c>
      <c r="K289" s="39"/>
      <c r="L289" s="39" t="s">
        <v>517</v>
      </c>
      <c r="M289" s="27">
        <v>2</v>
      </c>
      <c r="N289" s="25">
        <v>50</v>
      </c>
      <c r="O289" s="25" t="s">
        <v>110</v>
      </c>
      <c r="P289" s="28">
        <v>32500</v>
      </c>
      <c r="Q289" s="29"/>
      <c r="R289" s="35" t="s">
        <v>513</v>
      </c>
      <c r="S289" s="36"/>
      <c r="V289" s="37"/>
      <c r="W289" s="32"/>
      <c r="X289" s="37">
        <f>IF(NOTA[[#This Row],[HARGA/ CTN]]="",NOTA[[#This Row],[JUMLAH_H]],NOTA[[#This Row],[HARGA/ CTN]]*IF(NOTA[[#This Row],[C]]="",0,NOTA[[#This Row],[C]]))</f>
        <v>1625000</v>
      </c>
      <c r="Y289" s="37">
        <f>IF(NOTA[[#This Row],[JUMLAH]]="","",NOTA[[#This Row],[JUMLAH]]*NOTA[[#This Row],[DISC 1]])</f>
        <v>0</v>
      </c>
      <c r="Z289" s="37">
        <f>IF(NOTA[[#This Row],[JUMLAH]]="","",(NOTA[[#This Row],[JUMLAH]]-NOTA[[#This Row],[DISC 1-]])*NOTA[[#This Row],[DISC 2]])</f>
        <v>0</v>
      </c>
      <c r="AA289" s="37">
        <f>IF(NOTA[[#This Row],[JUMLAH]]="","",(NOTA[[#This Row],[JUMLAH]]-NOTA[[#This Row],[DISC 1-]]-NOTA[[#This Row],[DISC 2-]])*NOTA[[#This Row],[DISC 3]])</f>
        <v>0</v>
      </c>
      <c r="AB289" s="37">
        <f>IF(NOTA[[#This Row],[JUMLAH]]="","",NOTA[[#This Row],[DISC 1-]]+NOTA[[#This Row],[DISC 2-]]+NOTA[[#This Row],[DISC 3-]])</f>
        <v>0</v>
      </c>
      <c r="AC289" s="37">
        <f>IF(NOTA[[#This Row],[JUMLAH]]="","",NOTA[[#This Row],[JUMLAH]]-NOTA[[#This Row],[DISC]])</f>
        <v>1625000</v>
      </c>
      <c r="AD289" s="37"/>
      <c r="AE2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9" s="28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H289" s="37">
        <f>IF(OR(NOTA[[#This Row],[QTY]]="",NOTA[[#This Row],[HARGA SATUAN]]="",),"",NOTA[[#This Row],[QTY]]*NOTA[[#This Row],[HARGA SATUAN]])</f>
        <v>1625000</v>
      </c>
      <c r="AI289" s="26">
        <f ca="1">IF(NOTA[[#This Row],[ID_H]]="","",INDEX(NOTA[TANGGAL],MATCH(,INDIRECT(ADDRESS(ROW(NOTA[TANGGAL]),COLUMN(NOTA[TANGGAL]))&amp;":"&amp;ADDRESS(ROW(),COLUMN(NOTA[TANGGAL]))),-1)))</f>
        <v>45465</v>
      </c>
      <c r="AJ289" s="26">
        <f ca="1">IF(NOTA[[#This Row],[ID_H]]="","",INDEX(NOTA[TGL.NOTA],MATCH(,INDIRECT(ADDRESS(ROW(NOTA[TGL.NOTA]),COLUMN(NOTA[TGL.NOTA]))&amp;":"&amp;ADDRESS(ROW(),COLUMN(NOTA[TGL.NOTA]))),-1)))</f>
        <v>45462</v>
      </c>
      <c r="AK289" s="26" t="str">
        <f ca="1">IF(NOTA[[#This Row],[ID_H]]="","",INDEX(NOTA[NO.NOTA],MATCH(NOTA[[#This Row],[ID_H]],NOTA[ID_H],0)))</f>
        <v>SO24/1764</v>
      </c>
      <c r="AL289" s="28" t="str">
        <f ca="1">IF(NOTA[[#This Row],[NAMA BARANG]]="","",INDEX(NOTA[SUPPLIER],MATCH(,INDIRECT(ADDRESS(ROW(NOTA[ID]),COLUMN(NOTA[ID]))&amp;":"&amp;ADDRESS(ROW(),COLUMN(NOTA[ID]))),-1)))</f>
        <v>ANDY (YOEKER)</v>
      </c>
      <c r="AM289" s="28" t="str">
        <f ca="1">IF(NOTA[[#This Row],[ID_H]]="","",IF(NOTA[[#This Row],[FAKTUR]]="",INDIRECT(ADDRESS(ROW()-1,COLUMN())),NOTA[[#This Row],[FAKTUR]]))</f>
        <v>UNTANA</v>
      </c>
      <c r="AN289" s="25">
        <f ca="1">IF(NOTA[[#This Row],[ID]]="","",COUNTIF(NOTA[ID_H],NOTA[[#This Row],[ID_H]]))</f>
        <v>2</v>
      </c>
      <c r="AO289" s="25">
        <f>IF(NOTA[[#This Row],[TGL.NOTA]]="",IF(NOTA[[#This Row],[SUPPLIER_H]]="","",AO288),MONTH(NOTA[[#This Row],[TGL.NOTA]]))</f>
        <v>6</v>
      </c>
      <c r="AP289" s="25" t="str">
        <f>LOWER(SUBSTITUTE(SUBSTITUTE(SUBSTITUTE(SUBSTITUTE(SUBSTITUTE(SUBSTITUTE(SUBSTITUTE(SUBSTITUTE(SUBSTITUTE(NOTA[[#This Row],[NAMA BARANG]]," ",),".",""),"-",""),"(",""),")",""),",",""),"/",""),"""",""),"+",""))</f>
        <v>penggarisbesi40cmyoeker</v>
      </c>
      <c r="AQ2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penggarisbesi40cmyoeker812500</v>
      </c>
      <c r="AR2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penggarisbesi40cmyoeker812500</v>
      </c>
      <c r="AS289" s="25" t="str">
        <f>IF(NOTA[[#This Row],[SUPPLIER]]="","",NOTA[[#This Row],[SUPPLIER]]&amp;NOTA[[#This Row],[FAKTUR]]&amp;NOTA[[#This Row],[NO.NOTA]]&amp;NOTA[[#This Row],[NO.SJ]]&amp;NOTA[[#This Row],[TGL.NOTA]]&amp;NOTA[[#This Row],[CONCAT1]])</f>
        <v>ANDY (YOEKER)UNTANASO24/176445462penggarisbesi40cmyoeker</v>
      </c>
      <c r="AT289" s="25"/>
      <c r="AU289" s="25">
        <f>IF(NOTA[[#This Row],[CONCAT1]]="","",MATCH(NOTA[[#This Row],[CONCAT1]],[3]!db[NB NOTA_C],0))</f>
        <v>1017</v>
      </c>
      <c r="AV289" s="25" t="b">
        <f>IF(NOTA[[#This Row],[QTY/ CTN]]="","",TRUE)</f>
        <v>1</v>
      </c>
      <c r="AW289" s="25" t="str">
        <f ca="1">IF(NOTA[[#This Row],[ID_H]]="","",IF(NOTA[[#This Row],[Column3]]=TRUE,NOTA[[#This Row],[QTY/ CTN]],INDEX([3]!db[QTY/ CTN],NOTA[[#This Row],[//DB]])))</f>
        <v>25 LSN</v>
      </c>
      <c r="AX2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penggarisbesi40cmyoeker25lsnuntana</v>
      </c>
      <c r="AY289" s="25">
        <f ca="1">IF(NOTA[[#This Row],[ID_H]]="","",MATCH(NOTA[[#This Row],[NB NOTA_C_QTY]],[3]!db[NB NOTA_C_QTY+F],0))</f>
        <v>1017</v>
      </c>
      <c r="AZ289" s="38">
        <f ca="1">IF(NOTA[[#This Row],[NB NOTA_C_QTY]]="","",ROW()-2)</f>
        <v>287</v>
      </c>
    </row>
    <row r="290" spans="1:52" ht="20.100000000000001" customHeight="1">
      <c r="A2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0" s="25">
        <f ca="1">IF(NOTA[[#This Row],[NAMA BARANG]]="","",INDEX(NOTA[ID],MATCH(,INDIRECT(ADDRESS(ROW(NOTA[ID]),COLUMN(NOTA[ID]))&amp;":"&amp;ADDRESS(ROW(),COLUMN(NOTA[ID]))),-1)))</f>
        <v>56</v>
      </c>
      <c r="E290" s="33"/>
      <c r="H290" s="34"/>
      <c r="L290" s="39" t="s">
        <v>518</v>
      </c>
      <c r="M290" s="27">
        <v>2</v>
      </c>
      <c r="N290" s="25">
        <v>50</v>
      </c>
      <c r="O290" s="25" t="s">
        <v>110</v>
      </c>
      <c r="P290" s="28">
        <v>37500</v>
      </c>
      <c r="Q290" s="29"/>
      <c r="R290" s="35" t="s">
        <v>513</v>
      </c>
      <c r="S290" s="36"/>
      <c r="V290" s="37"/>
      <c r="W290" s="32"/>
      <c r="X290" s="37">
        <f>IF(NOTA[[#This Row],[HARGA/ CTN]]="",NOTA[[#This Row],[JUMLAH_H]],NOTA[[#This Row],[HARGA/ CTN]]*IF(NOTA[[#This Row],[C]]="",0,NOTA[[#This Row],[C]]))</f>
        <v>1875000</v>
      </c>
      <c r="Y290" s="37">
        <f>IF(NOTA[[#This Row],[JUMLAH]]="","",NOTA[[#This Row],[JUMLAH]]*NOTA[[#This Row],[DISC 1]])</f>
        <v>0</v>
      </c>
      <c r="Z290" s="37">
        <f>IF(NOTA[[#This Row],[JUMLAH]]="","",(NOTA[[#This Row],[JUMLAH]]-NOTA[[#This Row],[DISC 1-]])*NOTA[[#This Row],[DISC 2]])</f>
        <v>0</v>
      </c>
      <c r="AA290" s="37">
        <f>IF(NOTA[[#This Row],[JUMLAH]]="","",(NOTA[[#This Row],[JUMLAH]]-NOTA[[#This Row],[DISC 1-]]-NOTA[[#This Row],[DISC 2-]])*NOTA[[#This Row],[DISC 3]])</f>
        <v>0</v>
      </c>
      <c r="AB290" s="37">
        <f>IF(NOTA[[#This Row],[JUMLAH]]="","",NOTA[[#This Row],[DISC 1-]]+NOTA[[#This Row],[DISC 2-]]+NOTA[[#This Row],[DISC 3-]])</f>
        <v>0</v>
      </c>
      <c r="AC290" s="37">
        <f>IF(NOTA[[#This Row],[JUMLAH]]="","",NOTA[[#This Row],[JUMLAH]]-NOTA[[#This Row],[DISC]])</f>
        <v>1875000</v>
      </c>
      <c r="AD290" s="37"/>
      <c r="AE2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3500000</v>
      </c>
      <c r="AG290" s="28">
        <f>IF(NOTA[[#This Row],[NAMA BARANG]]="","",IF(NOTA[[#This Row],[JUMLAH_H]]="",NOTA[[#This Row],[HARGA/ CTN]],NOTA[[#This Row],[QTY]]*NOTA[[#This Row],[HARGA SATUAN]]/IF(ISNUMBER(NOTA[[#This Row],[C]]),NOTA[[#This Row],[C]],1)))</f>
        <v>937500</v>
      </c>
      <c r="AH290" s="37">
        <f>IF(OR(NOTA[[#This Row],[QTY]]="",NOTA[[#This Row],[HARGA SATUAN]]="",),"",NOTA[[#This Row],[QTY]]*NOTA[[#This Row],[HARGA SATUAN]])</f>
        <v>1875000</v>
      </c>
      <c r="AI290" s="26">
        <f ca="1">IF(NOTA[[#This Row],[ID_H]]="","",INDEX(NOTA[TANGGAL],MATCH(,INDIRECT(ADDRESS(ROW(NOTA[TANGGAL]),COLUMN(NOTA[TANGGAL]))&amp;":"&amp;ADDRESS(ROW(),COLUMN(NOTA[TANGGAL]))),-1)))</f>
        <v>45465</v>
      </c>
      <c r="AJ290" s="26">
        <f ca="1">IF(NOTA[[#This Row],[ID_H]]="","",INDEX(NOTA[TGL.NOTA],MATCH(,INDIRECT(ADDRESS(ROW(NOTA[TGL.NOTA]),COLUMN(NOTA[TGL.NOTA]))&amp;":"&amp;ADDRESS(ROW(),COLUMN(NOTA[TGL.NOTA]))),-1)))</f>
        <v>45462</v>
      </c>
      <c r="AK290" s="26" t="str">
        <f ca="1">IF(NOTA[[#This Row],[ID_H]]="","",INDEX(NOTA[NO.NOTA],MATCH(NOTA[[#This Row],[ID_H]],NOTA[ID_H],0)))</f>
        <v>SO24/1764</v>
      </c>
      <c r="AL290" s="28" t="str">
        <f ca="1">IF(NOTA[[#This Row],[NAMA BARANG]]="","",INDEX(NOTA[SUPPLIER],MATCH(,INDIRECT(ADDRESS(ROW(NOTA[ID]),COLUMN(NOTA[ID]))&amp;":"&amp;ADDRESS(ROW(),COLUMN(NOTA[ID]))),-1)))</f>
        <v>ANDY (YOEKER)</v>
      </c>
      <c r="AM290" s="28" t="str">
        <f ca="1">IF(NOTA[[#This Row],[ID_H]]="","",IF(NOTA[[#This Row],[FAKTUR]]="",INDIRECT(ADDRESS(ROW()-1,COLUMN())),NOTA[[#This Row],[FAKTUR]]))</f>
        <v>UNTANA</v>
      </c>
      <c r="AN290" s="25" t="str">
        <f ca="1">IF(NOTA[[#This Row],[ID]]="","",COUNTIF(NOTA[ID_H],NOTA[[#This Row],[ID_H]]))</f>
        <v/>
      </c>
      <c r="AO290" s="25">
        <f ca="1">IF(NOTA[[#This Row],[TGL.NOTA]]="",IF(NOTA[[#This Row],[SUPPLIER_H]]="","",AO289),MONTH(NOTA[[#This Row],[TGL.NOTA]]))</f>
        <v>6</v>
      </c>
      <c r="AP290" s="25" t="str">
        <f>LOWER(SUBSTITUTE(SUBSTITUTE(SUBSTITUTE(SUBSTITUTE(SUBSTITUTE(SUBSTITUTE(SUBSTITUTE(SUBSTITUTE(SUBSTITUTE(NOTA[[#This Row],[NAMA BARANG]]," ",),".",""),"-",""),"(",""),")",""),",",""),"/",""),"""",""),"+",""))</f>
        <v>penggarisbesi50cmyoeker</v>
      </c>
      <c r="AQ2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penggarisbesi50cmyoeker937500</v>
      </c>
      <c r="AR2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penggarisbesi50cmyoeker937500</v>
      </c>
      <c r="AS2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0" s="25"/>
      <c r="AU290" s="25">
        <f>IF(NOTA[[#This Row],[CONCAT1]]="","",MATCH(NOTA[[#This Row],[CONCAT1]],[3]!db[NB NOTA_C],0))</f>
        <v>1018</v>
      </c>
      <c r="AV290" s="25" t="b">
        <f>IF(NOTA[[#This Row],[QTY/ CTN]]="","",TRUE)</f>
        <v>1</v>
      </c>
      <c r="AW290" s="25" t="str">
        <f ca="1">IF(NOTA[[#This Row],[ID_H]]="","",IF(NOTA[[#This Row],[Column3]]=TRUE,NOTA[[#This Row],[QTY/ CTN]],INDEX([3]!db[QTY/ CTN],NOTA[[#This Row],[//DB]])))</f>
        <v>25 LSN</v>
      </c>
      <c r="AX2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penggarisbesi50cmyoeker25lsnuntana</v>
      </c>
      <c r="AY290" s="25">
        <f ca="1">IF(NOTA[[#This Row],[ID_H]]="","",MATCH(NOTA[[#This Row],[NB NOTA_C_QTY]],[3]!db[NB NOTA_C_QTY+F],0))</f>
        <v>1018</v>
      </c>
      <c r="AZ290" s="38">
        <f ca="1">IF(NOTA[[#This Row],[NB NOTA_C_QTY]]="","",ROW()-2)</f>
        <v>288</v>
      </c>
    </row>
    <row r="291" spans="1:52" ht="20.100000000000001" customHeight="1">
      <c r="A2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1" s="25" t="str">
        <f ca="1">IF(NOTA[[#This Row],[NAMA BARANG]]="","",INDEX(NOTA[ID],MATCH(,INDIRECT(ADDRESS(ROW(NOTA[ID]),COLUMN(NOTA[ID]))&amp;":"&amp;ADDRESS(ROW(),COLUMN(NOTA[ID]))),-1)))</f>
        <v/>
      </c>
      <c r="E291" s="33"/>
      <c r="H291" s="34"/>
      <c r="L291" s="39"/>
      <c r="Q291" s="29"/>
      <c r="R291" s="35"/>
      <c r="S291" s="36"/>
      <c r="V291" s="37"/>
      <c r="W291" s="32"/>
      <c r="X291" s="37" t="str">
        <f>IF(NOTA[[#This Row],[HARGA/ CTN]]="",NOTA[[#This Row],[JUMLAH_H]],NOTA[[#This Row],[HARGA/ CTN]]*IF(NOTA[[#This Row],[C]]="",0,NOTA[[#This Row],[C]]))</f>
        <v/>
      </c>
      <c r="Y291" s="37" t="str">
        <f>IF(NOTA[[#This Row],[JUMLAH]]="","",NOTA[[#This Row],[JUMLAH]]*NOTA[[#This Row],[DISC 1]])</f>
        <v/>
      </c>
      <c r="Z291" s="37" t="str">
        <f>IF(NOTA[[#This Row],[JUMLAH]]="","",(NOTA[[#This Row],[JUMLAH]]-NOTA[[#This Row],[DISC 1-]])*NOTA[[#This Row],[DISC 2]])</f>
        <v/>
      </c>
      <c r="AA291" s="37" t="str">
        <f>IF(NOTA[[#This Row],[JUMLAH]]="","",(NOTA[[#This Row],[JUMLAH]]-NOTA[[#This Row],[DISC 1-]]-NOTA[[#This Row],[DISC 2-]])*NOTA[[#This Row],[DISC 3]])</f>
        <v/>
      </c>
      <c r="AB291" s="37" t="str">
        <f>IF(NOTA[[#This Row],[JUMLAH]]="","",NOTA[[#This Row],[DISC 1-]]+NOTA[[#This Row],[DISC 2-]]+NOTA[[#This Row],[DISC 3-]])</f>
        <v/>
      </c>
      <c r="AC291" s="37" t="str">
        <f>IF(NOTA[[#This Row],[JUMLAH]]="","",NOTA[[#This Row],[JUMLAH]]-NOTA[[#This Row],[DISC]])</f>
        <v/>
      </c>
      <c r="AD291" s="37"/>
      <c r="AE2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1" s="37" t="str">
        <f>IF(OR(NOTA[[#This Row],[QTY]]="",NOTA[[#This Row],[HARGA SATUAN]]="",),"",NOTA[[#This Row],[QTY]]*NOTA[[#This Row],[HARGA SATUAN]])</f>
        <v/>
      </c>
      <c r="AI291" s="26" t="str">
        <f ca="1">IF(NOTA[[#This Row],[ID_H]]="","",INDEX(NOTA[TANGGAL],MATCH(,INDIRECT(ADDRESS(ROW(NOTA[TANGGAL]),COLUMN(NOTA[TANGGAL]))&amp;":"&amp;ADDRESS(ROW(),COLUMN(NOTA[TANGGAL]))),-1)))</f>
        <v/>
      </c>
      <c r="AJ291" s="26" t="str">
        <f ca="1">IF(NOTA[[#This Row],[ID_H]]="","",INDEX(NOTA[TGL.NOTA],MATCH(,INDIRECT(ADDRESS(ROW(NOTA[TGL.NOTA]),COLUMN(NOTA[TGL.NOTA]))&amp;":"&amp;ADDRESS(ROW(),COLUMN(NOTA[TGL.NOTA]))),-1)))</f>
        <v/>
      </c>
      <c r="AK291" s="26" t="str">
        <f ca="1">IF(NOTA[[#This Row],[ID_H]]="","",INDEX(NOTA[NO.NOTA],MATCH(NOTA[[#This Row],[ID_H]],NOTA[ID_H],0)))</f>
        <v/>
      </c>
      <c r="AL291" s="28" t="str">
        <f ca="1">IF(NOTA[[#This Row],[NAMA BARANG]]="","",INDEX(NOTA[SUPPLIER],MATCH(,INDIRECT(ADDRESS(ROW(NOTA[ID]),COLUMN(NOTA[ID]))&amp;":"&amp;ADDRESS(ROW(),COLUMN(NOTA[ID]))),-1)))</f>
        <v/>
      </c>
      <c r="AM291" s="28" t="str">
        <f ca="1">IF(NOTA[[#This Row],[ID_H]]="","",IF(NOTA[[#This Row],[FAKTUR]]="",INDIRECT(ADDRESS(ROW()-1,COLUMN())),NOTA[[#This Row],[FAKTUR]]))</f>
        <v/>
      </c>
      <c r="AN291" s="25" t="str">
        <f ca="1">IF(NOTA[[#This Row],[ID]]="","",COUNTIF(NOTA[ID_H],NOTA[[#This Row],[ID_H]]))</f>
        <v/>
      </c>
      <c r="AO291" s="25" t="str">
        <f ca="1">IF(NOTA[[#This Row],[TGL.NOTA]]="",IF(NOTA[[#This Row],[SUPPLIER_H]]="","",AO290),MONTH(NOTA[[#This Row],[TGL.NOTA]]))</f>
        <v/>
      </c>
      <c r="AP2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1" s="25"/>
      <c r="AU291" s="25" t="str">
        <f>IF(NOTA[[#This Row],[CONCAT1]]="","",MATCH(NOTA[[#This Row],[CONCAT1]],[3]!db[NB NOTA_C],0))</f>
        <v/>
      </c>
      <c r="AV291" s="25" t="str">
        <f>IF(NOTA[[#This Row],[QTY/ CTN]]="","",TRUE)</f>
        <v/>
      </c>
      <c r="AW291" s="25" t="str">
        <f ca="1">IF(NOTA[[#This Row],[ID_H]]="","",IF(NOTA[[#This Row],[Column3]]=TRUE,NOTA[[#This Row],[QTY/ CTN]],INDEX([3]!db[QTY/ CTN],NOTA[[#This Row],[//DB]])))</f>
        <v/>
      </c>
      <c r="AX2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1" s="25" t="str">
        <f ca="1">IF(NOTA[[#This Row],[ID_H]]="","",MATCH(NOTA[[#This Row],[NB NOTA_C_QTY]],[3]!db[NB NOTA_C_QTY+F],0))</f>
        <v/>
      </c>
      <c r="AZ291" s="38" t="str">
        <f ca="1">IF(NOTA[[#This Row],[NB NOTA_C_QTY]]="","",ROW()-2)</f>
        <v/>
      </c>
    </row>
    <row r="292" spans="1:52" ht="20.100000000000001" customHeight="1">
      <c r="A292" s="28">
        <f ca="1">IF(INDIRECT(ADDRESS(ROW()-1,COLUMN(NOTA[[#Headers],[ID]])))="ID",1,IF(NOTA[[#This Row],[FAKTUR]]="","",COUNT(INDIRECT(ADDRESS(ROW(NOTA[ID]),COLUMN(NOTA[ID]))&amp;":"&amp;ADDRESS(ROW()-1,COLUMN(NOTA[ID]))))+1))</f>
        <v>57</v>
      </c>
      <c r="B29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DUT_2206_006-2</v>
      </c>
      <c r="D292" s="25">
        <f ca="1">IF(NOTA[[#This Row],[NAMA BARANG]]="","",INDEX(NOTA[ID],MATCH(,INDIRECT(ADDRESS(ROW(NOTA[ID]),COLUMN(NOTA[ID]))&amp;":"&amp;ADDRESS(ROW(),COLUMN(NOTA[ID]))),-1)))</f>
        <v>57</v>
      </c>
      <c r="E292" s="33">
        <v>45465</v>
      </c>
      <c r="F292" s="25" t="s">
        <v>275</v>
      </c>
      <c r="G292" s="25" t="s">
        <v>109</v>
      </c>
      <c r="H292" s="34" t="s">
        <v>514</v>
      </c>
      <c r="J292" s="26">
        <v>45462</v>
      </c>
      <c r="L292" s="39" t="s">
        <v>515</v>
      </c>
      <c r="M292" s="27">
        <v>5</v>
      </c>
      <c r="N292" s="25">
        <v>480</v>
      </c>
      <c r="O292" s="25" t="s">
        <v>110</v>
      </c>
      <c r="P292" s="28">
        <v>30500</v>
      </c>
      <c r="Q292" s="29"/>
      <c r="R292" s="35" t="s">
        <v>278</v>
      </c>
      <c r="S292" s="36">
        <v>0.03</v>
      </c>
      <c r="V292" s="37"/>
      <c r="W292" s="32"/>
      <c r="X292" s="37">
        <f>IF(NOTA[[#This Row],[HARGA/ CTN]]="",NOTA[[#This Row],[JUMLAH_H]],NOTA[[#This Row],[HARGA/ CTN]]*IF(NOTA[[#This Row],[C]]="",0,NOTA[[#This Row],[C]]))</f>
        <v>14640000</v>
      </c>
      <c r="Y292" s="37">
        <f>IF(NOTA[[#This Row],[JUMLAH]]="","",NOTA[[#This Row],[JUMLAH]]*NOTA[[#This Row],[DISC 1]])</f>
        <v>439200</v>
      </c>
      <c r="Z292" s="37">
        <f>IF(NOTA[[#This Row],[JUMLAH]]="","",(NOTA[[#This Row],[JUMLAH]]-NOTA[[#This Row],[DISC 1-]])*NOTA[[#This Row],[DISC 2]])</f>
        <v>0</v>
      </c>
      <c r="AA292" s="37">
        <f>IF(NOTA[[#This Row],[JUMLAH]]="","",(NOTA[[#This Row],[JUMLAH]]-NOTA[[#This Row],[DISC 1-]]-NOTA[[#This Row],[DISC 2-]])*NOTA[[#This Row],[DISC 3]])</f>
        <v>0</v>
      </c>
      <c r="AB292" s="37">
        <f>IF(NOTA[[#This Row],[JUMLAH]]="","",NOTA[[#This Row],[DISC 1-]]+NOTA[[#This Row],[DISC 2-]]+NOTA[[#This Row],[DISC 3-]])</f>
        <v>439200</v>
      </c>
      <c r="AC292" s="37">
        <f>IF(NOTA[[#This Row],[JUMLAH]]="","",NOTA[[#This Row],[JUMLAH]]-NOTA[[#This Row],[DISC]])</f>
        <v>14200800</v>
      </c>
      <c r="AD292" s="37"/>
      <c r="AE2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2" s="28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H292" s="37">
        <f>IF(OR(NOTA[[#This Row],[QTY]]="",NOTA[[#This Row],[HARGA SATUAN]]="",),"",NOTA[[#This Row],[QTY]]*NOTA[[#This Row],[HARGA SATUAN]])</f>
        <v>14640000</v>
      </c>
      <c r="AI292" s="26">
        <f ca="1">IF(NOTA[[#This Row],[ID_H]]="","",INDEX(NOTA[TANGGAL],MATCH(,INDIRECT(ADDRESS(ROW(NOTA[TANGGAL]),COLUMN(NOTA[TANGGAL]))&amp;":"&amp;ADDRESS(ROW(),COLUMN(NOTA[TANGGAL]))),-1)))</f>
        <v>45465</v>
      </c>
      <c r="AJ292" s="26">
        <f ca="1">IF(NOTA[[#This Row],[ID_H]]="","",INDEX(NOTA[TGL.NOTA],MATCH(,INDIRECT(ADDRESS(ROW(NOTA[TGL.NOTA]),COLUMN(NOTA[TGL.NOTA]))&amp;":"&amp;ADDRESS(ROW(),COLUMN(NOTA[TGL.NOTA]))),-1)))</f>
        <v>45462</v>
      </c>
      <c r="AK292" s="26" t="str">
        <f ca="1">IF(NOTA[[#This Row],[ID_H]]="","",INDEX(NOTA[NO.NOTA],MATCH(NOTA[[#This Row],[ID_H]],NOTA[ID_H],0)))</f>
        <v>HM/110/06</v>
      </c>
      <c r="AL292" s="28" t="str">
        <f ca="1">IF(NOTA[[#This Row],[NAMA BARANG]]="","",INDEX(NOTA[SUPPLIER],MATCH(,INDIRECT(ADDRESS(ROW(NOTA[ID]),COLUMN(NOTA[ID]))&amp;":"&amp;ADDRESS(ROW(),COLUMN(NOTA[ID]))),-1)))</f>
        <v>DUTA BUANA</v>
      </c>
      <c r="AM292" s="28" t="str">
        <f ca="1">IF(NOTA[[#This Row],[ID_H]]="","",IF(NOTA[[#This Row],[FAKTUR]]="",INDIRECT(ADDRESS(ROW()-1,COLUMN())),NOTA[[#This Row],[FAKTUR]]))</f>
        <v>UNTANA</v>
      </c>
      <c r="AN292" s="25">
        <f ca="1">IF(NOTA[[#This Row],[ID]]="","",COUNTIF(NOTA[ID_H],NOTA[[#This Row],[ID_H]]))</f>
        <v>2</v>
      </c>
      <c r="AO292" s="25">
        <f>IF(NOTA[[#This Row],[TGL.NOTA]]="",IF(NOTA[[#This Row],[SUPPLIER_H]]="","",AO291),MONTH(NOTA[[#This Row],[TGL.NOTA]]))</f>
        <v>6</v>
      </c>
      <c r="AP292" s="25" t="str">
        <f>LOWER(SUBSTITUTE(SUBSTITUTE(SUBSTITUTE(SUBSTITUTE(SUBSTITUTE(SUBSTITUTE(SUBSTITUTE(SUBSTITUTE(SUBSTITUTE(NOTA[[#This Row],[NAMA BARANG]]," ",),".",""),"-",""),"(",""),")",""),",",""),"/",""),"""",""),"+",""))</f>
        <v>ballpengeltf311503mmhightechknock</v>
      </c>
      <c r="AQ2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ballpengeltf311503mmhightechknock29280000,03</v>
      </c>
      <c r="AR2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ballpengeltf311503mmhightechknock29280000,03</v>
      </c>
      <c r="AS292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BUANAUNTANAHM/110/0645462ballpengeltf311503mmhightechknock</v>
      </c>
      <c r="AT292" s="25"/>
      <c r="AU292" s="25">
        <f>IF(NOTA[[#This Row],[CONCAT1]]="","",MATCH(NOTA[[#This Row],[CONCAT1]],[3]!db[NB NOTA_C],0))</f>
        <v>149</v>
      </c>
      <c r="AV292" s="25" t="b">
        <f>IF(NOTA[[#This Row],[QTY/ CTN]]="","",TRUE)</f>
        <v>1</v>
      </c>
      <c r="AW292" s="25" t="str">
        <f ca="1">IF(NOTA[[#This Row],[ID_H]]="","",IF(NOTA[[#This Row],[Column3]]=TRUE,NOTA[[#This Row],[QTY/ CTN]],INDEX([3]!db[QTY/ CTN],NOTA[[#This Row],[//DB]])))</f>
        <v>96 LSN</v>
      </c>
      <c r="AX2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Y292" s="25">
        <f ca="1">IF(NOTA[[#This Row],[ID_H]]="","",MATCH(NOTA[[#This Row],[NB NOTA_C_QTY]],[3]!db[NB NOTA_C_QTY+F],0))</f>
        <v>149</v>
      </c>
      <c r="AZ292" s="38">
        <f ca="1">IF(NOTA[[#This Row],[NB NOTA_C_QTY]]="","",ROW()-2)</f>
        <v>290</v>
      </c>
    </row>
    <row r="293" spans="1:52" ht="20.100000000000001" customHeight="1">
      <c r="A2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3" s="25">
        <f ca="1">IF(NOTA[[#This Row],[NAMA BARANG]]="","",INDEX(NOTA[ID],MATCH(,INDIRECT(ADDRESS(ROW(NOTA[ID]),COLUMN(NOTA[ID]))&amp;":"&amp;ADDRESS(ROW(),COLUMN(NOTA[ID]))),-1)))</f>
        <v>57</v>
      </c>
      <c r="E293" s="33"/>
      <c r="H293" s="34"/>
      <c r="L293" s="39" t="s">
        <v>516</v>
      </c>
      <c r="M293" s="27">
        <v>6</v>
      </c>
      <c r="N293" s="25">
        <v>576</v>
      </c>
      <c r="O293" s="25" t="s">
        <v>110</v>
      </c>
      <c r="P293" s="28">
        <v>26500</v>
      </c>
      <c r="Q293" s="29"/>
      <c r="R293" s="35" t="s">
        <v>278</v>
      </c>
      <c r="S293" s="36">
        <v>0.03</v>
      </c>
      <c r="V293" s="37"/>
      <c r="W293" s="32"/>
      <c r="X293" s="37">
        <f>IF(NOTA[[#This Row],[HARGA/ CTN]]="",NOTA[[#This Row],[JUMLAH_H]],NOTA[[#This Row],[HARGA/ CTN]]*IF(NOTA[[#This Row],[C]]="",0,NOTA[[#This Row],[C]]))</f>
        <v>15264000</v>
      </c>
      <c r="Y293" s="37">
        <f>IF(NOTA[[#This Row],[JUMLAH]]="","",NOTA[[#This Row],[JUMLAH]]*NOTA[[#This Row],[DISC 1]])</f>
        <v>457920</v>
      </c>
      <c r="Z293" s="37">
        <f>IF(NOTA[[#This Row],[JUMLAH]]="","",(NOTA[[#This Row],[JUMLAH]]-NOTA[[#This Row],[DISC 1-]])*NOTA[[#This Row],[DISC 2]])</f>
        <v>0</v>
      </c>
      <c r="AA293" s="37">
        <f>IF(NOTA[[#This Row],[JUMLAH]]="","",(NOTA[[#This Row],[JUMLAH]]-NOTA[[#This Row],[DISC 1-]]-NOTA[[#This Row],[DISC 2-]])*NOTA[[#This Row],[DISC 3]])</f>
        <v>0</v>
      </c>
      <c r="AB293" s="37">
        <f>IF(NOTA[[#This Row],[JUMLAH]]="","",NOTA[[#This Row],[DISC 1-]]+NOTA[[#This Row],[DISC 2-]]+NOTA[[#This Row],[DISC 3-]])</f>
        <v>457920</v>
      </c>
      <c r="AC293" s="37">
        <f>IF(NOTA[[#This Row],[JUMLAH]]="","",NOTA[[#This Row],[JUMLAH]]-NOTA[[#This Row],[DISC]])</f>
        <v>14806080</v>
      </c>
      <c r="AD293" s="37"/>
      <c r="AE29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897120</v>
      </c>
      <c r="AF29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29006880</v>
      </c>
      <c r="AG293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293" s="37">
        <f>IF(OR(NOTA[[#This Row],[QTY]]="",NOTA[[#This Row],[HARGA SATUAN]]="",),"",NOTA[[#This Row],[QTY]]*NOTA[[#This Row],[HARGA SATUAN]])</f>
        <v>15264000</v>
      </c>
      <c r="AI293" s="26">
        <f ca="1">IF(NOTA[[#This Row],[ID_H]]="","",INDEX(NOTA[TANGGAL],MATCH(,INDIRECT(ADDRESS(ROW(NOTA[TANGGAL]),COLUMN(NOTA[TANGGAL]))&amp;":"&amp;ADDRESS(ROW(),COLUMN(NOTA[TANGGAL]))),-1)))</f>
        <v>45465</v>
      </c>
      <c r="AJ293" s="26">
        <f ca="1">IF(NOTA[[#This Row],[ID_H]]="","",INDEX(NOTA[TGL.NOTA],MATCH(,INDIRECT(ADDRESS(ROW(NOTA[TGL.NOTA]),COLUMN(NOTA[TGL.NOTA]))&amp;":"&amp;ADDRESS(ROW(),COLUMN(NOTA[TGL.NOTA]))),-1)))</f>
        <v>45462</v>
      </c>
      <c r="AK293" s="26" t="str">
        <f ca="1">IF(NOTA[[#This Row],[ID_H]]="","",INDEX(NOTA[NO.NOTA],MATCH(NOTA[[#This Row],[ID_H]],NOTA[ID_H],0)))</f>
        <v>HM/110/06</v>
      </c>
      <c r="AL293" s="28" t="str">
        <f ca="1">IF(NOTA[[#This Row],[NAMA BARANG]]="","",INDEX(NOTA[SUPPLIER],MATCH(,INDIRECT(ADDRESS(ROW(NOTA[ID]),COLUMN(NOTA[ID]))&amp;":"&amp;ADDRESS(ROW(),COLUMN(NOTA[ID]))),-1)))</f>
        <v>DUTA BUANA</v>
      </c>
      <c r="AM293" s="28" t="str">
        <f ca="1">IF(NOTA[[#This Row],[ID_H]]="","",IF(NOTA[[#This Row],[FAKTUR]]="",INDIRECT(ADDRESS(ROW()-1,COLUMN())),NOTA[[#This Row],[FAKTUR]]))</f>
        <v>UNTANA</v>
      </c>
      <c r="AN293" s="25" t="str">
        <f ca="1">IF(NOTA[[#This Row],[ID]]="","",COUNTIF(NOTA[ID_H],NOTA[[#This Row],[ID_H]]))</f>
        <v/>
      </c>
      <c r="AO293" s="25">
        <f ca="1">IF(NOTA[[#This Row],[TGL.NOTA]]="",IF(NOTA[[#This Row],[SUPPLIER_H]]="","",AO292),MONTH(NOTA[[#This Row],[TGL.NOTA]]))</f>
        <v>6</v>
      </c>
      <c r="AP293" s="25" t="str">
        <f>LOWER(SUBSTITUTE(SUBSTITUTE(SUBSTITUTE(SUBSTITUTE(SUBSTITUTE(SUBSTITUTE(SUBSTITUTE(SUBSTITUTE(SUBSTITUTE(NOTA[[#This Row],[NAMA BARANG]]," ",),".",""),"-",""),"(",""),")",""),",",""),"/",""),"""",""),"+",""))</f>
        <v>ballpengeltf1190br03mmhightech</v>
      </c>
      <c r="AQ2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ballpengeltf1190br03mmhightech25440000,03</v>
      </c>
      <c r="AR2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ballpengeltf1190br03mmhightech25440000,03</v>
      </c>
      <c r="AS2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3" s="25"/>
      <c r="AU293" s="25">
        <f>IF(NOTA[[#This Row],[CONCAT1]]="","",MATCH(NOTA[[#This Row],[CONCAT1]],[3]!db[NB NOTA_C],0))</f>
        <v>143</v>
      </c>
      <c r="AV293" s="25" t="b">
        <f>IF(NOTA[[#This Row],[QTY/ CTN]]="","",TRUE)</f>
        <v>1</v>
      </c>
      <c r="AW293" s="25" t="str">
        <f ca="1">IF(NOTA[[#This Row],[ID_H]]="","",IF(NOTA[[#This Row],[Column3]]=TRUE,NOTA[[#This Row],[QTY/ CTN]],INDEX([3]!db[QTY/ CTN],NOTA[[#This Row],[//DB]])))</f>
        <v>96 LSN</v>
      </c>
      <c r="AX2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Y293" s="25">
        <f ca="1">IF(NOTA[[#This Row],[ID_H]]="","",MATCH(NOTA[[#This Row],[NB NOTA_C_QTY]],[3]!db[NB NOTA_C_QTY+F],0))</f>
        <v>143</v>
      </c>
      <c r="AZ293" s="38">
        <f ca="1">IF(NOTA[[#This Row],[NB NOTA_C_QTY]]="","",ROW()-2)</f>
        <v>291</v>
      </c>
    </row>
    <row r="294" spans="1:52" ht="20.100000000000001" customHeight="1">
      <c r="A2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4" s="25" t="str">
        <f ca="1">IF(NOTA[[#This Row],[NAMA BARANG]]="","",INDEX(NOTA[ID],MATCH(,INDIRECT(ADDRESS(ROW(NOTA[ID]),COLUMN(NOTA[ID]))&amp;":"&amp;ADDRESS(ROW(),COLUMN(NOTA[ID]))),-1)))</f>
        <v/>
      </c>
      <c r="E294" s="33"/>
      <c r="H294" s="34"/>
      <c r="L294" s="39"/>
      <c r="Q294" s="29"/>
      <c r="R294" s="35"/>
      <c r="S294" s="36"/>
      <c r="V294" s="37"/>
      <c r="W294" s="32"/>
      <c r="X294" s="37" t="str">
        <f>IF(NOTA[[#This Row],[HARGA/ CTN]]="",NOTA[[#This Row],[JUMLAH_H]],NOTA[[#This Row],[HARGA/ CTN]]*IF(NOTA[[#This Row],[C]]="",0,NOTA[[#This Row],[C]]))</f>
        <v/>
      </c>
      <c r="Y294" s="37" t="str">
        <f>IF(NOTA[[#This Row],[JUMLAH]]="","",NOTA[[#This Row],[JUMLAH]]*NOTA[[#This Row],[DISC 1]])</f>
        <v/>
      </c>
      <c r="Z294" s="37" t="str">
        <f>IF(NOTA[[#This Row],[JUMLAH]]="","",(NOTA[[#This Row],[JUMLAH]]-NOTA[[#This Row],[DISC 1-]])*NOTA[[#This Row],[DISC 2]])</f>
        <v/>
      </c>
      <c r="AA294" s="37" t="str">
        <f>IF(NOTA[[#This Row],[JUMLAH]]="","",(NOTA[[#This Row],[JUMLAH]]-NOTA[[#This Row],[DISC 1-]]-NOTA[[#This Row],[DISC 2-]])*NOTA[[#This Row],[DISC 3]])</f>
        <v/>
      </c>
      <c r="AB294" s="37" t="str">
        <f>IF(NOTA[[#This Row],[JUMLAH]]="","",NOTA[[#This Row],[DISC 1-]]+NOTA[[#This Row],[DISC 2-]]+NOTA[[#This Row],[DISC 3-]])</f>
        <v/>
      </c>
      <c r="AC294" s="37" t="str">
        <f>IF(NOTA[[#This Row],[JUMLAH]]="","",NOTA[[#This Row],[JUMLAH]]-NOTA[[#This Row],[DISC]])</f>
        <v/>
      </c>
      <c r="AD294" s="37"/>
      <c r="AE2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4" s="37" t="str">
        <f>IF(OR(NOTA[[#This Row],[QTY]]="",NOTA[[#This Row],[HARGA SATUAN]]="",),"",NOTA[[#This Row],[QTY]]*NOTA[[#This Row],[HARGA SATUAN]])</f>
        <v/>
      </c>
      <c r="AI294" s="26" t="str">
        <f ca="1">IF(NOTA[[#This Row],[ID_H]]="","",INDEX(NOTA[TANGGAL],MATCH(,INDIRECT(ADDRESS(ROW(NOTA[TANGGAL]),COLUMN(NOTA[TANGGAL]))&amp;":"&amp;ADDRESS(ROW(),COLUMN(NOTA[TANGGAL]))),-1)))</f>
        <v/>
      </c>
      <c r="AJ294" s="26" t="str">
        <f ca="1">IF(NOTA[[#This Row],[ID_H]]="","",INDEX(NOTA[TGL.NOTA],MATCH(,INDIRECT(ADDRESS(ROW(NOTA[TGL.NOTA]),COLUMN(NOTA[TGL.NOTA]))&amp;":"&amp;ADDRESS(ROW(),COLUMN(NOTA[TGL.NOTA]))),-1)))</f>
        <v/>
      </c>
      <c r="AK294" s="26" t="str">
        <f ca="1">IF(NOTA[[#This Row],[ID_H]]="","",INDEX(NOTA[NO.NOTA],MATCH(NOTA[[#This Row],[ID_H]],NOTA[ID_H],0)))</f>
        <v/>
      </c>
      <c r="AL294" s="28" t="str">
        <f ca="1">IF(NOTA[[#This Row],[NAMA BARANG]]="","",INDEX(NOTA[SUPPLIER],MATCH(,INDIRECT(ADDRESS(ROW(NOTA[ID]),COLUMN(NOTA[ID]))&amp;":"&amp;ADDRESS(ROW(),COLUMN(NOTA[ID]))),-1)))</f>
        <v/>
      </c>
      <c r="AM294" s="28" t="str">
        <f ca="1">IF(NOTA[[#This Row],[ID_H]]="","",IF(NOTA[[#This Row],[FAKTUR]]="",INDIRECT(ADDRESS(ROW()-1,COLUMN())),NOTA[[#This Row],[FAKTUR]]))</f>
        <v/>
      </c>
      <c r="AN294" s="25" t="str">
        <f ca="1">IF(NOTA[[#This Row],[ID]]="","",COUNTIF(NOTA[ID_H],NOTA[[#This Row],[ID_H]]))</f>
        <v/>
      </c>
      <c r="AO294" s="25" t="str">
        <f ca="1">IF(NOTA[[#This Row],[TGL.NOTA]]="",IF(NOTA[[#This Row],[SUPPLIER_H]]="","",AO293),MONTH(NOTA[[#This Row],[TGL.NOTA]]))</f>
        <v/>
      </c>
      <c r="AP2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4" s="25"/>
      <c r="AU294" s="25" t="str">
        <f>IF(NOTA[[#This Row],[CONCAT1]]="","",MATCH(NOTA[[#This Row],[CONCAT1]],[3]!db[NB NOTA_C],0))</f>
        <v/>
      </c>
      <c r="AV294" s="25" t="str">
        <f>IF(NOTA[[#This Row],[QTY/ CTN]]="","",TRUE)</f>
        <v/>
      </c>
      <c r="AW294" s="25" t="str">
        <f ca="1">IF(NOTA[[#This Row],[ID_H]]="","",IF(NOTA[[#This Row],[Column3]]=TRUE,NOTA[[#This Row],[QTY/ CTN]],INDEX([3]!db[QTY/ CTN],NOTA[[#This Row],[//DB]])))</f>
        <v/>
      </c>
      <c r="AX2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4" s="25" t="str">
        <f ca="1">IF(NOTA[[#This Row],[ID_H]]="","",MATCH(NOTA[[#This Row],[NB NOTA_C_QTY]],[3]!db[NB NOTA_C_QTY+F],0))</f>
        <v/>
      </c>
      <c r="AZ294" s="38" t="str">
        <f ca="1">IF(NOTA[[#This Row],[NB NOTA_C_QTY]]="","",ROW()-2)</f>
        <v/>
      </c>
    </row>
    <row r="295" spans="1:52" ht="20.100000000000001" customHeight="1">
      <c r="A2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5" s="25" t="str">
        <f ca="1">IF(NOTA[[#This Row],[NAMA BARANG]]="","",INDEX(NOTA[ID],MATCH(,INDIRECT(ADDRESS(ROW(NOTA[ID]),COLUMN(NOTA[ID]))&amp;":"&amp;ADDRESS(ROW(),COLUMN(NOTA[ID]))),-1)))</f>
        <v/>
      </c>
      <c r="E295" s="33"/>
      <c r="H295" s="34"/>
      <c r="L295" s="39"/>
      <c r="Q295" s="29"/>
      <c r="R295" s="35"/>
      <c r="S295" s="36"/>
      <c r="V295" s="37"/>
      <c r="W295" s="32"/>
      <c r="X295" s="37" t="str">
        <f>IF(NOTA[[#This Row],[HARGA/ CTN]]="",NOTA[[#This Row],[JUMLAH_H]],NOTA[[#This Row],[HARGA/ CTN]]*IF(NOTA[[#This Row],[C]]="",0,NOTA[[#This Row],[C]]))</f>
        <v/>
      </c>
      <c r="Y295" s="37" t="str">
        <f>IF(NOTA[[#This Row],[JUMLAH]]="","",NOTA[[#This Row],[JUMLAH]]*NOTA[[#This Row],[DISC 1]])</f>
        <v/>
      </c>
      <c r="Z295" s="37" t="str">
        <f>IF(NOTA[[#This Row],[JUMLAH]]="","",(NOTA[[#This Row],[JUMLAH]]-NOTA[[#This Row],[DISC 1-]])*NOTA[[#This Row],[DISC 2]])</f>
        <v/>
      </c>
      <c r="AA295" s="37" t="str">
        <f>IF(NOTA[[#This Row],[JUMLAH]]="","",(NOTA[[#This Row],[JUMLAH]]-NOTA[[#This Row],[DISC 1-]]-NOTA[[#This Row],[DISC 2-]])*NOTA[[#This Row],[DISC 3]])</f>
        <v/>
      </c>
      <c r="AB295" s="37" t="str">
        <f>IF(NOTA[[#This Row],[JUMLAH]]="","",NOTA[[#This Row],[DISC 1-]]+NOTA[[#This Row],[DISC 2-]]+NOTA[[#This Row],[DISC 3-]])</f>
        <v/>
      </c>
      <c r="AC295" s="37" t="str">
        <f>IF(NOTA[[#This Row],[JUMLAH]]="","",NOTA[[#This Row],[JUMLAH]]-NOTA[[#This Row],[DISC]])</f>
        <v/>
      </c>
      <c r="AD295" s="37"/>
      <c r="AE2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5" s="37" t="str">
        <f>IF(OR(NOTA[[#This Row],[QTY]]="",NOTA[[#This Row],[HARGA SATUAN]]="",),"",NOTA[[#This Row],[QTY]]*NOTA[[#This Row],[HARGA SATUAN]])</f>
        <v/>
      </c>
      <c r="AI295" s="26" t="str">
        <f ca="1">IF(NOTA[[#This Row],[ID_H]]="","",INDEX(NOTA[TANGGAL],MATCH(,INDIRECT(ADDRESS(ROW(NOTA[TANGGAL]),COLUMN(NOTA[TANGGAL]))&amp;":"&amp;ADDRESS(ROW(),COLUMN(NOTA[TANGGAL]))),-1)))</f>
        <v/>
      </c>
      <c r="AJ295" s="26" t="str">
        <f ca="1">IF(NOTA[[#This Row],[ID_H]]="","",INDEX(NOTA[TGL.NOTA],MATCH(,INDIRECT(ADDRESS(ROW(NOTA[TGL.NOTA]),COLUMN(NOTA[TGL.NOTA]))&amp;":"&amp;ADDRESS(ROW(),COLUMN(NOTA[TGL.NOTA]))),-1)))</f>
        <v/>
      </c>
      <c r="AK295" s="26" t="str">
        <f ca="1">IF(NOTA[[#This Row],[ID_H]]="","",INDEX(NOTA[NO.NOTA],MATCH(NOTA[[#This Row],[ID_H]],NOTA[ID_H],0)))</f>
        <v/>
      </c>
      <c r="AL295" s="28" t="str">
        <f ca="1">IF(NOTA[[#This Row],[NAMA BARANG]]="","",INDEX(NOTA[SUPPLIER],MATCH(,INDIRECT(ADDRESS(ROW(NOTA[ID]),COLUMN(NOTA[ID]))&amp;":"&amp;ADDRESS(ROW(),COLUMN(NOTA[ID]))),-1)))</f>
        <v/>
      </c>
      <c r="AM295" s="28" t="str">
        <f ca="1">IF(NOTA[[#This Row],[ID_H]]="","",IF(NOTA[[#This Row],[FAKTUR]]="",INDIRECT(ADDRESS(ROW()-1,COLUMN())),NOTA[[#This Row],[FAKTUR]]))</f>
        <v/>
      </c>
      <c r="AN295" s="25" t="str">
        <f ca="1">IF(NOTA[[#This Row],[ID]]="","",COUNTIF(NOTA[ID_H],NOTA[[#This Row],[ID_H]]))</f>
        <v/>
      </c>
      <c r="AO295" s="25" t="str">
        <f ca="1">IF(NOTA[[#This Row],[TGL.NOTA]]="",IF(NOTA[[#This Row],[SUPPLIER_H]]="","",AO294),MONTH(NOTA[[#This Row],[TGL.NOTA]]))</f>
        <v/>
      </c>
      <c r="AP2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5" s="25"/>
      <c r="AU295" s="25" t="str">
        <f>IF(NOTA[[#This Row],[CONCAT1]]="","",MATCH(NOTA[[#This Row],[CONCAT1]],[3]!db[NB NOTA_C],0))</f>
        <v/>
      </c>
      <c r="AV295" s="25" t="str">
        <f>IF(NOTA[[#This Row],[QTY/ CTN]]="","",TRUE)</f>
        <v/>
      </c>
      <c r="AW295" s="25" t="str">
        <f ca="1">IF(NOTA[[#This Row],[ID_H]]="","",IF(NOTA[[#This Row],[Column3]]=TRUE,NOTA[[#This Row],[QTY/ CTN]],INDEX([3]!db[QTY/ CTN],NOTA[[#This Row],[//DB]])))</f>
        <v/>
      </c>
      <c r="AX2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5" s="25" t="str">
        <f ca="1">IF(NOTA[[#This Row],[ID_H]]="","",MATCH(NOTA[[#This Row],[NB NOTA_C_QTY]],[3]!db[NB NOTA_C_QTY+F],0))</f>
        <v/>
      </c>
      <c r="AZ295" s="38" t="str">
        <f ca="1">IF(NOTA[[#This Row],[NB NOTA_C_QTY]]="","",ROW()-2)</f>
        <v/>
      </c>
    </row>
    <row r="296" spans="1:52" ht="20.100000000000001" customHeight="1">
      <c r="A2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6" s="25" t="str">
        <f ca="1">IF(NOTA[[#This Row],[NAMA BARANG]]="","",INDEX(NOTA[ID],MATCH(,INDIRECT(ADDRESS(ROW(NOTA[ID]),COLUMN(NOTA[ID]))&amp;":"&amp;ADDRESS(ROW(),COLUMN(NOTA[ID]))),-1)))</f>
        <v/>
      </c>
      <c r="E296" s="33"/>
      <c r="H296" s="34"/>
      <c r="L296" s="39"/>
      <c r="Q296" s="29"/>
      <c r="R296" s="35"/>
      <c r="S296" s="36"/>
      <c r="V296" s="37"/>
      <c r="W296" s="32"/>
      <c r="X296" s="37" t="str">
        <f>IF(NOTA[[#This Row],[HARGA/ CTN]]="",NOTA[[#This Row],[JUMLAH_H]],NOTA[[#This Row],[HARGA/ CTN]]*IF(NOTA[[#This Row],[C]]="",0,NOTA[[#This Row],[C]]))</f>
        <v/>
      </c>
      <c r="Y296" s="37" t="str">
        <f>IF(NOTA[[#This Row],[JUMLAH]]="","",NOTA[[#This Row],[JUMLAH]]*NOTA[[#This Row],[DISC 1]])</f>
        <v/>
      </c>
      <c r="Z296" s="37" t="str">
        <f>IF(NOTA[[#This Row],[JUMLAH]]="","",(NOTA[[#This Row],[JUMLAH]]-NOTA[[#This Row],[DISC 1-]])*NOTA[[#This Row],[DISC 2]])</f>
        <v/>
      </c>
      <c r="AA296" s="37" t="str">
        <f>IF(NOTA[[#This Row],[JUMLAH]]="","",(NOTA[[#This Row],[JUMLAH]]-NOTA[[#This Row],[DISC 1-]]-NOTA[[#This Row],[DISC 2-]])*NOTA[[#This Row],[DISC 3]])</f>
        <v/>
      </c>
      <c r="AB296" s="37" t="str">
        <f>IF(NOTA[[#This Row],[JUMLAH]]="","",NOTA[[#This Row],[DISC 1-]]+NOTA[[#This Row],[DISC 2-]]+NOTA[[#This Row],[DISC 3-]])</f>
        <v/>
      </c>
      <c r="AC296" s="37" t="str">
        <f>IF(NOTA[[#This Row],[JUMLAH]]="","",NOTA[[#This Row],[JUMLAH]]-NOTA[[#This Row],[DISC]])</f>
        <v/>
      </c>
      <c r="AD296" s="37"/>
      <c r="AE2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6" s="37" t="str">
        <f>IF(OR(NOTA[[#This Row],[QTY]]="",NOTA[[#This Row],[HARGA SATUAN]]="",),"",NOTA[[#This Row],[QTY]]*NOTA[[#This Row],[HARGA SATUAN]])</f>
        <v/>
      </c>
      <c r="AI296" s="26" t="str">
        <f ca="1">IF(NOTA[[#This Row],[ID_H]]="","",INDEX(NOTA[TANGGAL],MATCH(,INDIRECT(ADDRESS(ROW(NOTA[TANGGAL]),COLUMN(NOTA[TANGGAL]))&amp;":"&amp;ADDRESS(ROW(),COLUMN(NOTA[TANGGAL]))),-1)))</f>
        <v/>
      </c>
      <c r="AJ296" s="26" t="str">
        <f ca="1">IF(NOTA[[#This Row],[ID_H]]="","",INDEX(NOTA[TGL.NOTA],MATCH(,INDIRECT(ADDRESS(ROW(NOTA[TGL.NOTA]),COLUMN(NOTA[TGL.NOTA]))&amp;":"&amp;ADDRESS(ROW(),COLUMN(NOTA[TGL.NOTA]))),-1)))</f>
        <v/>
      </c>
      <c r="AK296" s="26" t="str">
        <f ca="1">IF(NOTA[[#This Row],[ID_H]]="","",INDEX(NOTA[NO.NOTA],MATCH(NOTA[[#This Row],[ID_H]],NOTA[ID_H],0)))</f>
        <v/>
      </c>
      <c r="AL296" s="28" t="str">
        <f ca="1">IF(NOTA[[#This Row],[NAMA BARANG]]="","",INDEX(NOTA[SUPPLIER],MATCH(,INDIRECT(ADDRESS(ROW(NOTA[ID]),COLUMN(NOTA[ID]))&amp;":"&amp;ADDRESS(ROW(),COLUMN(NOTA[ID]))),-1)))</f>
        <v/>
      </c>
      <c r="AM296" s="28" t="str">
        <f ca="1">IF(NOTA[[#This Row],[ID_H]]="","",IF(NOTA[[#This Row],[FAKTUR]]="",INDIRECT(ADDRESS(ROW()-1,COLUMN())),NOTA[[#This Row],[FAKTUR]]))</f>
        <v/>
      </c>
      <c r="AN296" s="25" t="str">
        <f ca="1">IF(NOTA[[#This Row],[ID]]="","",COUNTIF(NOTA[ID_H],NOTA[[#This Row],[ID_H]]))</f>
        <v/>
      </c>
      <c r="AO296" s="25" t="str">
        <f ca="1">IF(NOTA[[#This Row],[TGL.NOTA]]="",IF(NOTA[[#This Row],[SUPPLIER_H]]="","",AO295),MONTH(NOTA[[#This Row],[TGL.NOTA]]))</f>
        <v/>
      </c>
      <c r="AP2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6" s="25"/>
      <c r="AU296" s="25" t="str">
        <f>IF(NOTA[[#This Row],[CONCAT1]]="","",MATCH(NOTA[[#This Row],[CONCAT1]],[3]!db[NB NOTA_C],0))</f>
        <v/>
      </c>
      <c r="AV296" s="25" t="str">
        <f>IF(NOTA[[#This Row],[QTY/ CTN]]="","",TRUE)</f>
        <v/>
      </c>
      <c r="AW296" s="25" t="str">
        <f ca="1">IF(NOTA[[#This Row],[ID_H]]="","",IF(NOTA[[#This Row],[Column3]]=TRUE,NOTA[[#This Row],[QTY/ CTN]],INDEX([3]!db[QTY/ CTN],NOTA[[#This Row],[//DB]])))</f>
        <v/>
      </c>
      <c r="AX2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6" s="25" t="str">
        <f ca="1">IF(NOTA[[#This Row],[ID_H]]="","",MATCH(NOTA[[#This Row],[NB NOTA_C_QTY]],[3]!db[NB NOTA_C_QTY+F],0))</f>
        <v/>
      </c>
      <c r="AZ296" s="38" t="str">
        <f ca="1">IF(NOTA[[#This Row],[NB NOTA_C_QTY]]="","",ROW()-2)</f>
        <v/>
      </c>
    </row>
    <row r="297" spans="1:52" ht="20.100000000000001" customHeight="1">
      <c r="A2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7" s="25" t="str">
        <f ca="1">IF(NOTA[[#This Row],[NAMA BARANG]]="","",INDEX(NOTA[ID],MATCH(,INDIRECT(ADDRESS(ROW(NOTA[ID]),COLUMN(NOTA[ID]))&amp;":"&amp;ADDRESS(ROW(),COLUMN(NOTA[ID]))),-1)))</f>
        <v/>
      </c>
      <c r="E297" s="33"/>
      <c r="H297" s="34"/>
      <c r="L297" s="39"/>
      <c r="Q297" s="29"/>
      <c r="R297" s="35"/>
      <c r="S297" s="36"/>
      <c r="V297" s="37"/>
      <c r="W297" s="32"/>
      <c r="X297" s="37" t="str">
        <f>IF(NOTA[[#This Row],[HARGA/ CTN]]="",NOTA[[#This Row],[JUMLAH_H]],NOTA[[#This Row],[HARGA/ CTN]]*IF(NOTA[[#This Row],[C]]="",0,NOTA[[#This Row],[C]]))</f>
        <v/>
      </c>
      <c r="Y297" s="37" t="str">
        <f>IF(NOTA[[#This Row],[JUMLAH]]="","",NOTA[[#This Row],[JUMLAH]]*NOTA[[#This Row],[DISC 1]])</f>
        <v/>
      </c>
      <c r="Z297" s="37" t="str">
        <f>IF(NOTA[[#This Row],[JUMLAH]]="","",(NOTA[[#This Row],[JUMLAH]]-NOTA[[#This Row],[DISC 1-]])*NOTA[[#This Row],[DISC 2]])</f>
        <v/>
      </c>
      <c r="AA297" s="37" t="str">
        <f>IF(NOTA[[#This Row],[JUMLAH]]="","",(NOTA[[#This Row],[JUMLAH]]-NOTA[[#This Row],[DISC 1-]]-NOTA[[#This Row],[DISC 2-]])*NOTA[[#This Row],[DISC 3]])</f>
        <v/>
      </c>
      <c r="AB297" s="37" t="str">
        <f>IF(NOTA[[#This Row],[JUMLAH]]="","",NOTA[[#This Row],[DISC 1-]]+NOTA[[#This Row],[DISC 2-]]+NOTA[[#This Row],[DISC 3-]])</f>
        <v/>
      </c>
      <c r="AC297" s="37" t="str">
        <f>IF(NOTA[[#This Row],[JUMLAH]]="","",NOTA[[#This Row],[JUMLAH]]-NOTA[[#This Row],[DISC]])</f>
        <v/>
      </c>
      <c r="AD297" s="37"/>
      <c r="AE2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7" s="37" t="str">
        <f>IF(OR(NOTA[[#This Row],[QTY]]="",NOTA[[#This Row],[HARGA SATUAN]]="",),"",NOTA[[#This Row],[QTY]]*NOTA[[#This Row],[HARGA SATUAN]])</f>
        <v/>
      </c>
      <c r="AI297" s="26" t="str">
        <f ca="1">IF(NOTA[[#This Row],[ID_H]]="","",INDEX(NOTA[TANGGAL],MATCH(,INDIRECT(ADDRESS(ROW(NOTA[TANGGAL]),COLUMN(NOTA[TANGGAL]))&amp;":"&amp;ADDRESS(ROW(),COLUMN(NOTA[TANGGAL]))),-1)))</f>
        <v/>
      </c>
      <c r="AJ297" s="26" t="str">
        <f ca="1">IF(NOTA[[#This Row],[ID_H]]="","",INDEX(NOTA[TGL.NOTA],MATCH(,INDIRECT(ADDRESS(ROW(NOTA[TGL.NOTA]),COLUMN(NOTA[TGL.NOTA]))&amp;":"&amp;ADDRESS(ROW(),COLUMN(NOTA[TGL.NOTA]))),-1)))</f>
        <v/>
      </c>
      <c r="AK297" s="26" t="str">
        <f ca="1">IF(NOTA[[#This Row],[ID_H]]="","",INDEX(NOTA[NO.NOTA],MATCH(NOTA[[#This Row],[ID_H]],NOTA[ID_H],0)))</f>
        <v/>
      </c>
      <c r="AL297" s="28" t="str">
        <f ca="1">IF(NOTA[[#This Row],[NAMA BARANG]]="","",INDEX(NOTA[SUPPLIER],MATCH(,INDIRECT(ADDRESS(ROW(NOTA[ID]),COLUMN(NOTA[ID]))&amp;":"&amp;ADDRESS(ROW(),COLUMN(NOTA[ID]))),-1)))</f>
        <v/>
      </c>
      <c r="AM297" s="28" t="str">
        <f ca="1">IF(NOTA[[#This Row],[ID_H]]="","",IF(NOTA[[#This Row],[FAKTUR]]="",INDIRECT(ADDRESS(ROW()-1,COLUMN())),NOTA[[#This Row],[FAKTUR]]))</f>
        <v/>
      </c>
      <c r="AN297" s="25" t="str">
        <f ca="1">IF(NOTA[[#This Row],[ID]]="","",COUNTIF(NOTA[ID_H],NOTA[[#This Row],[ID_H]]))</f>
        <v/>
      </c>
      <c r="AO297" s="25" t="str">
        <f ca="1">IF(NOTA[[#This Row],[TGL.NOTA]]="",IF(NOTA[[#This Row],[SUPPLIER_H]]="","",AO296),MONTH(NOTA[[#This Row],[TGL.NOTA]]))</f>
        <v/>
      </c>
      <c r="AP2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7" s="25"/>
      <c r="AU297" s="25" t="str">
        <f>IF(NOTA[[#This Row],[CONCAT1]]="","",MATCH(NOTA[[#This Row],[CONCAT1]],[3]!db[NB NOTA_C],0))</f>
        <v/>
      </c>
      <c r="AV297" s="25" t="str">
        <f>IF(NOTA[[#This Row],[QTY/ CTN]]="","",TRUE)</f>
        <v/>
      </c>
      <c r="AW297" s="25" t="str">
        <f ca="1">IF(NOTA[[#This Row],[ID_H]]="","",IF(NOTA[[#This Row],[Column3]]=TRUE,NOTA[[#This Row],[QTY/ CTN]],INDEX([3]!db[QTY/ CTN],NOTA[[#This Row],[//DB]])))</f>
        <v/>
      </c>
      <c r="AX2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7" s="25" t="str">
        <f ca="1">IF(NOTA[[#This Row],[ID_H]]="","",MATCH(NOTA[[#This Row],[NB NOTA_C_QTY]],[3]!db[NB NOTA_C_QTY+F],0))</f>
        <v/>
      </c>
      <c r="AZ297" s="38" t="str">
        <f ca="1">IF(NOTA[[#This Row],[NB NOTA_C_QTY]]="","",ROW()-2)</f>
        <v/>
      </c>
    </row>
    <row r="298" spans="1:52" ht="20.100000000000001" customHeight="1">
      <c r="A2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8" s="25" t="str">
        <f ca="1">IF(NOTA[[#This Row],[NAMA BARANG]]="","",INDEX(NOTA[ID],MATCH(,INDIRECT(ADDRESS(ROW(NOTA[ID]),COLUMN(NOTA[ID]))&amp;":"&amp;ADDRESS(ROW(),COLUMN(NOTA[ID]))),-1)))</f>
        <v/>
      </c>
      <c r="E298" s="33"/>
      <c r="H298" s="34"/>
      <c r="Q298" s="29"/>
      <c r="R298" s="35"/>
      <c r="S298" s="36"/>
      <c r="V298" s="37"/>
      <c r="W298" s="32"/>
      <c r="X298" s="37" t="str">
        <f>IF(NOTA[[#This Row],[HARGA/ CTN]]="",NOTA[[#This Row],[JUMLAH_H]],NOTA[[#This Row],[HARGA/ CTN]]*IF(NOTA[[#This Row],[C]]="",0,NOTA[[#This Row],[C]]))</f>
        <v/>
      </c>
      <c r="Y298" s="37" t="str">
        <f>IF(NOTA[[#This Row],[JUMLAH]]="","",NOTA[[#This Row],[JUMLAH]]*NOTA[[#This Row],[DISC 1]])</f>
        <v/>
      </c>
      <c r="Z298" s="37" t="str">
        <f>IF(NOTA[[#This Row],[JUMLAH]]="","",(NOTA[[#This Row],[JUMLAH]]-NOTA[[#This Row],[DISC 1-]])*NOTA[[#This Row],[DISC 2]])</f>
        <v/>
      </c>
      <c r="AA298" s="37" t="str">
        <f>IF(NOTA[[#This Row],[JUMLAH]]="","",(NOTA[[#This Row],[JUMLAH]]-NOTA[[#This Row],[DISC 1-]]-NOTA[[#This Row],[DISC 2-]])*NOTA[[#This Row],[DISC 3]])</f>
        <v/>
      </c>
      <c r="AB298" s="37" t="str">
        <f>IF(NOTA[[#This Row],[JUMLAH]]="","",NOTA[[#This Row],[DISC 1-]]+NOTA[[#This Row],[DISC 2-]]+NOTA[[#This Row],[DISC 3-]])</f>
        <v/>
      </c>
      <c r="AC298" s="37" t="str">
        <f>IF(NOTA[[#This Row],[JUMLAH]]="","",NOTA[[#This Row],[JUMLAH]]-NOTA[[#This Row],[DISC]])</f>
        <v/>
      </c>
      <c r="AD298" s="37"/>
      <c r="AE2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8" s="37" t="str">
        <f>IF(OR(NOTA[[#This Row],[QTY]]="",NOTA[[#This Row],[HARGA SATUAN]]="",),"",NOTA[[#This Row],[QTY]]*NOTA[[#This Row],[HARGA SATUAN]])</f>
        <v/>
      </c>
      <c r="AI298" s="26" t="str">
        <f ca="1">IF(NOTA[[#This Row],[ID_H]]="","",INDEX(NOTA[TANGGAL],MATCH(,INDIRECT(ADDRESS(ROW(NOTA[TANGGAL]),COLUMN(NOTA[TANGGAL]))&amp;":"&amp;ADDRESS(ROW(),COLUMN(NOTA[TANGGAL]))),-1)))</f>
        <v/>
      </c>
      <c r="AJ298" s="26" t="str">
        <f ca="1">IF(NOTA[[#This Row],[ID_H]]="","",INDEX(NOTA[TGL.NOTA],MATCH(,INDIRECT(ADDRESS(ROW(NOTA[TGL.NOTA]),COLUMN(NOTA[TGL.NOTA]))&amp;":"&amp;ADDRESS(ROW(),COLUMN(NOTA[TGL.NOTA]))),-1)))</f>
        <v/>
      </c>
      <c r="AK298" s="26" t="str">
        <f ca="1">IF(NOTA[[#This Row],[ID_H]]="","",INDEX(NOTA[NO.NOTA],MATCH(NOTA[[#This Row],[ID_H]],NOTA[ID_H],0)))</f>
        <v/>
      </c>
      <c r="AL298" s="28" t="str">
        <f ca="1">IF(NOTA[[#This Row],[NAMA BARANG]]="","",INDEX(NOTA[SUPPLIER],MATCH(,INDIRECT(ADDRESS(ROW(NOTA[ID]),COLUMN(NOTA[ID]))&amp;":"&amp;ADDRESS(ROW(),COLUMN(NOTA[ID]))),-1)))</f>
        <v/>
      </c>
      <c r="AM298" s="28" t="str">
        <f ca="1">IF(NOTA[[#This Row],[ID_H]]="","",IF(NOTA[[#This Row],[FAKTUR]]="",INDIRECT(ADDRESS(ROW()-1,COLUMN())),NOTA[[#This Row],[FAKTUR]]))</f>
        <v/>
      </c>
      <c r="AN298" s="25" t="str">
        <f ca="1">IF(NOTA[[#This Row],[ID]]="","",COUNTIF(NOTA[ID_H],NOTA[[#This Row],[ID_H]]))</f>
        <v/>
      </c>
      <c r="AO298" s="25" t="str">
        <f ca="1">IF(NOTA[[#This Row],[TGL.NOTA]]="",IF(NOTA[[#This Row],[SUPPLIER_H]]="","",AO297),MONTH(NOTA[[#This Row],[TGL.NOTA]]))</f>
        <v/>
      </c>
      <c r="AP2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8" s="25"/>
      <c r="AU298" s="25" t="str">
        <f>IF(NOTA[[#This Row],[CONCAT1]]="","",MATCH(NOTA[[#This Row],[CONCAT1]],[3]!db[NB NOTA_C],0))</f>
        <v/>
      </c>
      <c r="AV298" s="25" t="str">
        <f>IF(NOTA[[#This Row],[QTY/ CTN]]="","",TRUE)</f>
        <v/>
      </c>
      <c r="AW298" s="25" t="str">
        <f ca="1">IF(NOTA[[#This Row],[ID_H]]="","",IF(NOTA[[#This Row],[Column3]]=TRUE,NOTA[[#This Row],[QTY/ CTN]],INDEX([3]!db[QTY/ CTN],NOTA[[#This Row],[//DB]])))</f>
        <v/>
      </c>
      <c r="AX2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8" s="25" t="str">
        <f ca="1">IF(NOTA[[#This Row],[ID_H]]="","",MATCH(NOTA[[#This Row],[NB NOTA_C_QTY]],[3]!db[NB NOTA_C_QTY+F],0))</f>
        <v/>
      </c>
      <c r="AZ298" s="38" t="str">
        <f ca="1">IF(NOTA[[#This Row],[NB NOTA_C_QTY]]="","",ROW()-2)</f>
        <v/>
      </c>
    </row>
    <row r="299" spans="1:52" ht="20.100000000000001" customHeight="1">
      <c r="A2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9" s="25" t="str">
        <f ca="1">IF(NOTA[[#This Row],[NAMA BARANG]]="","",INDEX(NOTA[ID],MATCH(,INDIRECT(ADDRESS(ROW(NOTA[ID]),COLUMN(NOTA[ID]))&amp;":"&amp;ADDRESS(ROW(),COLUMN(NOTA[ID]))),-1)))</f>
        <v/>
      </c>
      <c r="E299" s="33"/>
      <c r="H299" s="34"/>
      <c r="L299" s="39"/>
      <c r="Q299" s="29"/>
      <c r="R299" s="35"/>
      <c r="S299" s="36"/>
      <c r="V299" s="37"/>
      <c r="W299" s="32"/>
      <c r="X299" s="37" t="str">
        <f>IF(NOTA[[#This Row],[HARGA/ CTN]]="",NOTA[[#This Row],[JUMLAH_H]],NOTA[[#This Row],[HARGA/ CTN]]*IF(NOTA[[#This Row],[C]]="",0,NOTA[[#This Row],[C]]))</f>
        <v/>
      </c>
      <c r="Y299" s="37" t="str">
        <f>IF(NOTA[[#This Row],[JUMLAH]]="","",NOTA[[#This Row],[JUMLAH]]*NOTA[[#This Row],[DISC 1]])</f>
        <v/>
      </c>
      <c r="Z299" s="37" t="str">
        <f>IF(NOTA[[#This Row],[JUMLAH]]="","",(NOTA[[#This Row],[JUMLAH]]-NOTA[[#This Row],[DISC 1-]])*NOTA[[#This Row],[DISC 2]])</f>
        <v/>
      </c>
      <c r="AA299" s="37" t="str">
        <f>IF(NOTA[[#This Row],[JUMLAH]]="","",(NOTA[[#This Row],[JUMLAH]]-NOTA[[#This Row],[DISC 1-]]-NOTA[[#This Row],[DISC 2-]])*NOTA[[#This Row],[DISC 3]])</f>
        <v/>
      </c>
      <c r="AB299" s="37" t="str">
        <f>IF(NOTA[[#This Row],[JUMLAH]]="","",NOTA[[#This Row],[DISC 1-]]+NOTA[[#This Row],[DISC 2-]]+NOTA[[#This Row],[DISC 3-]])</f>
        <v/>
      </c>
      <c r="AC299" s="37" t="str">
        <f>IF(NOTA[[#This Row],[JUMLAH]]="","",NOTA[[#This Row],[JUMLAH]]-NOTA[[#This Row],[DISC]])</f>
        <v/>
      </c>
      <c r="AD299" s="37"/>
      <c r="AE2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9" s="37" t="str">
        <f>IF(OR(NOTA[[#This Row],[QTY]]="",NOTA[[#This Row],[HARGA SATUAN]]="",),"",NOTA[[#This Row],[QTY]]*NOTA[[#This Row],[HARGA SATUAN]])</f>
        <v/>
      </c>
      <c r="AI299" s="26" t="str">
        <f ca="1">IF(NOTA[[#This Row],[ID_H]]="","",INDEX(NOTA[TANGGAL],MATCH(,INDIRECT(ADDRESS(ROW(NOTA[TANGGAL]),COLUMN(NOTA[TANGGAL]))&amp;":"&amp;ADDRESS(ROW(),COLUMN(NOTA[TANGGAL]))),-1)))</f>
        <v/>
      </c>
      <c r="AJ299" s="26" t="str">
        <f ca="1">IF(NOTA[[#This Row],[ID_H]]="","",INDEX(NOTA[TGL.NOTA],MATCH(,INDIRECT(ADDRESS(ROW(NOTA[TGL.NOTA]),COLUMN(NOTA[TGL.NOTA]))&amp;":"&amp;ADDRESS(ROW(),COLUMN(NOTA[TGL.NOTA]))),-1)))</f>
        <v/>
      </c>
      <c r="AK299" s="26" t="str">
        <f ca="1">IF(NOTA[[#This Row],[ID_H]]="","",INDEX(NOTA[NO.NOTA],MATCH(NOTA[[#This Row],[ID_H]],NOTA[ID_H],0)))</f>
        <v/>
      </c>
      <c r="AL299" s="28" t="str">
        <f ca="1">IF(NOTA[[#This Row],[NAMA BARANG]]="","",INDEX(NOTA[SUPPLIER],MATCH(,INDIRECT(ADDRESS(ROW(NOTA[ID]),COLUMN(NOTA[ID]))&amp;":"&amp;ADDRESS(ROW(),COLUMN(NOTA[ID]))),-1)))</f>
        <v/>
      </c>
      <c r="AM299" s="28" t="str">
        <f ca="1">IF(NOTA[[#This Row],[ID_H]]="","",IF(NOTA[[#This Row],[FAKTUR]]="",INDIRECT(ADDRESS(ROW()-1,COLUMN())),NOTA[[#This Row],[FAKTUR]]))</f>
        <v/>
      </c>
      <c r="AN299" s="25" t="str">
        <f ca="1">IF(NOTA[[#This Row],[ID]]="","",COUNTIF(NOTA[ID_H],NOTA[[#This Row],[ID_H]]))</f>
        <v/>
      </c>
      <c r="AO299" s="25" t="str">
        <f ca="1">IF(NOTA[[#This Row],[TGL.NOTA]]="",IF(NOTA[[#This Row],[SUPPLIER_H]]="","",AO298),MONTH(NOTA[[#This Row],[TGL.NOTA]]))</f>
        <v/>
      </c>
      <c r="AP2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9" s="25"/>
      <c r="AU299" s="25" t="str">
        <f>IF(NOTA[[#This Row],[CONCAT1]]="","",MATCH(NOTA[[#This Row],[CONCAT1]],[3]!db[NB NOTA_C],0))</f>
        <v/>
      </c>
      <c r="AV299" s="25" t="str">
        <f>IF(NOTA[[#This Row],[QTY/ CTN]]="","",TRUE)</f>
        <v/>
      </c>
      <c r="AW299" s="25" t="str">
        <f ca="1">IF(NOTA[[#This Row],[ID_H]]="","",IF(NOTA[[#This Row],[Column3]]=TRUE,NOTA[[#This Row],[QTY/ CTN]],INDEX([3]!db[QTY/ CTN],NOTA[[#This Row],[//DB]])))</f>
        <v/>
      </c>
      <c r="AX2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9" s="25" t="str">
        <f ca="1">IF(NOTA[[#This Row],[ID_H]]="","",MATCH(NOTA[[#This Row],[NB NOTA_C_QTY]],[3]!db[NB NOTA_C_QTY+F],0))</f>
        <v/>
      </c>
      <c r="AZ299" s="38" t="str">
        <f ca="1">IF(NOTA[[#This Row],[NB NOTA_C_QTY]]="","",ROW()-2)</f>
        <v/>
      </c>
    </row>
    <row r="300" spans="1:52" ht="20.100000000000001" customHeight="1">
      <c r="A3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0" s="25" t="str">
        <f ca="1">IF(NOTA[[#This Row],[NAMA BARANG]]="","",INDEX(NOTA[ID],MATCH(,INDIRECT(ADDRESS(ROW(NOTA[ID]),COLUMN(NOTA[ID]))&amp;":"&amp;ADDRESS(ROW(),COLUMN(NOTA[ID]))),-1)))</f>
        <v/>
      </c>
      <c r="E300" s="33"/>
      <c r="H300" s="34"/>
      <c r="Q300" s="29"/>
      <c r="R300" s="35"/>
      <c r="S300" s="36"/>
      <c r="V300" s="37"/>
      <c r="W300" s="32"/>
      <c r="X300" s="37" t="str">
        <f>IF(NOTA[[#This Row],[HARGA/ CTN]]="",NOTA[[#This Row],[JUMLAH_H]],NOTA[[#This Row],[HARGA/ CTN]]*IF(NOTA[[#This Row],[C]]="",0,NOTA[[#This Row],[C]]))</f>
        <v/>
      </c>
      <c r="Y300" s="37" t="str">
        <f>IF(NOTA[[#This Row],[JUMLAH]]="","",NOTA[[#This Row],[JUMLAH]]*NOTA[[#This Row],[DISC 1]])</f>
        <v/>
      </c>
      <c r="Z300" s="37" t="str">
        <f>IF(NOTA[[#This Row],[JUMLAH]]="","",(NOTA[[#This Row],[JUMLAH]]-NOTA[[#This Row],[DISC 1-]])*NOTA[[#This Row],[DISC 2]])</f>
        <v/>
      </c>
      <c r="AA300" s="37" t="str">
        <f>IF(NOTA[[#This Row],[JUMLAH]]="","",(NOTA[[#This Row],[JUMLAH]]-NOTA[[#This Row],[DISC 1-]]-NOTA[[#This Row],[DISC 2-]])*NOTA[[#This Row],[DISC 3]])</f>
        <v/>
      </c>
      <c r="AB300" s="37" t="str">
        <f>IF(NOTA[[#This Row],[JUMLAH]]="","",NOTA[[#This Row],[DISC 1-]]+NOTA[[#This Row],[DISC 2-]]+NOTA[[#This Row],[DISC 3-]])</f>
        <v/>
      </c>
      <c r="AC300" s="37" t="str">
        <f>IF(NOTA[[#This Row],[JUMLAH]]="","",NOTA[[#This Row],[JUMLAH]]-NOTA[[#This Row],[DISC]])</f>
        <v/>
      </c>
      <c r="AD300" s="37"/>
      <c r="AE3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0" s="37" t="str">
        <f>IF(OR(NOTA[[#This Row],[QTY]]="",NOTA[[#This Row],[HARGA SATUAN]]="",),"",NOTA[[#This Row],[QTY]]*NOTA[[#This Row],[HARGA SATUAN]])</f>
        <v/>
      </c>
      <c r="AI300" s="26" t="str">
        <f ca="1">IF(NOTA[[#This Row],[ID_H]]="","",INDEX(NOTA[TANGGAL],MATCH(,INDIRECT(ADDRESS(ROW(NOTA[TANGGAL]),COLUMN(NOTA[TANGGAL]))&amp;":"&amp;ADDRESS(ROW(),COLUMN(NOTA[TANGGAL]))),-1)))</f>
        <v/>
      </c>
      <c r="AJ300" s="26" t="str">
        <f ca="1">IF(NOTA[[#This Row],[ID_H]]="","",INDEX(NOTA[TGL.NOTA],MATCH(,INDIRECT(ADDRESS(ROW(NOTA[TGL.NOTA]),COLUMN(NOTA[TGL.NOTA]))&amp;":"&amp;ADDRESS(ROW(),COLUMN(NOTA[TGL.NOTA]))),-1)))</f>
        <v/>
      </c>
      <c r="AK300" s="26" t="str">
        <f ca="1">IF(NOTA[[#This Row],[ID_H]]="","",INDEX(NOTA[NO.NOTA],MATCH(NOTA[[#This Row],[ID_H]],NOTA[ID_H],0)))</f>
        <v/>
      </c>
      <c r="AL300" s="28" t="str">
        <f ca="1">IF(NOTA[[#This Row],[NAMA BARANG]]="","",INDEX(NOTA[SUPPLIER],MATCH(,INDIRECT(ADDRESS(ROW(NOTA[ID]),COLUMN(NOTA[ID]))&amp;":"&amp;ADDRESS(ROW(),COLUMN(NOTA[ID]))),-1)))</f>
        <v/>
      </c>
      <c r="AM300" s="28" t="str">
        <f ca="1">IF(NOTA[[#This Row],[ID_H]]="","",IF(NOTA[[#This Row],[FAKTUR]]="",INDIRECT(ADDRESS(ROW()-1,COLUMN())),NOTA[[#This Row],[FAKTUR]]))</f>
        <v/>
      </c>
      <c r="AN300" s="25" t="str">
        <f ca="1">IF(NOTA[[#This Row],[ID]]="","",COUNTIF(NOTA[ID_H],NOTA[[#This Row],[ID_H]]))</f>
        <v/>
      </c>
      <c r="AO300" s="25" t="str">
        <f ca="1">IF(NOTA[[#This Row],[TGL.NOTA]]="",IF(NOTA[[#This Row],[SUPPLIER_H]]="","",AO299),MONTH(NOTA[[#This Row],[TGL.NOTA]]))</f>
        <v/>
      </c>
      <c r="AP3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0" s="25"/>
      <c r="AU300" s="25" t="str">
        <f>IF(NOTA[[#This Row],[CONCAT1]]="","",MATCH(NOTA[[#This Row],[CONCAT1]],[3]!db[NB NOTA_C],0))</f>
        <v/>
      </c>
      <c r="AV300" s="25" t="str">
        <f>IF(NOTA[[#This Row],[QTY/ CTN]]="","",TRUE)</f>
        <v/>
      </c>
      <c r="AW300" s="25" t="str">
        <f ca="1">IF(NOTA[[#This Row],[ID_H]]="","",IF(NOTA[[#This Row],[Column3]]=TRUE,NOTA[[#This Row],[QTY/ CTN]],INDEX([3]!db[QTY/ CTN],NOTA[[#This Row],[//DB]])))</f>
        <v/>
      </c>
      <c r="AX3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0" s="25" t="str">
        <f ca="1">IF(NOTA[[#This Row],[ID_H]]="","",MATCH(NOTA[[#This Row],[NB NOTA_C_QTY]],[3]!db[NB NOTA_C_QTY+F],0))</f>
        <v/>
      </c>
      <c r="AZ300" s="38" t="str">
        <f ca="1">IF(NOTA[[#This Row],[NB NOTA_C_QTY]]="","",ROW()-2)</f>
        <v/>
      </c>
    </row>
    <row r="301" spans="1:52" ht="20.100000000000001" customHeight="1">
      <c r="A3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1" s="25" t="str">
        <f ca="1">IF(NOTA[[#This Row],[NAMA BARANG]]="","",INDEX(NOTA[ID],MATCH(,INDIRECT(ADDRESS(ROW(NOTA[ID]),COLUMN(NOTA[ID]))&amp;":"&amp;ADDRESS(ROW(),COLUMN(NOTA[ID]))),-1)))</f>
        <v/>
      </c>
      <c r="E301" s="33"/>
      <c r="H301" s="34"/>
      <c r="L301" s="39"/>
      <c r="Q301" s="29"/>
      <c r="R301" s="35"/>
      <c r="S301" s="36"/>
      <c r="V301" s="37"/>
      <c r="W301" s="32"/>
      <c r="X301" s="37" t="str">
        <f>IF(NOTA[[#This Row],[HARGA/ CTN]]="",NOTA[[#This Row],[JUMLAH_H]],NOTA[[#This Row],[HARGA/ CTN]]*IF(NOTA[[#This Row],[C]]="",0,NOTA[[#This Row],[C]]))</f>
        <v/>
      </c>
      <c r="Y301" s="37" t="str">
        <f>IF(NOTA[[#This Row],[JUMLAH]]="","",NOTA[[#This Row],[JUMLAH]]*NOTA[[#This Row],[DISC 1]])</f>
        <v/>
      </c>
      <c r="Z301" s="37" t="str">
        <f>IF(NOTA[[#This Row],[JUMLAH]]="","",(NOTA[[#This Row],[JUMLAH]]-NOTA[[#This Row],[DISC 1-]])*NOTA[[#This Row],[DISC 2]])</f>
        <v/>
      </c>
      <c r="AA301" s="37" t="str">
        <f>IF(NOTA[[#This Row],[JUMLAH]]="","",(NOTA[[#This Row],[JUMLAH]]-NOTA[[#This Row],[DISC 1-]]-NOTA[[#This Row],[DISC 2-]])*NOTA[[#This Row],[DISC 3]])</f>
        <v/>
      </c>
      <c r="AB301" s="37" t="str">
        <f>IF(NOTA[[#This Row],[JUMLAH]]="","",NOTA[[#This Row],[DISC 1-]]+NOTA[[#This Row],[DISC 2-]]+NOTA[[#This Row],[DISC 3-]])</f>
        <v/>
      </c>
      <c r="AC301" s="37" t="str">
        <f>IF(NOTA[[#This Row],[JUMLAH]]="","",NOTA[[#This Row],[JUMLAH]]-NOTA[[#This Row],[DISC]])</f>
        <v/>
      </c>
      <c r="AD301" s="37"/>
      <c r="AE3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1" s="37" t="str">
        <f>IF(OR(NOTA[[#This Row],[QTY]]="",NOTA[[#This Row],[HARGA SATUAN]]="",),"",NOTA[[#This Row],[QTY]]*NOTA[[#This Row],[HARGA SATUAN]])</f>
        <v/>
      </c>
      <c r="AI301" s="26" t="str">
        <f ca="1">IF(NOTA[[#This Row],[ID_H]]="","",INDEX(NOTA[TANGGAL],MATCH(,INDIRECT(ADDRESS(ROW(NOTA[TANGGAL]),COLUMN(NOTA[TANGGAL]))&amp;":"&amp;ADDRESS(ROW(),COLUMN(NOTA[TANGGAL]))),-1)))</f>
        <v/>
      </c>
      <c r="AJ301" s="26" t="str">
        <f ca="1">IF(NOTA[[#This Row],[ID_H]]="","",INDEX(NOTA[TGL.NOTA],MATCH(,INDIRECT(ADDRESS(ROW(NOTA[TGL.NOTA]),COLUMN(NOTA[TGL.NOTA]))&amp;":"&amp;ADDRESS(ROW(),COLUMN(NOTA[TGL.NOTA]))),-1)))</f>
        <v/>
      </c>
      <c r="AK301" s="26" t="str">
        <f ca="1">IF(NOTA[[#This Row],[ID_H]]="","",INDEX(NOTA[NO.NOTA],MATCH(NOTA[[#This Row],[ID_H]],NOTA[ID_H],0)))</f>
        <v/>
      </c>
      <c r="AL301" s="28" t="str">
        <f ca="1">IF(NOTA[[#This Row],[NAMA BARANG]]="","",INDEX(NOTA[SUPPLIER],MATCH(,INDIRECT(ADDRESS(ROW(NOTA[ID]),COLUMN(NOTA[ID]))&amp;":"&amp;ADDRESS(ROW(),COLUMN(NOTA[ID]))),-1)))</f>
        <v/>
      </c>
      <c r="AM301" s="28" t="str">
        <f ca="1">IF(NOTA[[#This Row],[ID_H]]="","",IF(NOTA[[#This Row],[FAKTUR]]="",INDIRECT(ADDRESS(ROW()-1,COLUMN())),NOTA[[#This Row],[FAKTUR]]))</f>
        <v/>
      </c>
      <c r="AN301" s="25" t="str">
        <f ca="1">IF(NOTA[[#This Row],[ID]]="","",COUNTIF(NOTA[ID_H],NOTA[[#This Row],[ID_H]]))</f>
        <v/>
      </c>
      <c r="AO301" s="25" t="str">
        <f ca="1">IF(NOTA[[#This Row],[TGL.NOTA]]="",IF(NOTA[[#This Row],[SUPPLIER_H]]="","",AO300),MONTH(NOTA[[#This Row],[TGL.NOTA]]))</f>
        <v/>
      </c>
      <c r="AP3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1" s="25"/>
      <c r="AU301" s="25" t="str">
        <f>IF(NOTA[[#This Row],[CONCAT1]]="","",MATCH(NOTA[[#This Row],[CONCAT1]],[3]!db[NB NOTA_C],0))</f>
        <v/>
      </c>
      <c r="AV301" s="25" t="str">
        <f>IF(NOTA[[#This Row],[QTY/ CTN]]="","",TRUE)</f>
        <v/>
      </c>
      <c r="AW301" s="25" t="str">
        <f ca="1">IF(NOTA[[#This Row],[ID_H]]="","",IF(NOTA[[#This Row],[Column3]]=TRUE,NOTA[[#This Row],[QTY/ CTN]],INDEX([3]!db[QTY/ CTN],NOTA[[#This Row],[//DB]])))</f>
        <v/>
      </c>
      <c r="AX3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1" s="25" t="str">
        <f ca="1">IF(NOTA[[#This Row],[ID_H]]="","",MATCH(NOTA[[#This Row],[NB NOTA_C_QTY]],[3]!db[NB NOTA_C_QTY+F],0))</f>
        <v/>
      </c>
      <c r="AZ301" s="38" t="str">
        <f ca="1">IF(NOTA[[#This Row],[NB NOTA_C_QTY]]="","",ROW()-2)</f>
        <v/>
      </c>
    </row>
    <row r="302" spans="1:52" ht="20.100000000000001" customHeight="1">
      <c r="A3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2" s="25" t="str">
        <f ca="1">IF(NOTA[[#This Row],[NAMA BARANG]]="","",INDEX(NOTA[ID],MATCH(,INDIRECT(ADDRESS(ROW(NOTA[ID]),COLUMN(NOTA[ID]))&amp;":"&amp;ADDRESS(ROW(),COLUMN(NOTA[ID]))),-1)))</f>
        <v/>
      </c>
      <c r="E302" s="33"/>
      <c r="H302" s="34"/>
      <c r="L302" s="39"/>
      <c r="Q302" s="29"/>
      <c r="R302" s="35"/>
      <c r="S302" s="36"/>
      <c r="V302" s="37"/>
      <c r="W302" s="32"/>
      <c r="X302" s="37" t="str">
        <f>IF(NOTA[[#This Row],[HARGA/ CTN]]="",NOTA[[#This Row],[JUMLAH_H]],NOTA[[#This Row],[HARGA/ CTN]]*IF(NOTA[[#This Row],[C]]="",0,NOTA[[#This Row],[C]]))</f>
        <v/>
      </c>
      <c r="Y302" s="37" t="str">
        <f>IF(NOTA[[#This Row],[JUMLAH]]="","",NOTA[[#This Row],[JUMLAH]]*NOTA[[#This Row],[DISC 1]])</f>
        <v/>
      </c>
      <c r="Z302" s="37" t="str">
        <f>IF(NOTA[[#This Row],[JUMLAH]]="","",(NOTA[[#This Row],[JUMLAH]]-NOTA[[#This Row],[DISC 1-]])*NOTA[[#This Row],[DISC 2]])</f>
        <v/>
      </c>
      <c r="AA302" s="37" t="str">
        <f>IF(NOTA[[#This Row],[JUMLAH]]="","",(NOTA[[#This Row],[JUMLAH]]-NOTA[[#This Row],[DISC 1-]]-NOTA[[#This Row],[DISC 2-]])*NOTA[[#This Row],[DISC 3]])</f>
        <v/>
      </c>
      <c r="AB302" s="37" t="str">
        <f>IF(NOTA[[#This Row],[JUMLAH]]="","",NOTA[[#This Row],[DISC 1-]]+NOTA[[#This Row],[DISC 2-]]+NOTA[[#This Row],[DISC 3-]])</f>
        <v/>
      </c>
      <c r="AC302" s="37" t="str">
        <f>IF(NOTA[[#This Row],[JUMLAH]]="","",NOTA[[#This Row],[JUMLAH]]-NOTA[[#This Row],[DISC]])</f>
        <v/>
      </c>
      <c r="AD302" s="37"/>
      <c r="AE3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2" s="37" t="str">
        <f>IF(OR(NOTA[[#This Row],[QTY]]="",NOTA[[#This Row],[HARGA SATUAN]]="",),"",NOTA[[#This Row],[QTY]]*NOTA[[#This Row],[HARGA SATUAN]])</f>
        <v/>
      </c>
      <c r="AI302" s="26" t="str">
        <f ca="1">IF(NOTA[[#This Row],[ID_H]]="","",INDEX(NOTA[TANGGAL],MATCH(,INDIRECT(ADDRESS(ROW(NOTA[TANGGAL]),COLUMN(NOTA[TANGGAL]))&amp;":"&amp;ADDRESS(ROW(),COLUMN(NOTA[TANGGAL]))),-1)))</f>
        <v/>
      </c>
      <c r="AJ302" s="26" t="str">
        <f ca="1">IF(NOTA[[#This Row],[ID_H]]="","",INDEX(NOTA[TGL.NOTA],MATCH(,INDIRECT(ADDRESS(ROW(NOTA[TGL.NOTA]),COLUMN(NOTA[TGL.NOTA]))&amp;":"&amp;ADDRESS(ROW(),COLUMN(NOTA[TGL.NOTA]))),-1)))</f>
        <v/>
      </c>
      <c r="AK302" s="26" t="str">
        <f ca="1">IF(NOTA[[#This Row],[ID_H]]="","",INDEX(NOTA[NO.NOTA],MATCH(NOTA[[#This Row],[ID_H]],NOTA[ID_H],0)))</f>
        <v/>
      </c>
      <c r="AL302" s="28" t="str">
        <f ca="1">IF(NOTA[[#This Row],[NAMA BARANG]]="","",INDEX(NOTA[SUPPLIER],MATCH(,INDIRECT(ADDRESS(ROW(NOTA[ID]),COLUMN(NOTA[ID]))&amp;":"&amp;ADDRESS(ROW(),COLUMN(NOTA[ID]))),-1)))</f>
        <v/>
      </c>
      <c r="AM302" s="28" t="str">
        <f ca="1">IF(NOTA[[#This Row],[ID_H]]="","",IF(NOTA[[#This Row],[FAKTUR]]="",INDIRECT(ADDRESS(ROW()-1,COLUMN())),NOTA[[#This Row],[FAKTUR]]))</f>
        <v/>
      </c>
      <c r="AN302" s="25" t="str">
        <f ca="1">IF(NOTA[[#This Row],[ID]]="","",COUNTIF(NOTA[ID_H],NOTA[[#This Row],[ID_H]]))</f>
        <v/>
      </c>
      <c r="AO302" s="25" t="str">
        <f ca="1">IF(NOTA[[#This Row],[TGL.NOTA]]="",IF(NOTA[[#This Row],[SUPPLIER_H]]="","",AO301),MONTH(NOTA[[#This Row],[TGL.NOTA]]))</f>
        <v/>
      </c>
      <c r="AP3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2" s="25"/>
      <c r="AU302" s="25" t="str">
        <f>IF(NOTA[[#This Row],[CONCAT1]]="","",MATCH(NOTA[[#This Row],[CONCAT1]],[3]!db[NB NOTA_C],0))</f>
        <v/>
      </c>
      <c r="AV302" s="25" t="str">
        <f>IF(NOTA[[#This Row],[QTY/ CTN]]="","",TRUE)</f>
        <v/>
      </c>
      <c r="AW302" s="25" t="str">
        <f ca="1">IF(NOTA[[#This Row],[ID_H]]="","",IF(NOTA[[#This Row],[Column3]]=TRUE,NOTA[[#This Row],[QTY/ CTN]],INDEX([3]!db[QTY/ CTN],NOTA[[#This Row],[//DB]])))</f>
        <v/>
      </c>
      <c r="AX3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2" s="25" t="str">
        <f ca="1">IF(NOTA[[#This Row],[ID_H]]="","",MATCH(NOTA[[#This Row],[NB NOTA_C_QTY]],[3]!db[NB NOTA_C_QTY+F],0))</f>
        <v/>
      </c>
      <c r="AZ302" s="38" t="str">
        <f ca="1">IF(NOTA[[#This Row],[NB NOTA_C_QTY]]="","",ROW()-2)</f>
        <v/>
      </c>
    </row>
    <row r="303" spans="1:52" ht="20.100000000000001" customHeight="1">
      <c r="A3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3" s="25" t="str">
        <f ca="1">IF(NOTA[[#This Row],[NAMA BARANG]]="","",INDEX(NOTA[ID],MATCH(,INDIRECT(ADDRESS(ROW(NOTA[ID]),COLUMN(NOTA[ID]))&amp;":"&amp;ADDRESS(ROW(),COLUMN(NOTA[ID]))),-1)))</f>
        <v/>
      </c>
      <c r="E303" s="33"/>
      <c r="H303" s="34"/>
      <c r="L303" s="39"/>
      <c r="Q303" s="29"/>
      <c r="R303" s="35"/>
      <c r="S303" s="36"/>
      <c r="V303" s="37"/>
      <c r="W303" s="32"/>
      <c r="X303" s="37" t="str">
        <f>IF(NOTA[[#This Row],[HARGA/ CTN]]="",NOTA[[#This Row],[JUMLAH_H]],NOTA[[#This Row],[HARGA/ CTN]]*IF(NOTA[[#This Row],[C]]="",0,NOTA[[#This Row],[C]]))</f>
        <v/>
      </c>
      <c r="Y303" s="37" t="str">
        <f>IF(NOTA[[#This Row],[JUMLAH]]="","",NOTA[[#This Row],[JUMLAH]]*NOTA[[#This Row],[DISC 1]])</f>
        <v/>
      </c>
      <c r="Z303" s="37" t="str">
        <f>IF(NOTA[[#This Row],[JUMLAH]]="","",(NOTA[[#This Row],[JUMLAH]]-NOTA[[#This Row],[DISC 1-]])*NOTA[[#This Row],[DISC 2]])</f>
        <v/>
      </c>
      <c r="AA303" s="37" t="str">
        <f>IF(NOTA[[#This Row],[JUMLAH]]="","",(NOTA[[#This Row],[JUMLAH]]-NOTA[[#This Row],[DISC 1-]]-NOTA[[#This Row],[DISC 2-]])*NOTA[[#This Row],[DISC 3]])</f>
        <v/>
      </c>
      <c r="AB303" s="37" t="str">
        <f>IF(NOTA[[#This Row],[JUMLAH]]="","",NOTA[[#This Row],[DISC 1-]]+NOTA[[#This Row],[DISC 2-]]+NOTA[[#This Row],[DISC 3-]])</f>
        <v/>
      </c>
      <c r="AC303" s="37" t="str">
        <f>IF(NOTA[[#This Row],[JUMLAH]]="","",NOTA[[#This Row],[JUMLAH]]-NOTA[[#This Row],[DISC]])</f>
        <v/>
      </c>
      <c r="AD303" s="37"/>
      <c r="AE3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3" s="37" t="str">
        <f>IF(OR(NOTA[[#This Row],[QTY]]="",NOTA[[#This Row],[HARGA SATUAN]]="",),"",NOTA[[#This Row],[QTY]]*NOTA[[#This Row],[HARGA SATUAN]])</f>
        <v/>
      </c>
      <c r="AI303" s="26" t="str">
        <f ca="1">IF(NOTA[[#This Row],[ID_H]]="","",INDEX(NOTA[TANGGAL],MATCH(,INDIRECT(ADDRESS(ROW(NOTA[TANGGAL]),COLUMN(NOTA[TANGGAL]))&amp;":"&amp;ADDRESS(ROW(),COLUMN(NOTA[TANGGAL]))),-1)))</f>
        <v/>
      </c>
      <c r="AJ303" s="26" t="str">
        <f ca="1">IF(NOTA[[#This Row],[ID_H]]="","",INDEX(NOTA[TGL.NOTA],MATCH(,INDIRECT(ADDRESS(ROW(NOTA[TGL.NOTA]),COLUMN(NOTA[TGL.NOTA]))&amp;":"&amp;ADDRESS(ROW(),COLUMN(NOTA[TGL.NOTA]))),-1)))</f>
        <v/>
      </c>
      <c r="AK303" s="26" t="str">
        <f ca="1">IF(NOTA[[#This Row],[ID_H]]="","",INDEX(NOTA[NO.NOTA],MATCH(NOTA[[#This Row],[ID_H]],NOTA[ID_H],0)))</f>
        <v/>
      </c>
      <c r="AL303" s="28" t="str">
        <f ca="1">IF(NOTA[[#This Row],[NAMA BARANG]]="","",INDEX(NOTA[SUPPLIER],MATCH(,INDIRECT(ADDRESS(ROW(NOTA[ID]),COLUMN(NOTA[ID]))&amp;":"&amp;ADDRESS(ROW(),COLUMN(NOTA[ID]))),-1)))</f>
        <v/>
      </c>
      <c r="AM303" s="28" t="str">
        <f ca="1">IF(NOTA[[#This Row],[ID_H]]="","",IF(NOTA[[#This Row],[FAKTUR]]="",INDIRECT(ADDRESS(ROW()-1,COLUMN())),NOTA[[#This Row],[FAKTUR]]))</f>
        <v/>
      </c>
      <c r="AN303" s="25" t="str">
        <f ca="1">IF(NOTA[[#This Row],[ID]]="","",COUNTIF(NOTA[ID_H],NOTA[[#This Row],[ID_H]]))</f>
        <v/>
      </c>
      <c r="AO303" s="25" t="str">
        <f ca="1">IF(NOTA[[#This Row],[TGL.NOTA]]="",IF(NOTA[[#This Row],[SUPPLIER_H]]="","",AO302),MONTH(NOTA[[#This Row],[TGL.NOTA]]))</f>
        <v/>
      </c>
      <c r="AP3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3" s="25"/>
      <c r="AU303" s="25" t="str">
        <f>IF(NOTA[[#This Row],[CONCAT1]]="","",MATCH(NOTA[[#This Row],[CONCAT1]],[3]!db[NB NOTA_C],0))</f>
        <v/>
      </c>
      <c r="AV303" s="25" t="str">
        <f>IF(NOTA[[#This Row],[QTY/ CTN]]="","",TRUE)</f>
        <v/>
      </c>
      <c r="AW303" s="25" t="str">
        <f ca="1">IF(NOTA[[#This Row],[ID_H]]="","",IF(NOTA[[#This Row],[Column3]]=TRUE,NOTA[[#This Row],[QTY/ CTN]],INDEX([3]!db[QTY/ CTN],NOTA[[#This Row],[//DB]])))</f>
        <v/>
      </c>
      <c r="AX3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3" s="25" t="str">
        <f ca="1">IF(NOTA[[#This Row],[ID_H]]="","",MATCH(NOTA[[#This Row],[NB NOTA_C_QTY]],[3]!db[NB NOTA_C_QTY+F],0))</f>
        <v/>
      </c>
      <c r="AZ303" s="38" t="str">
        <f ca="1">IF(NOTA[[#This Row],[NB NOTA_C_QTY]]="","",ROW()-2)</f>
        <v/>
      </c>
    </row>
    <row r="304" spans="1:52" ht="20.100000000000001" customHeight="1">
      <c r="A3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4" s="25" t="str">
        <f ca="1">IF(NOTA[[#This Row],[NAMA BARANG]]="","",INDEX(NOTA[ID],MATCH(,INDIRECT(ADDRESS(ROW(NOTA[ID]),COLUMN(NOTA[ID]))&amp;":"&amp;ADDRESS(ROW(),COLUMN(NOTA[ID]))),-1)))</f>
        <v/>
      </c>
      <c r="E304" s="33"/>
      <c r="H304" s="34"/>
      <c r="Q304" s="29"/>
      <c r="R304" s="35"/>
      <c r="S304" s="36"/>
      <c r="V304" s="37"/>
      <c r="W304" s="32"/>
      <c r="X304" s="37" t="str">
        <f>IF(NOTA[[#This Row],[HARGA/ CTN]]="",NOTA[[#This Row],[JUMLAH_H]],NOTA[[#This Row],[HARGA/ CTN]]*IF(NOTA[[#This Row],[C]]="",0,NOTA[[#This Row],[C]]))</f>
        <v/>
      </c>
      <c r="Y304" s="37" t="str">
        <f>IF(NOTA[[#This Row],[JUMLAH]]="","",NOTA[[#This Row],[JUMLAH]]*NOTA[[#This Row],[DISC 1]])</f>
        <v/>
      </c>
      <c r="Z304" s="37" t="str">
        <f>IF(NOTA[[#This Row],[JUMLAH]]="","",(NOTA[[#This Row],[JUMLAH]]-NOTA[[#This Row],[DISC 1-]])*NOTA[[#This Row],[DISC 2]])</f>
        <v/>
      </c>
      <c r="AA304" s="37" t="str">
        <f>IF(NOTA[[#This Row],[JUMLAH]]="","",(NOTA[[#This Row],[JUMLAH]]-NOTA[[#This Row],[DISC 1-]]-NOTA[[#This Row],[DISC 2-]])*NOTA[[#This Row],[DISC 3]])</f>
        <v/>
      </c>
      <c r="AB304" s="37" t="str">
        <f>IF(NOTA[[#This Row],[JUMLAH]]="","",NOTA[[#This Row],[DISC 1-]]+NOTA[[#This Row],[DISC 2-]]+NOTA[[#This Row],[DISC 3-]])</f>
        <v/>
      </c>
      <c r="AC304" s="37" t="str">
        <f>IF(NOTA[[#This Row],[JUMLAH]]="","",NOTA[[#This Row],[JUMLAH]]-NOTA[[#This Row],[DISC]])</f>
        <v/>
      </c>
      <c r="AD304" s="37"/>
      <c r="AE3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4" s="37" t="str">
        <f>IF(OR(NOTA[[#This Row],[QTY]]="",NOTA[[#This Row],[HARGA SATUAN]]="",),"",NOTA[[#This Row],[QTY]]*NOTA[[#This Row],[HARGA SATUAN]])</f>
        <v/>
      </c>
      <c r="AI304" s="26" t="str">
        <f ca="1">IF(NOTA[[#This Row],[ID_H]]="","",INDEX(NOTA[TANGGAL],MATCH(,INDIRECT(ADDRESS(ROW(NOTA[TANGGAL]),COLUMN(NOTA[TANGGAL]))&amp;":"&amp;ADDRESS(ROW(),COLUMN(NOTA[TANGGAL]))),-1)))</f>
        <v/>
      </c>
      <c r="AJ304" s="26" t="str">
        <f ca="1">IF(NOTA[[#This Row],[ID_H]]="","",INDEX(NOTA[TGL.NOTA],MATCH(,INDIRECT(ADDRESS(ROW(NOTA[TGL.NOTA]),COLUMN(NOTA[TGL.NOTA]))&amp;":"&amp;ADDRESS(ROW(),COLUMN(NOTA[TGL.NOTA]))),-1)))</f>
        <v/>
      </c>
      <c r="AK304" s="26" t="str">
        <f ca="1">IF(NOTA[[#This Row],[ID_H]]="","",INDEX(NOTA[NO.NOTA],MATCH(NOTA[[#This Row],[ID_H]],NOTA[ID_H],0)))</f>
        <v/>
      </c>
      <c r="AL304" s="28" t="str">
        <f ca="1">IF(NOTA[[#This Row],[NAMA BARANG]]="","",INDEX(NOTA[SUPPLIER],MATCH(,INDIRECT(ADDRESS(ROW(NOTA[ID]),COLUMN(NOTA[ID]))&amp;":"&amp;ADDRESS(ROW(),COLUMN(NOTA[ID]))),-1)))</f>
        <v/>
      </c>
      <c r="AM304" s="28" t="str">
        <f ca="1">IF(NOTA[[#This Row],[ID_H]]="","",IF(NOTA[[#This Row],[FAKTUR]]="",INDIRECT(ADDRESS(ROW()-1,COLUMN())),NOTA[[#This Row],[FAKTUR]]))</f>
        <v/>
      </c>
      <c r="AN304" s="25" t="str">
        <f ca="1">IF(NOTA[[#This Row],[ID]]="","",COUNTIF(NOTA[ID_H],NOTA[[#This Row],[ID_H]]))</f>
        <v/>
      </c>
      <c r="AO304" s="25" t="str">
        <f ca="1">IF(NOTA[[#This Row],[TGL.NOTA]]="",IF(NOTA[[#This Row],[SUPPLIER_H]]="","",AO303),MONTH(NOTA[[#This Row],[TGL.NOTA]]))</f>
        <v/>
      </c>
      <c r="AP3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4" s="25"/>
      <c r="AU304" s="25" t="str">
        <f>IF(NOTA[[#This Row],[CONCAT1]]="","",MATCH(NOTA[[#This Row],[CONCAT1]],[3]!db[NB NOTA_C],0))</f>
        <v/>
      </c>
      <c r="AV304" s="25" t="str">
        <f>IF(NOTA[[#This Row],[QTY/ CTN]]="","",TRUE)</f>
        <v/>
      </c>
      <c r="AW304" s="25" t="str">
        <f ca="1">IF(NOTA[[#This Row],[ID_H]]="","",IF(NOTA[[#This Row],[Column3]]=TRUE,NOTA[[#This Row],[QTY/ CTN]],INDEX([3]!db[QTY/ CTN],NOTA[[#This Row],[//DB]])))</f>
        <v/>
      </c>
      <c r="AX3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4" s="25" t="str">
        <f ca="1">IF(NOTA[[#This Row],[ID_H]]="","",MATCH(NOTA[[#This Row],[NB NOTA_C_QTY]],[3]!db[NB NOTA_C_QTY+F],0))</f>
        <v/>
      </c>
      <c r="AZ304" s="38" t="str">
        <f ca="1">IF(NOTA[[#This Row],[NB NOTA_C_QTY]]="","",ROW()-2)</f>
        <v/>
      </c>
    </row>
    <row r="305" spans="1:52" ht="20.100000000000001" customHeight="1">
      <c r="A3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5" s="25" t="str">
        <f ca="1">IF(NOTA[[#This Row],[NAMA BARANG]]="","",INDEX(NOTA[ID],MATCH(,INDIRECT(ADDRESS(ROW(NOTA[ID]),COLUMN(NOTA[ID]))&amp;":"&amp;ADDRESS(ROW(),COLUMN(NOTA[ID]))),-1)))</f>
        <v/>
      </c>
      <c r="E305" s="33"/>
      <c r="H305" s="34"/>
      <c r="Q305" s="29"/>
      <c r="R305" s="35"/>
      <c r="S305" s="36"/>
      <c r="V305" s="37"/>
      <c r="W305" s="32"/>
      <c r="X305" s="37" t="str">
        <f>IF(NOTA[[#This Row],[HARGA/ CTN]]="",NOTA[[#This Row],[JUMLAH_H]],NOTA[[#This Row],[HARGA/ CTN]]*IF(NOTA[[#This Row],[C]]="",0,NOTA[[#This Row],[C]]))</f>
        <v/>
      </c>
      <c r="Y305" s="37" t="str">
        <f>IF(NOTA[[#This Row],[JUMLAH]]="","",NOTA[[#This Row],[JUMLAH]]*NOTA[[#This Row],[DISC 1]])</f>
        <v/>
      </c>
      <c r="Z305" s="37" t="str">
        <f>IF(NOTA[[#This Row],[JUMLAH]]="","",(NOTA[[#This Row],[JUMLAH]]-NOTA[[#This Row],[DISC 1-]])*NOTA[[#This Row],[DISC 2]])</f>
        <v/>
      </c>
      <c r="AA305" s="37" t="str">
        <f>IF(NOTA[[#This Row],[JUMLAH]]="","",(NOTA[[#This Row],[JUMLAH]]-NOTA[[#This Row],[DISC 1-]]-NOTA[[#This Row],[DISC 2-]])*NOTA[[#This Row],[DISC 3]])</f>
        <v/>
      </c>
      <c r="AB305" s="37" t="str">
        <f>IF(NOTA[[#This Row],[JUMLAH]]="","",NOTA[[#This Row],[DISC 1-]]+NOTA[[#This Row],[DISC 2-]]+NOTA[[#This Row],[DISC 3-]])</f>
        <v/>
      </c>
      <c r="AC305" s="37" t="str">
        <f>IF(NOTA[[#This Row],[JUMLAH]]="","",NOTA[[#This Row],[JUMLAH]]-NOTA[[#This Row],[DISC]])</f>
        <v/>
      </c>
      <c r="AD305" s="37"/>
      <c r="AE3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5" s="37" t="str">
        <f>IF(OR(NOTA[[#This Row],[QTY]]="",NOTA[[#This Row],[HARGA SATUAN]]="",),"",NOTA[[#This Row],[QTY]]*NOTA[[#This Row],[HARGA SATUAN]])</f>
        <v/>
      </c>
      <c r="AI305" s="26" t="str">
        <f ca="1">IF(NOTA[[#This Row],[ID_H]]="","",INDEX(NOTA[TANGGAL],MATCH(,INDIRECT(ADDRESS(ROW(NOTA[TANGGAL]),COLUMN(NOTA[TANGGAL]))&amp;":"&amp;ADDRESS(ROW(),COLUMN(NOTA[TANGGAL]))),-1)))</f>
        <v/>
      </c>
      <c r="AJ305" s="26" t="str">
        <f ca="1">IF(NOTA[[#This Row],[ID_H]]="","",INDEX(NOTA[TGL.NOTA],MATCH(,INDIRECT(ADDRESS(ROW(NOTA[TGL.NOTA]),COLUMN(NOTA[TGL.NOTA]))&amp;":"&amp;ADDRESS(ROW(),COLUMN(NOTA[TGL.NOTA]))),-1)))</f>
        <v/>
      </c>
      <c r="AK305" s="26" t="str">
        <f ca="1">IF(NOTA[[#This Row],[ID_H]]="","",INDEX(NOTA[NO.NOTA],MATCH(NOTA[[#This Row],[ID_H]],NOTA[ID_H],0)))</f>
        <v/>
      </c>
      <c r="AL305" s="28" t="str">
        <f ca="1">IF(NOTA[[#This Row],[NAMA BARANG]]="","",INDEX(NOTA[SUPPLIER],MATCH(,INDIRECT(ADDRESS(ROW(NOTA[ID]),COLUMN(NOTA[ID]))&amp;":"&amp;ADDRESS(ROW(),COLUMN(NOTA[ID]))),-1)))</f>
        <v/>
      </c>
      <c r="AM305" s="28" t="str">
        <f ca="1">IF(NOTA[[#This Row],[ID_H]]="","",IF(NOTA[[#This Row],[FAKTUR]]="",INDIRECT(ADDRESS(ROW()-1,COLUMN())),NOTA[[#This Row],[FAKTUR]]))</f>
        <v/>
      </c>
      <c r="AN305" s="25" t="str">
        <f ca="1">IF(NOTA[[#This Row],[ID]]="","",COUNTIF(NOTA[ID_H],NOTA[[#This Row],[ID_H]]))</f>
        <v/>
      </c>
      <c r="AO305" s="25" t="str">
        <f ca="1">IF(NOTA[[#This Row],[TGL.NOTA]]="",IF(NOTA[[#This Row],[SUPPLIER_H]]="","",AO304),MONTH(NOTA[[#This Row],[TGL.NOTA]]))</f>
        <v/>
      </c>
      <c r="AP3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5" s="25"/>
      <c r="AU305" s="25" t="str">
        <f>IF(NOTA[[#This Row],[CONCAT1]]="","",MATCH(NOTA[[#This Row],[CONCAT1]],[3]!db[NB NOTA_C],0))</f>
        <v/>
      </c>
      <c r="AV305" s="25" t="str">
        <f>IF(NOTA[[#This Row],[QTY/ CTN]]="","",TRUE)</f>
        <v/>
      </c>
      <c r="AW305" s="25" t="str">
        <f ca="1">IF(NOTA[[#This Row],[ID_H]]="","",IF(NOTA[[#This Row],[Column3]]=TRUE,NOTA[[#This Row],[QTY/ CTN]],INDEX([3]!db[QTY/ CTN],NOTA[[#This Row],[//DB]])))</f>
        <v/>
      </c>
      <c r="AX3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5" s="25" t="str">
        <f ca="1">IF(NOTA[[#This Row],[ID_H]]="","",MATCH(NOTA[[#This Row],[NB NOTA_C_QTY]],[3]!db[NB NOTA_C_QTY+F],0))</f>
        <v/>
      </c>
      <c r="AZ305" s="38" t="str">
        <f ca="1">IF(NOTA[[#This Row],[NB NOTA_C_QTY]]="","",ROW()-2)</f>
        <v/>
      </c>
    </row>
    <row r="306" spans="1:52" ht="20.100000000000001" customHeight="1">
      <c r="A3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6" s="25" t="str">
        <f ca="1">IF(NOTA[[#This Row],[NAMA BARANG]]="","",INDEX(NOTA[ID],MATCH(,INDIRECT(ADDRESS(ROW(NOTA[ID]),COLUMN(NOTA[ID]))&amp;":"&amp;ADDRESS(ROW(),COLUMN(NOTA[ID]))),-1)))</f>
        <v/>
      </c>
      <c r="E306" s="33"/>
      <c r="H306" s="34"/>
      <c r="Q306" s="29"/>
      <c r="R306" s="35"/>
      <c r="S306" s="36"/>
      <c r="V306" s="37"/>
      <c r="W306" s="32"/>
      <c r="X306" s="37" t="str">
        <f>IF(NOTA[[#This Row],[HARGA/ CTN]]="",NOTA[[#This Row],[JUMLAH_H]],NOTA[[#This Row],[HARGA/ CTN]]*IF(NOTA[[#This Row],[C]]="",0,NOTA[[#This Row],[C]]))</f>
        <v/>
      </c>
      <c r="Y306" s="37" t="str">
        <f>IF(NOTA[[#This Row],[JUMLAH]]="","",NOTA[[#This Row],[JUMLAH]]*NOTA[[#This Row],[DISC 1]])</f>
        <v/>
      </c>
      <c r="Z306" s="37" t="str">
        <f>IF(NOTA[[#This Row],[JUMLAH]]="","",(NOTA[[#This Row],[JUMLAH]]-NOTA[[#This Row],[DISC 1-]])*NOTA[[#This Row],[DISC 2]])</f>
        <v/>
      </c>
      <c r="AA306" s="37" t="str">
        <f>IF(NOTA[[#This Row],[JUMLAH]]="","",(NOTA[[#This Row],[JUMLAH]]-NOTA[[#This Row],[DISC 1-]]-NOTA[[#This Row],[DISC 2-]])*NOTA[[#This Row],[DISC 3]])</f>
        <v/>
      </c>
      <c r="AB306" s="37" t="str">
        <f>IF(NOTA[[#This Row],[JUMLAH]]="","",NOTA[[#This Row],[DISC 1-]]+NOTA[[#This Row],[DISC 2-]]+NOTA[[#This Row],[DISC 3-]])</f>
        <v/>
      </c>
      <c r="AC306" s="37" t="str">
        <f>IF(NOTA[[#This Row],[JUMLAH]]="","",NOTA[[#This Row],[JUMLAH]]-NOTA[[#This Row],[DISC]])</f>
        <v/>
      </c>
      <c r="AD306" s="37"/>
      <c r="AE3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6" s="37" t="str">
        <f>IF(OR(NOTA[[#This Row],[QTY]]="",NOTA[[#This Row],[HARGA SATUAN]]="",),"",NOTA[[#This Row],[QTY]]*NOTA[[#This Row],[HARGA SATUAN]])</f>
        <v/>
      </c>
      <c r="AI306" s="26" t="str">
        <f ca="1">IF(NOTA[[#This Row],[ID_H]]="","",INDEX(NOTA[TANGGAL],MATCH(,INDIRECT(ADDRESS(ROW(NOTA[TANGGAL]),COLUMN(NOTA[TANGGAL]))&amp;":"&amp;ADDRESS(ROW(),COLUMN(NOTA[TANGGAL]))),-1)))</f>
        <v/>
      </c>
      <c r="AJ306" s="26" t="str">
        <f ca="1">IF(NOTA[[#This Row],[ID_H]]="","",INDEX(NOTA[TGL.NOTA],MATCH(,INDIRECT(ADDRESS(ROW(NOTA[TGL.NOTA]),COLUMN(NOTA[TGL.NOTA]))&amp;":"&amp;ADDRESS(ROW(),COLUMN(NOTA[TGL.NOTA]))),-1)))</f>
        <v/>
      </c>
      <c r="AK306" s="26" t="str">
        <f ca="1">IF(NOTA[[#This Row],[ID_H]]="","",INDEX(NOTA[NO.NOTA],MATCH(NOTA[[#This Row],[ID_H]],NOTA[ID_H],0)))</f>
        <v/>
      </c>
      <c r="AL306" s="28" t="str">
        <f ca="1">IF(NOTA[[#This Row],[NAMA BARANG]]="","",INDEX(NOTA[SUPPLIER],MATCH(,INDIRECT(ADDRESS(ROW(NOTA[ID]),COLUMN(NOTA[ID]))&amp;":"&amp;ADDRESS(ROW(),COLUMN(NOTA[ID]))),-1)))</f>
        <v/>
      </c>
      <c r="AM306" s="28" t="str">
        <f ca="1">IF(NOTA[[#This Row],[ID_H]]="","",IF(NOTA[[#This Row],[FAKTUR]]="",INDIRECT(ADDRESS(ROW()-1,COLUMN())),NOTA[[#This Row],[FAKTUR]]))</f>
        <v/>
      </c>
      <c r="AN306" s="25" t="str">
        <f ca="1">IF(NOTA[[#This Row],[ID]]="","",COUNTIF(NOTA[ID_H],NOTA[[#This Row],[ID_H]]))</f>
        <v/>
      </c>
      <c r="AO306" s="25" t="str">
        <f ca="1">IF(NOTA[[#This Row],[TGL.NOTA]]="",IF(NOTA[[#This Row],[SUPPLIER_H]]="","",AO305),MONTH(NOTA[[#This Row],[TGL.NOTA]]))</f>
        <v/>
      </c>
      <c r="AP3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6" s="25"/>
      <c r="AU306" s="25" t="str">
        <f>IF(NOTA[[#This Row],[CONCAT1]]="","",MATCH(NOTA[[#This Row],[CONCAT1]],[3]!db[NB NOTA_C],0))</f>
        <v/>
      </c>
      <c r="AV306" s="25" t="str">
        <f>IF(NOTA[[#This Row],[QTY/ CTN]]="","",TRUE)</f>
        <v/>
      </c>
      <c r="AW306" s="25" t="str">
        <f ca="1">IF(NOTA[[#This Row],[ID_H]]="","",IF(NOTA[[#This Row],[Column3]]=TRUE,NOTA[[#This Row],[QTY/ CTN]],INDEX([3]!db[QTY/ CTN],NOTA[[#This Row],[//DB]])))</f>
        <v/>
      </c>
      <c r="AX3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6" s="25" t="str">
        <f ca="1">IF(NOTA[[#This Row],[ID_H]]="","",MATCH(NOTA[[#This Row],[NB NOTA_C_QTY]],[3]!db[NB NOTA_C_QTY+F],0))</f>
        <v/>
      </c>
      <c r="AZ306" s="38" t="str">
        <f ca="1">IF(NOTA[[#This Row],[NB NOTA_C_QTY]]="","",ROW()-2)</f>
        <v/>
      </c>
    </row>
    <row r="307" spans="1:52" ht="20.100000000000001" customHeight="1">
      <c r="A3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7" s="25" t="str">
        <f ca="1">IF(NOTA[[#This Row],[NAMA BARANG]]="","",INDEX(NOTA[ID],MATCH(,INDIRECT(ADDRESS(ROW(NOTA[ID]),COLUMN(NOTA[ID]))&amp;":"&amp;ADDRESS(ROW(),COLUMN(NOTA[ID]))),-1)))</f>
        <v/>
      </c>
      <c r="E307" s="33"/>
      <c r="H307" s="34"/>
      <c r="Q307" s="29"/>
      <c r="R307" s="35"/>
      <c r="S307" s="36"/>
      <c r="V307" s="37"/>
      <c r="W307" s="32"/>
      <c r="X307" s="37" t="str">
        <f>IF(NOTA[[#This Row],[HARGA/ CTN]]="",NOTA[[#This Row],[JUMLAH_H]],NOTA[[#This Row],[HARGA/ CTN]]*IF(NOTA[[#This Row],[C]]="",0,NOTA[[#This Row],[C]]))</f>
        <v/>
      </c>
      <c r="Y307" s="37" t="str">
        <f>IF(NOTA[[#This Row],[JUMLAH]]="","",NOTA[[#This Row],[JUMLAH]]*NOTA[[#This Row],[DISC 1]])</f>
        <v/>
      </c>
      <c r="Z307" s="37" t="str">
        <f>IF(NOTA[[#This Row],[JUMLAH]]="","",(NOTA[[#This Row],[JUMLAH]]-NOTA[[#This Row],[DISC 1-]])*NOTA[[#This Row],[DISC 2]])</f>
        <v/>
      </c>
      <c r="AA307" s="37" t="str">
        <f>IF(NOTA[[#This Row],[JUMLAH]]="","",(NOTA[[#This Row],[JUMLAH]]-NOTA[[#This Row],[DISC 1-]]-NOTA[[#This Row],[DISC 2-]])*NOTA[[#This Row],[DISC 3]])</f>
        <v/>
      </c>
      <c r="AB307" s="37" t="str">
        <f>IF(NOTA[[#This Row],[JUMLAH]]="","",NOTA[[#This Row],[DISC 1-]]+NOTA[[#This Row],[DISC 2-]]+NOTA[[#This Row],[DISC 3-]])</f>
        <v/>
      </c>
      <c r="AC307" s="37" t="str">
        <f>IF(NOTA[[#This Row],[JUMLAH]]="","",NOTA[[#This Row],[JUMLAH]]-NOTA[[#This Row],[DISC]])</f>
        <v/>
      </c>
      <c r="AD307" s="37"/>
      <c r="AE3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7" s="37" t="str">
        <f>IF(OR(NOTA[[#This Row],[QTY]]="",NOTA[[#This Row],[HARGA SATUAN]]="",),"",NOTA[[#This Row],[QTY]]*NOTA[[#This Row],[HARGA SATUAN]])</f>
        <v/>
      </c>
      <c r="AI307" s="26" t="str">
        <f ca="1">IF(NOTA[[#This Row],[ID_H]]="","",INDEX(NOTA[TANGGAL],MATCH(,INDIRECT(ADDRESS(ROW(NOTA[TANGGAL]),COLUMN(NOTA[TANGGAL]))&amp;":"&amp;ADDRESS(ROW(),COLUMN(NOTA[TANGGAL]))),-1)))</f>
        <v/>
      </c>
      <c r="AJ307" s="26" t="str">
        <f ca="1">IF(NOTA[[#This Row],[ID_H]]="","",INDEX(NOTA[TGL.NOTA],MATCH(,INDIRECT(ADDRESS(ROW(NOTA[TGL.NOTA]),COLUMN(NOTA[TGL.NOTA]))&amp;":"&amp;ADDRESS(ROW(),COLUMN(NOTA[TGL.NOTA]))),-1)))</f>
        <v/>
      </c>
      <c r="AK307" s="26" t="str">
        <f ca="1">IF(NOTA[[#This Row],[ID_H]]="","",INDEX(NOTA[NO.NOTA],MATCH(NOTA[[#This Row],[ID_H]],NOTA[ID_H],0)))</f>
        <v/>
      </c>
      <c r="AL307" s="28" t="str">
        <f ca="1">IF(NOTA[[#This Row],[NAMA BARANG]]="","",INDEX(NOTA[SUPPLIER],MATCH(,INDIRECT(ADDRESS(ROW(NOTA[ID]),COLUMN(NOTA[ID]))&amp;":"&amp;ADDRESS(ROW(),COLUMN(NOTA[ID]))),-1)))</f>
        <v/>
      </c>
      <c r="AM307" s="28" t="str">
        <f ca="1">IF(NOTA[[#This Row],[ID_H]]="","",IF(NOTA[[#This Row],[FAKTUR]]="",INDIRECT(ADDRESS(ROW()-1,COLUMN())),NOTA[[#This Row],[FAKTUR]]))</f>
        <v/>
      </c>
      <c r="AN307" s="25" t="str">
        <f ca="1">IF(NOTA[[#This Row],[ID]]="","",COUNTIF(NOTA[ID_H],NOTA[[#This Row],[ID_H]]))</f>
        <v/>
      </c>
      <c r="AO307" s="25" t="str">
        <f ca="1">IF(NOTA[[#This Row],[TGL.NOTA]]="",IF(NOTA[[#This Row],[SUPPLIER_H]]="","",AO306),MONTH(NOTA[[#This Row],[TGL.NOTA]]))</f>
        <v/>
      </c>
      <c r="AP3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7" s="25"/>
      <c r="AU307" s="25" t="str">
        <f>IF(NOTA[[#This Row],[CONCAT1]]="","",MATCH(NOTA[[#This Row],[CONCAT1]],[3]!db[NB NOTA_C],0))</f>
        <v/>
      </c>
      <c r="AV307" s="25" t="str">
        <f>IF(NOTA[[#This Row],[QTY/ CTN]]="","",TRUE)</f>
        <v/>
      </c>
      <c r="AW307" s="25" t="str">
        <f ca="1">IF(NOTA[[#This Row],[ID_H]]="","",IF(NOTA[[#This Row],[Column3]]=TRUE,NOTA[[#This Row],[QTY/ CTN]],INDEX([3]!db[QTY/ CTN],NOTA[[#This Row],[//DB]])))</f>
        <v/>
      </c>
      <c r="AX3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7" s="25" t="str">
        <f ca="1">IF(NOTA[[#This Row],[ID_H]]="","",MATCH(NOTA[[#This Row],[NB NOTA_C_QTY]],[3]!db[NB NOTA_C_QTY+F],0))</f>
        <v/>
      </c>
      <c r="AZ307" s="38" t="str">
        <f ca="1">IF(NOTA[[#This Row],[NB NOTA_C_QTY]]="","",ROW()-2)</f>
        <v/>
      </c>
    </row>
    <row r="308" spans="1:52" ht="20.100000000000001" customHeight="1">
      <c r="A3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8" s="25" t="str">
        <f ca="1">IF(NOTA[[#This Row],[NAMA BARANG]]="","",INDEX(NOTA[ID],MATCH(,INDIRECT(ADDRESS(ROW(NOTA[ID]),COLUMN(NOTA[ID]))&amp;":"&amp;ADDRESS(ROW(),COLUMN(NOTA[ID]))),-1)))</f>
        <v/>
      </c>
      <c r="E308" s="33"/>
      <c r="H308" s="34"/>
      <c r="L308" s="79"/>
      <c r="Q308" s="29"/>
      <c r="R308" s="35"/>
      <c r="S308" s="36"/>
      <c r="V308" s="37"/>
      <c r="W308" s="32"/>
      <c r="X308" s="37" t="str">
        <f>IF(NOTA[[#This Row],[HARGA/ CTN]]="",NOTA[[#This Row],[JUMLAH_H]],NOTA[[#This Row],[HARGA/ CTN]]*IF(NOTA[[#This Row],[C]]="",0,NOTA[[#This Row],[C]]))</f>
        <v/>
      </c>
      <c r="Y308" s="37" t="str">
        <f>IF(NOTA[[#This Row],[JUMLAH]]="","",NOTA[[#This Row],[JUMLAH]]*NOTA[[#This Row],[DISC 1]])</f>
        <v/>
      </c>
      <c r="Z308" s="37" t="str">
        <f>IF(NOTA[[#This Row],[JUMLAH]]="","",(NOTA[[#This Row],[JUMLAH]]-NOTA[[#This Row],[DISC 1-]])*NOTA[[#This Row],[DISC 2]])</f>
        <v/>
      </c>
      <c r="AA308" s="37" t="str">
        <f>IF(NOTA[[#This Row],[JUMLAH]]="","",(NOTA[[#This Row],[JUMLAH]]-NOTA[[#This Row],[DISC 1-]]-NOTA[[#This Row],[DISC 2-]])*NOTA[[#This Row],[DISC 3]])</f>
        <v/>
      </c>
      <c r="AB308" s="37" t="str">
        <f>IF(NOTA[[#This Row],[JUMLAH]]="","",NOTA[[#This Row],[DISC 1-]]+NOTA[[#This Row],[DISC 2-]]+NOTA[[#This Row],[DISC 3-]])</f>
        <v/>
      </c>
      <c r="AC308" s="37" t="str">
        <f>IF(NOTA[[#This Row],[JUMLAH]]="","",NOTA[[#This Row],[JUMLAH]]-NOTA[[#This Row],[DISC]])</f>
        <v/>
      </c>
      <c r="AD308" s="37"/>
      <c r="AE3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8" s="37" t="str">
        <f>IF(OR(NOTA[[#This Row],[QTY]]="",NOTA[[#This Row],[HARGA SATUAN]]="",),"",NOTA[[#This Row],[QTY]]*NOTA[[#This Row],[HARGA SATUAN]])</f>
        <v/>
      </c>
      <c r="AI308" s="26" t="str">
        <f ca="1">IF(NOTA[[#This Row],[ID_H]]="","",INDEX(NOTA[TANGGAL],MATCH(,INDIRECT(ADDRESS(ROW(NOTA[TANGGAL]),COLUMN(NOTA[TANGGAL]))&amp;":"&amp;ADDRESS(ROW(),COLUMN(NOTA[TANGGAL]))),-1)))</f>
        <v/>
      </c>
      <c r="AJ308" s="26" t="str">
        <f ca="1">IF(NOTA[[#This Row],[ID_H]]="","",INDEX(NOTA[TGL.NOTA],MATCH(,INDIRECT(ADDRESS(ROW(NOTA[TGL.NOTA]),COLUMN(NOTA[TGL.NOTA]))&amp;":"&amp;ADDRESS(ROW(),COLUMN(NOTA[TGL.NOTA]))),-1)))</f>
        <v/>
      </c>
      <c r="AK308" s="26" t="str">
        <f ca="1">IF(NOTA[[#This Row],[ID_H]]="","",INDEX(NOTA[NO.NOTA],MATCH(NOTA[[#This Row],[ID_H]],NOTA[ID_H],0)))</f>
        <v/>
      </c>
      <c r="AL308" s="28" t="str">
        <f ca="1">IF(NOTA[[#This Row],[NAMA BARANG]]="","",INDEX(NOTA[SUPPLIER],MATCH(,INDIRECT(ADDRESS(ROW(NOTA[ID]),COLUMN(NOTA[ID]))&amp;":"&amp;ADDRESS(ROW(),COLUMN(NOTA[ID]))),-1)))</f>
        <v/>
      </c>
      <c r="AM308" s="28" t="str">
        <f ca="1">IF(NOTA[[#This Row],[ID_H]]="","",IF(NOTA[[#This Row],[FAKTUR]]="",INDIRECT(ADDRESS(ROW()-1,COLUMN())),NOTA[[#This Row],[FAKTUR]]))</f>
        <v/>
      </c>
      <c r="AN308" s="25" t="str">
        <f ca="1">IF(NOTA[[#This Row],[ID]]="","",COUNTIF(NOTA[ID_H],NOTA[[#This Row],[ID_H]]))</f>
        <v/>
      </c>
      <c r="AO308" s="25" t="str">
        <f ca="1">IF(NOTA[[#This Row],[TGL.NOTA]]="",IF(NOTA[[#This Row],[SUPPLIER_H]]="","",AO307),MONTH(NOTA[[#This Row],[TGL.NOTA]]))</f>
        <v/>
      </c>
      <c r="AP3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8" s="25"/>
      <c r="AU308" s="25" t="str">
        <f>IF(NOTA[[#This Row],[CONCAT1]]="","",MATCH(NOTA[[#This Row],[CONCAT1]],[3]!db[NB NOTA_C],0))</f>
        <v/>
      </c>
      <c r="AV308" s="25" t="str">
        <f>IF(NOTA[[#This Row],[QTY/ CTN]]="","",TRUE)</f>
        <v/>
      </c>
      <c r="AW308" s="25" t="str">
        <f ca="1">IF(NOTA[[#This Row],[ID_H]]="","",IF(NOTA[[#This Row],[Column3]]=TRUE,NOTA[[#This Row],[QTY/ CTN]],INDEX([3]!db[QTY/ CTN],NOTA[[#This Row],[//DB]])))</f>
        <v/>
      </c>
      <c r="AX3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8" s="25" t="str">
        <f ca="1">IF(NOTA[[#This Row],[ID_H]]="","",MATCH(NOTA[[#This Row],[NB NOTA_C_QTY]],[3]!db[NB NOTA_C_QTY+F],0))</f>
        <v/>
      </c>
      <c r="AZ308" s="38" t="str">
        <f ca="1">IF(NOTA[[#This Row],[NB NOTA_C_QTY]]="","",ROW()-2)</f>
        <v/>
      </c>
    </row>
    <row r="309" spans="1:52" ht="20.100000000000001" customHeight="1">
      <c r="A3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9" s="25" t="str">
        <f ca="1">IF(NOTA[[#This Row],[NAMA BARANG]]="","",INDEX(NOTA[ID],MATCH(,INDIRECT(ADDRESS(ROW(NOTA[ID]),COLUMN(NOTA[ID]))&amp;":"&amp;ADDRESS(ROW(),COLUMN(NOTA[ID]))),-1)))</f>
        <v/>
      </c>
      <c r="E309" s="33"/>
      <c r="H309" s="34"/>
      <c r="L309" s="79"/>
      <c r="Q309" s="29"/>
      <c r="R309" s="35"/>
      <c r="S309" s="36"/>
      <c r="V309" s="37"/>
      <c r="W309" s="32"/>
      <c r="X309" s="37" t="str">
        <f>IF(NOTA[[#This Row],[HARGA/ CTN]]="",NOTA[[#This Row],[JUMLAH_H]],NOTA[[#This Row],[HARGA/ CTN]]*IF(NOTA[[#This Row],[C]]="",0,NOTA[[#This Row],[C]]))</f>
        <v/>
      </c>
      <c r="Y309" s="37" t="str">
        <f>IF(NOTA[[#This Row],[JUMLAH]]="","",NOTA[[#This Row],[JUMLAH]]*NOTA[[#This Row],[DISC 1]])</f>
        <v/>
      </c>
      <c r="Z309" s="37" t="str">
        <f>IF(NOTA[[#This Row],[JUMLAH]]="","",(NOTA[[#This Row],[JUMLAH]]-NOTA[[#This Row],[DISC 1-]])*NOTA[[#This Row],[DISC 2]])</f>
        <v/>
      </c>
      <c r="AA309" s="37" t="str">
        <f>IF(NOTA[[#This Row],[JUMLAH]]="","",(NOTA[[#This Row],[JUMLAH]]-NOTA[[#This Row],[DISC 1-]]-NOTA[[#This Row],[DISC 2-]])*NOTA[[#This Row],[DISC 3]])</f>
        <v/>
      </c>
      <c r="AB309" s="37" t="str">
        <f>IF(NOTA[[#This Row],[JUMLAH]]="","",NOTA[[#This Row],[DISC 1-]]+NOTA[[#This Row],[DISC 2-]]+NOTA[[#This Row],[DISC 3-]])</f>
        <v/>
      </c>
      <c r="AC309" s="37" t="str">
        <f>IF(NOTA[[#This Row],[JUMLAH]]="","",NOTA[[#This Row],[JUMLAH]]-NOTA[[#This Row],[DISC]])</f>
        <v/>
      </c>
      <c r="AD309" s="37"/>
      <c r="AE3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9" s="37" t="str">
        <f>IF(OR(NOTA[[#This Row],[QTY]]="",NOTA[[#This Row],[HARGA SATUAN]]="",),"",NOTA[[#This Row],[QTY]]*NOTA[[#This Row],[HARGA SATUAN]])</f>
        <v/>
      </c>
      <c r="AI309" s="26" t="str">
        <f ca="1">IF(NOTA[[#This Row],[ID_H]]="","",INDEX(NOTA[TANGGAL],MATCH(,INDIRECT(ADDRESS(ROW(NOTA[TANGGAL]),COLUMN(NOTA[TANGGAL]))&amp;":"&amp;ADDRESS(ROW(),COLUMN(NOTA[TANGGAL]))),-1)))</f>
        <v/>
      </c>
      <c r="AJ309" s="26" t="str">
        <f ca="1">IF(NOTA[[#This Row],[ID_H]]="","",INDEX(NOTA[TGL.NOTA],MATCH(,INDIRECT(ADDRESS(ROW(NOTA[TGL.NOTA]),COLUMN(NOTA[TGL.NOTA]))&amp;":"&amp;ADDRESS(ROW(),COLUMN(NOTA[TGL.NOTA]))),-1)))</f>
        <v/>
      </c>
      <c r="AK309" s="26" t="str">
        <f ca="1">IF(NOTA[[#This Row],[ID_H]]="","",INDEX(NOTA[NO.NOTA],MATCH(NOTA[[#This Row],[ID_H]],NOTA[ID_H],0)))</f>
        <v/>
      </c>
      <c r="AL309" s="28" t="str">
        <f ca="1">IF(NOTA[[#This Row],[NAMA BARANG]]="","",INDEX(NOTA[SUPPLIER],MATCH(,INDIRECT(ADDRESS(ROW(NOTA[ID]),COLUMN(NOTA[ID]))&amp;":"&amp;ADDRESS(ROW(),COLUMN(NOTA[ID]))),-1)))</f>
        <v/>
      </c>
      <c r="AM309" s="28" t="str">
        <f ca="1">IF(NOTA[[#This Row],[ID_H]]="","",IF(NOTA[[#This Row],[FAKTUR]]="",INDIRECT(ADDRESS(ROW()-1,COLUMN())),NOTA[[#This Row],[FAKTUR]]))</f>
        <v/>
      </c>
      <c r="AN309" s="25" t="str">
        <f ca="1">IF(NOTA[[#This Row],[ID]]="","",COUNTIF(NOTA[ID_H],NOTA[[#This Row],[ID_H]]))</f>
        <v/>
      </c>
      <c r="AO309" s="25" t="str">
        <f ca="1">IF(NOTA[[#This Row],[TGL.NOTA]]="",IF(NOTA[[#This Row],[SUPPLIER_H]]="","",AO308),MONTH(NOTA[[#This Row],[TGL.NOTA]]))</f>
        <v/>
      </c>
      <c r="AP3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9" s="25"/>
      <c r="AU309" s="25" t="str">
        <f>IF(NOTA[[#This Row],[CONCAT1]]="","",MATCH(NOTA[[#This Row],[CONCAT1]],[3]!db[NB NOTA_C],0))</f>
        <v/>
      </c>
      <c r="AV309" s="25" t="str">
        <f>IF(NOTA[[#This Row],[QTY/ CTN]]="","",TRUE)</f>
        <v/>
      </c>
      <c r="AW309" s="25" t="str">
        <f ca="1">IF(NOTA[[#This Row],[ID_H]]="","",IF(NOTA[[#This Row],[Column3]]=TRUE,NOTA[[#This Row],[QTY/ CTN]],INDEX([3]!db[QTY/ CTN],NOTA[[#This Row],[//DB]])))</f>
        <v/>
      </c>
      <c r="AX3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9" s="25" t="str">
        <f ca="1">IF(NOTA[[#This Row],[ID_H]]="","",MATCH(NOTA[[#This Row],[NB NOTA_C_QTY]],[3]!db[NB NOTA_C_QTY+F],0))</f>
        <v/>
      </c>
      <c r="AZ309" s="38" t="str">
        <f ca="1">IF(NOTA[[#This Row],[NB NOTA_C_QTY]]="","",ROW()-2)</f>
        <v/>
      </c>
    </row>
    <row r="310" spans="1:52" ht="20.100000000000001" customHeight="1">
      <c r="A3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0" s="25" t="str">
        <f ca="1">IF(NOTA[[#This Row],[NAMA BARANG]]="","",INDEX(NOTA[ID],MATCH(,INDIRECT(ADDRESS(ROW(NOTA[ID]),COLUMN(NOTA[ID]))&amp;":"&amp;ADDRESS(ROW(),COLUMN(NOTA[ID]))),-1)))</f>
        <v/>
      </c>
      <c r="E310" s="33"/>
      <c r="H310" s="34"/>
      <c r="Q310" s="29"/>
      <c r="R310" s="35"/>
      <c r="S310" s="36"/>
      <c r="V310" s="37"/>
      <c r="W310" s="32"/>
      <c r="X310" s="37" t="str">
        <f>IF(NOTA[[#This Row],[HARGA/ CTN]]="",NOTA[[#This Row],[JUMLAH_H]],NOTA[[#This Row],[HARGA/ CTN]]*IF(NOTA[[#This Row],[C]]="",0,NOTA[[#This Row],[C]]))</f>
        <v/>
      </c>
      <c r="Y310" s="37" t="str">
        <f>IF(NOTA[[#This Row],[JUMLAH]]="","",NOTA[[#This Row],[JUMLAH]]*NOTA[[#This Row],[DISC 1]])</f>
        <v/>
      </c>
      <c r="Z310" s="37" t="str">
        <f>IF(NOTA[[#This Row],[JUMLAH]]="","",(NOTA[[#This Row],[JUMLAH]]-NOTA[[#This Row],[DISC 1-]])*NOTA[[#This Row],[DISC 2]])</f>
        <v/>
      </c>
      <c r="AA310" s="37" t="str">
        <f>IF(NOTA[[#This Row],[JUMLAH]]="","",(NOTA[[#This Row],[JUMLAH]]-NOTA[[#This Row],[DISC 1-]]-NOTA[[#This Row],[DISC 2-]])*NOTA[[#This Row],[DISC 3]])</f>
        <v/>
      </c>
      <c r="AB310" s="37" t="str">
        <f>IF(NOTA[[#This Row],[JUMLAH]]="","",NOTA[[#This Row],[DISC 1-]]+NOTA[[#This Row],[DISC 2-]]+NOTA[[#This Row],[DISC 3-]])</f>
        <v/>
      </c>
      <c r="AC310" s="37" t="str">
        <f>IF(NOTA[[#This Row],[JUMLAH]]="","",NOTA[[#This Row],[JUMLAH]]-NOTA[[#This Row],[DISC]])</f>
        <v/>
      </c>
      <c r="AD310" s="37"/>
      <c r="AE3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0" s="37" t="str">
        <f>IF(OR(NOTA[[#This Row],[QTY]]="",NOTA[[#This Row],[HARGA SATUAN]]="",),"",NOTA[[#This Row],[QTY]]*NOTA[[#This Row],[HARGA SATUAN]])</f>
        <v/>
      </c>
      <c r="AI310" s="26" t="str">
        <f ca="1">IF(NOTA[[#This Row],[ID_H]]="","",INDEX(NOTA[TANGGAL],MATCH(,INDIRECT(ADDRESS(ROW(NOTA[TANGGAL]),COLUMN(NOTA[TANGGAL]))&amp;":"&amp;ADDRESS(ROW(),COLUMN(NOTA[TANGGAL]))),-1)))</f>
        <v/>
      </c>
      <c r="AJ310" s="26" t="str">
        <f ca="1">IF(NOTA[[#This Row],[ID_H]]="","",INDEX(NOTA[TGL.NOTA],MATCH(,INDIRECT(ADDRESS(ROW(NOTA[TGL.NOTA]),COLUMN(NOTA[TGL.NOTA]))&amp;":"&amp;ADDRESS(ROW(),COLUMN(NOTA[TGL.NOTA]))),-1)))</f>
        <v/>
      </c>
      <c r="AK310" s="26" t="str">
        <f ca="1">IF(NOTA[[#This Row],[ID_H]]="","",INDEX(NOTA[NO.NOTA],MATCH(NOTA[[#This Row],[ID_H]],NOTA[ID_H],0)))</f>
        <v/>
      </c>
      <c r="AL310" s="28" t="str">
        <f ca="1">IF(NOTA[[#This Row],[NAMA BARANG]]="","",INDEX(NOTA[SUPPLIER],MATCH(,INDIRECT(ADDRESS(ROW(NOTA[ID]),COLUMN(NOTA[ID]))&amp;":"&amp;ADDRESS(ROW(),COLUMN(NOTA[ID]))),-1)))</f>
        <v/>
      </c>
      <c r="AM310" s="28" t="str">
        <f ca="1">IF(NOTA[[#This Row],[ID_H]]="","",IF(NOTA[[#This Row],[FAKTUR]]="",INDIRECT(ADDRESS(ROW()-1,COLUMN())),NOTA[[#This Row],[FAKTUR]]))</f>
        <v/>
      </c>
      <c r="AN310" s="25" t="str">
        <f ca="1">IF(NOTA[[#This Row],[ID]]="","",COUNTIF(NOTA[ID_H],NOTA[[#This Row],[ID_H]]))</f>
        <v/>
      </c>
      <c r="AO310" s="25" t="str">
        <f ca="1">IF(NOTA[[#This Row],[TGL.NOTA]]="",IF(NOTA[[#This Row],[SUPPLIER_H]]="","",AO309),MONTH(NOTA[[#This Row],[TGL.NOTA]]))</f>
        <v/>
      </c>
      <c r="AP3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0" s="25"/>
      <c r="AU310" s="25" t="str">
        <f>IF(NOTA[[#This Row],[CONCAT1]]="","",MATCH(NOTA[[#This Row],[CONCAT1]],[3]!db[NB NOTA_C],0))</f>
        <v/>
      </c>
      <c r="AV310" s="25" t="str">
        <f>IF(NOTA[[#This Row],[QTY/ CTN]]="","",TRUE)</f>
        <v/>
      </c>
      <c r="AW310" s="25" t="str">
        <f ca="1">IF(NOTA[[#This Row],[ID_H]]="","",IF(NOTA[[#This Row],[Column3]]=TRUE,NOTA[[#This Row],[QTY/ CTN]],INDEX([3]!db[QTY/ CTN],NOTA[[#This Row],[//DB]])))</f>
        <v/>
      </c>
      <c r="AX3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0" s="25" t="str">
        <f ca="1">IF(NOTA[[#This Row],[ID_H]]="","",MATCH(NOTA[[#This Row],[NB NOTA_C_QTY]],[3]!db[NB NOTA_C_QTY+F],0))</f>
        <v/>
      </c>
      <c r="AZ310" s="38" t="str">
        <f ca="1">IF(NOTA[[#This Row],[NB NOTA_C_QTY]]="","",ROW()-2)</f>
        <v/>
      </c>
    </row>
    <row r="311" spans="1:52" ht="20.100000000000001" customHeight="1">
      <c r="A3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1" s="25" t="str">
        <f ca="1">IF(NOTA[[#This Row],[NAMA BARANG]]="","",INDEX(NOTA[ID],MATCH(,INDIRECT(ADDRESS(ROW(NOTA[ID]),COLUMN(NOTA[ID]))&amp;":"&amp;ADDRESS(ROW(),COLUMN(NOTA[ID]))),-1)))</f>
        <v/>
      </c>
      <c r="E311" s="33"/>
      <c r="H311" s="34"/>
      <c r="L311" s="39"/>
      <c r="Q311" s="29"/>
      <c r="R311" s="35"/>
      <c r="S311" s="36"/>
      <c r="V311" s="37"/>
      <c r="W311" s="32"/>
      <c r="X311" s="37" t="str">
        <f>IF(NOTA[[#This Row],[HARGA/ CTN]]="",NOTA[[#This Row],[JUMLAH_H]],NOTA[[#This Row],[HARGA/ CTN]]*IF(NOTA[[#This Row],[C]]="",0,NOTA[[#This Row],[C]]))</f>
        <v/>
      </c>
      <c r="Y311" s="37" t="str">
        <f>IF(NOTA[[#This Row],[JUMLAH]]="","",NOTA[[#This Row],[JUMLAH]]*NOTA[[#This Row],[DISC 1]])</f>
        <v/>
      </c>
      <c r="Z311" s="37" t="str">
        <f>IF(NOTA[[#This Row],[JUMLAH]]="","",(NOTA[[#This Row],[JUMLAH]]-NOTA[[#This Row],[DISC 1-]])*NOTA[[#This Row],[DISC 2]])</f>
        <v/>
      </c>
      <c r="AA311" s="37" t="str">
        <f>IF(NOTA[[#This Row],[JUMLAH]]="","",(NOTA[[#This Row],[JUMLAH]]-NOTA[[#This Row],[DISC 1-]]-NOTA[[#This Row],[DISC 2-]])*NOTA[[#This Row],[DISC 3]])</f>
        <v/>
      </c>
      <c r="AB311" s="37" t="str">
        <f>IF(NOTA[[#This Row],[JUMLAH]]="","",NOTA[[#This Row],[DISC 1-]]+NOTA[[#This Row],[DISC 2-]]+NOTA[[#This Row],[DISC 3-]])</f>
        <v/>
      </c>
      <c r="AC311" s="37" t="str">
        <f>IF(NOTA[[#This Row],[JUMLAH]]="","",NOTA[[#This Row],[JUMLAH]]-NOTA[[#This Row],[DISC]])</f>
        <v/>
      </c>
      <c r="AD311" s="37"/>
      <c r="AE3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1" s="37" t="str">
        <f>IF(OR(NOTA[[#This Row],[QTY]]="",NOTA[[#This Row],[HARGA SATUAN]]="",),"",NOTA[[#This Row],[QTY]]*NOTA[[#This Row],[HARGA SATUAN]])</f>
        <v/>
      </c>
      <c r="AI311" s="26" t="str">
        <f ca="1">IF(NOTA[[#This Row],[ID_H]]="","",INDEX(NOTA[TANGGAL],MATCH(,INDIRECT(ADDRESS(ROW(NOTA[TANGGAL]),COLUMN(NOTA[TANGGAL]))&amp;":"&amp;ADDRESS(ROW(),COLUMN(NOTA[TANGGAL]))),-1)))</f>
        <v/>
      </c>
      <c r="AJ311" s="26" t="str">
        <f ca="1">IF(NOTA[[#This Row],[ID_H]]="","",INDEX(NOTA[TGL.NOTA],MATCH(,INDIRECT(ADDRESS(ROW(NOTA[TGL.NOTA]),COLUMN(NOTA[TGL.NOTA]))&amp;":"&amp;ADDRESS(ROW(),COLUMN(NOTA[TGL.NOTA]))),-1)))</f>
        <v/>
      </c>
      <c r="AK311" s="26" t="str">
        <f ca="1">IF(NOTA[[#This Row],[ID_H]]="","",INDEX(NOTA[NO.NOTA],MATCH(NOTA[[#This Row],[ID_H]],NOTA[ID_H],0)))</f>
        <v/>
      </c>
      <c r="AL311" s="28" t="str">
        <f ca="1">IF(NOTA[[#This Row],[NAMA BARANG]]="","",INDEX(NOTA[SUPPLIER],MATCH(,INDIRECT(ADDRESS(ROW(NOTA[ID]),COLUMN(NOTA[ID]))&amp;":"&amp;ADDRESS(ROW(),COLUMN(NOTA[ID]))),-1)))</f>
        <v/>
      </c>
      <c r="AM311" s="28" t="str">
        <f ca="1">IF(NOTA[[#This Row],[ID_H]]="","",IF(NOTA[[#This Row],[FAKTUR]]="",INDIRECT(ADDRESS(ROW()-1,COLUMN())),NOTA[[#This Row],[FAKTUR]]))</f>
        <v/>
      </c>
      <c r="AN311" s="25" t="str">
        <f ca="1">IF(NOTA[[#This Row],[ID]]="","",COUNTIF(NOTA[ID_H],NOTA[[#This Row],[ID_H]]))</f>
        <v/>
      </c>
      <c r="AO311" s="25" t="str">
        <f ca="1">IF(NOTA[[#This Row],[TGL.NOTA]]="",IF(NOTA[[#This Row],[SUPPLIER_H]]="","",AO310),MONTH(NOTA[[#This Row],[TGL.NOTA]]))</f>
        <v/>
      </c>
      <c r="AP3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1" s="25"/>
      <c r="AU311" s="25" t="str">
        <f>IF(NOTA[[#This Row],[CONCAT1]]="","",MATCH(NOTA[[#This Row],[CONCAT1]],[3]!db[NB NOTA_C],0))</f>
        <v/>
      </c>
      <c r="AV311" s="25" t="str">
        <f>IF(NOTA[[#This Row],[QTY/ CTN]]="","",TRUE)</f>
        <v/>
      </c>
      <c r="AW311" s="25" t="str">
        <f ca="1">IF(NOTA[[#This Row],[ID_H]]="","",IF(NOTA[[#This Row],[Column3]]=TRUE,NOTA[[#This Row],[QTY/ CTN]],INDEX([3]!db[QTY/ CTN],NOTA[[#This Row],[//DB]])))</f>
        <v/>
      </c>
      <c r="AX3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1" s="25" t="str">
        <f ca="1">IF(NOTA[[#This Row],[ID_H]]="","",MATCH(NOTA[[#This Row],[NB NOTA_C_QTY]],[3]!db[NB NOTA_C_QTY+F],0))</f>
        <v/>
      </c>
      <c r="AZ311" s="38" t="str">
        <f ca="1">IF(NOTA[[#This Row],[NB NOTA_C_QTY]]="","",ROW()-2)</f>
        <v/>
      </c>
    </row>
    <row r="312" spans="1:52" ht="20.100000000000001" customHeight="1">
      <c r="A3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2" s="25" t="str">
        <f ca="1">IF(NOTA[[#This Row],[NAMA BARANG]]="","",INDEX(NOTA[ID],MATCH(,INDIRECT(ADDRESS(ROW(NOTA[ID]),COLUMN(NOTA[ID]))&amp;":"&amp;ADDRESS(ROW(),COLUMN(NOTA[ID]))),-1)))</f>
        <v/>
      </c>
      <c r="E312" s="33"/>
      <c r="H312" s="34"/>
      <c r="L312" s="39"/>
      <c r="Q312" s="29"/>
      <c r="R312" s="35"/>
      <c r="S312" s="36"/>
      <c r="V312" s="37"/>
      <c r="W312" s="32"/>
      <c r="X312" s="37" t="str">
        <f>IF(NOTA[[#This Row],[HARGA/ CTN]]="",NOTA[[#This Row],[JUMLAH_H]],NOTA[[#This Row],[HARGA/ CTN]]*IF(NOTA[[#This Row],[C]]="",0,NOTA[[#This Row],[C]]))</f>
        <v/>
      </c>
      <c r="Y312" s="37" t="str">
        <f>IF(NOTA[[#This Row],[JUMLAH]]="","",NOTA[[#This Row],[JUMLAH]]*NOTA[[#This Row],[DISC 1]])</f>
        <v/>
      </c>
      <c r="Z312" s="37" t="str">
        <f>IF(NOTA[[#This Row],[JUMLAH]]="","",(NOTA[[#This Row],[JUMLAH]]-NOTA[[#This Row],[DISC 1-]])*NOTA[[#This Row],[DISC 2]])</f>
        <v/>
      </c>
      <c r="AA312" s="37" t="str">
        <f>IF(NOTA[[#This Row],[JUMLAH]]="","",(NOTA[[#This Row],[JUMLAH]]-NOTA[[#This Row],[DISC 1-]]-NOTA[[#This Row],[DISC 2-]])*NOTA[[#This Row],[DISC 3]])</f>
        <v/>
      </c>
      <c r="AB312" s="37" t="str">
        <f>IF(NOTA[[#This Row],[JUMLAH]]="","",NOTA[[#This Row],[DISC 1-]]+NOTA[[#This Row],[DISC 2-]]+NOTA[[#This Row],[DISC 3-]])</f>
        <v/>
      </c>
      <c r="AC312" s="37" t="str">
        <f>IF(NOTA[[#This Row],[JUMLAH]]="","",NOTA[[#This Row],[JUMLAH]]-NOTA[[#This Row],[DISC]])</f>
        <v/>
      </c>
      <c r="AD312" s="37"/>
      <c r="AE3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2" s="37" t="str">
        <f>IF(OR(NOTA[[#This Row],[QTY]]="",NOTA[[#This Row],[HARGA SATUAN]]="",),"",NOTA[[#This Row],[QTY]]*NOTA[[#This Row],[HARGA SATUAN]])</f>
        <v/>
      </c>
      <c r="AI312" s="26" t="str">
        <f ca="1">IF(NOTA[[#This Row],[ID_H]]="","",INDEX(NOTA[TANGGAL],MATCH(,INDIRECT(ADDRESS(ROW(NOTA[TANGGAL]),COLUMN(NOTA[TANGGAL]))&amp;":"&amp;ADDRESS(ROW(),COLUMN(NOTA[TANGGAL]))),-1)))</f>
        <v/>
      </c>
      <c r="AJ312" s="26" t="str">
        <f ca="1">IF(NOTA[[#This Row],[ID_H]]="","",INDEX(NOTA[TGL.NOTA],MATCH(,INDIRECT(ADDRESS(ROW(NOTA[TGL.NOTA]),COLUMN(NOTA[TGL.NOTA]))&amp;":"&amp;ADDRESS(ROW(),COLUMN(NOTA[TGL.NOTA]))),-1)))</f>
        <v/>
      </c>
      <c r="AK312" s="26" t="str">
        <f ca="1">IF(NOTA[[#This Row],[ID_H]]="","",INDEX(NOTA[NO.NOTA],MATCH(NOTA[[#This Row],[ID_H]],NOTA[ID_H],0)))</f>
        <v/>
      </c>
      <c r="AL312" s="28" t="str">
        <f ca="1">IF(NOTA[[#This Row],[NAMA BARANG]]="","",INDEX(NOTA[SUPPLIER],MATCH(,INDIRECT(ADDRESS(ROW(NOTA[ID]),COLUMN(NOTA[ID]))&amp;":"&amp;ADDRESS(ROW(),COLUMN(NOTA[ID]))),-1)))</f>
        <v/>
      </c>
      <c r="AM312" s="28" t="str">
        <f ca="1">IF(NOTA[[#This Row],[ID_H]]="","",IF(NOTA[[#This Row],[FAKTUR]]="",INDIRECT(ADDRESS(ROW()-1,COLUMN())),NOTA[[#This Row],[FAKTUR]]))</f>
        <v/>
      </c>
      <c r="AN312" s="25" t="str">
        <f ca="1">IF(NOTA[[#This Row],[ID]]="","",COUNTIF(NOTA[ID_H],NOTA[[#This Row],[ID_H]]))</f>
        <v/>
      </c>
      <c r="AO312" s="25" t="str">
        <f ca="1">IF(NOTA[[#This Row],[TGL.NOTA]]="",IF(NOTA[[#This Row],[SUPPLIER_H]]="","",AO311),MONTH(NOTA[[#This Row],[TGL.NOTA]]))</f>
        <v/>
      </c>
      <c r="AP3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2" s="25"/>
      <c r="AU312" s="25" t="str">
        <f>IF(NOTA[[#This Row],[CONCAT1]]="","",MATCH(NOTA[[#This Row],[CONCAT1]],[3]!db[NB NOTA_C],0))</f>
        <v/>
      </c>
      <c r="AV312" s="25" t="str">
        <f>IF(NOTA[[#This Row],[QTY/ CTN]]="","",TRUE)</f>
        <v/>
      </c>
      <c r="AW312" s="25" t="str">
        <f ca="1">IF(NOTA[[#This Row],[ID_H]]="","",IF(NOTA[[#This Row],[Column3]]=TRUE,NOTA[[#This Row],[QTY/ CTN]],INDEX([3]!db[QTY/ CTN],NOTA[[#This Row],[//DB]])))</f>
        <v/>
      </c>
      <c r="AX3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2" s="25" t="str">
        <f ca="1">IF(NOTA[[#This Row],[ID_H]]="","",MATCH(NOTA[[#This Row],[NB NOTA_C_QTY]],[3]!db[NB NOTA_C_QTY+F],0))</f>
        <v/>
      </c>
      <c r="AZ312" s="38" t="str">
        <f ca="1">IF(NOTA[[#This Row],[NB NOTA_C_QTY]]="","",ROW()-2)</f>
        <v/>
      </c>
    </row>
    <row r="313" spans="1:52" ht="20.100000000000001" customHeight="1">
      <c r="A3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3" s="25" t="str">
        <f ca="1">IF(NOTA[[#This Row],[NAMA BARANG]]="","",INDEX(NOTA[ID],MATCH(,INDIRECT(ADDRESS(ROW(NOTA[ID]),COLUMN(NOTA[ID]))&amp;":"&amp;ADDRESS(ROW(),COLUMN(NOTA[ID]))),-1)))</f>
        <v/>
      </c>
      <c r="E313" s="33"/>
      <c r="H313" s="34"/>
      <c r="L313" s="39"/>
      <c r="Q313" s="29"/>
      <c r="R313" s="35"/>
      <c r="S313" s="36"/>
      <c r="V313" s="37"/>
      <c r="W313" s="32"/>
      <c r="X313" s="37" t="str">
        <f>IF(NOTA[[#This Row],[HARGA/ CTN]]="",NOTA[[#This Row],[JUMLAH_H]],NOTA[[#This Row],[HARGA/ CTN]]*IF(NOTA[[#This Row],[C]]="",0,NOTA[[#This Row],[C]]))</f>
        <v/>
      </c>
      <c r="Y313" s="37" t="str">
        <f>IF(NOTA[[#This Row],[JUMLAH]]="","",NOTA[[#This Row],[JUMLAH]]*NOTA[[#This Row],[DISC 1]])</f>
        <v/>
      </c>
      <c r="Z313" s="37" t="str">
        <f>IF(NOTA[[#This Row],[JUMLAH]]="","",(NOTA[[#This Row],[JUMLAH]]-NOTA[[#This Row],[DISC 1-]])*NOTA[[#This Row],[DISC 2]])</f>
        <v/>
      </c>
      <c r="AA313" s="37" t="str">
        <f>IF(NOTA[[#This Row],[JUMLAH]]="","",(NOTA[[#This Row],[JUMLAH]]-NOTA[[#This Row],[DISC 1-]]-NOTA[[#This Row],[DISC 2-]])*NOTA[[#This Row],[DISC 3]])</f>
        <v/>
      </c>
      <c r="AB313" s="37" t="str">
        <f>IF(NOTA[[#This Row],[JUMLAH]]="","",NOTA[[#This Row],[DISC 1-]]+NOTA[[#This Row],[DISC 2-]]+NOTA[[#This Row],[DISC 3-]])</f>
        <v/>
      </c>
      <c r="AC313" s="37" t="str">
        <f>IF(NOTA[[#This Row],[JUMLAH]]="","",NOTA[[#This Row],[JUMLAH]]-NOTA[[#This Row],[DISC]])</f>
        <v/>
      </c>
      <c r="AD313" s="37"/>
      <c r="AE3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3" s="37" t="str">
        <f>IF(OR(NOTA[[#This Row],[QTY]]="",NOTA[[#This Row],[HARGA SATUAN]]="",),"",NOTA[[#This Row],[QTY]]*NOTA[[#This Row],[HARGA SATUAN]])</f>
        <v/>
      </c>
      <c r="AI313" s="26" t="str">
        <f ca="1">IF(NOTA[[#This Row],[ID_H]]="","",INDEX(NOTA[TANGGAL],MATCH(,INDIRECT(ADDRESS(ROW(NOTA[TANGGAL]),COLUMN(NOTA[TANGGAL]))&amp;":"&amp;ADDRESS(ROW(),COLUMN(NOTA[TANGGAL]))),-1)))</f>
        <v/>
      </c>
      <c r="AJ313" s="26" t="str">
        <f ca="1">IF(NOTA[[#This Row],[ID_H]]="","",INDEX(NOTA[TGL.NOTA],MATCH(,INDIRECT(ADDRESS(ROW(NOTA[TGL.NOTA]),COLUMN(NOTA[TGL.NOTA]))&amp;":"&amp;ADDRESS(ROW(),COLUMN(NOTA[TGL.NOTA]))),-1)))</f>
        <v/>
      </c>
      <c r="AK313" s="26" t="str">
        <f ca="1">IF(NOTA[[#This Row],[ID_H]]="","",INDEX(NOTA[NO.NOTA],MATCH(NOTA[[#This Row],[ID_H]],NOTA[ID_H],0)))</f>
        <v/>
      </c>
      <c r="AL313" s="28" t="str">
        <f ca="1">IF(NOTA[[#This Row],[NAMA BARANG]]="","",INDEX(NOTA[SUPPLIER],MATCH(,INDIRECT(ADDRESS(ROW(NOTA[ID]),COLUMN(NOTA[ID]))&amp;":"&amp;ADDRESS(ROW(),COLUMN(NOTA[ID]))),-1)))</f>
        <v/>
      </c>
      <c r="AM313" s="28" t="str">
        <f ca="1">IF(NOTA[[#This Row],[ID_H]]="","",IF(NOTA[[#This Row],[FAKTUR]]="",INDIRECT(ADDRESS(ROW()-1,COLUMN())),NOTA[[#This Row],[FAKTUR]]))</f>
        <v/>
      </c>
      <c r="AN313" s="25" t="str">
        <f ca="1">IF(NOTA[[#This Row],[ID]]="","",COUNTIF(NOTA[ID_H],NOTA[[#This Row],[ID_H]]))</f>
        <v/>
      </c>
      <c r="AO313" s="25" t="str">
        <f ca="1">IF(NOTA[[#This Row],[TGL.NOTA]]="",IF(NOTA[[#This Row],[SUPPLIER_H]]="","",AO312),MONTH(NOTA[[#This Row],[TGL.NOTA]]))</f>
        <v/>
      </c>
      <c r="AP3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3" s="25"/>
      <c r="AU313" s="25" t="str">
        <f>IF(NOTA[[#This Row],[CONCAT1]]="","",MATCH(NOTA[[#This Row],[CONCAT1]],[3]!db[NB NOTA_C],0))</f>
        <v/>
      </c>
      <c r="AV313" s="25" t="str">
        <f>IF(NOTA[[#This Row],[QTY/ CTN]]="","",TRUE)</f>
        <v/>
      </c>
      <c r="AW313" s="25" t="str">
        <f ca="1">IF(NOTA[[#This Row],[ID_H]]="","",IF(NOTA[[#This Row],[Column3]]=TRUE,NOTA[[#This Row],[QTY/ CTN]],INDEX([3]!db[QTY/ CTN],NOTA[[#This Row],[//DB]])))</f>
        <v/>
      </c>
      <c r="AX3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3" s="25" t="str">
        <f ca="1">IF(NOTA[[#This Row],[ID_H]]="","",MATCH(NOTA[[#This Row],[NB NOTA_C_QTY]],[3]!db[NB NOTA_C_QTY+F],0))</f>
        <v/>
      </c>
      <c r="AZ313" s="38" t="str">
        <f ca="1">IF(NOTA[[#This Row],[NB NOTA_C_QTY]]="","",ROW()-2)</f>
        <v/>
      </c>
    </row>
    <row r="314" spans="1:52" ht="20.100000000000001" customHeight="1">
      <c r="A3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4" s="25" t="str">
        <f ca="1">IF(NOTA[[#This Row],[NAMA BARANG]]="","",INDEX(NOTA[ID],MATCH(,INDIRECT(ADDRESS(ROW(NOTA[ID]),COLUMN(NOTA[ID]))&amp;":"&amp;ADDRESS(ROW(),COLUMN(NOTA[ID]))),-1)))</f>
        <v/>
      </c>
      <c r="E314" s="33"/>
      <c r="H314" s="34"/>
      <c r="L314" s="39"/>
      <c r="Q314" s="29"/>
      <c r="R314" s="35"/>
      <c r="S314" s="36"/>
      <c r="V314" s="37"/>
      <c r="W314" s="32"/>
      <c r="X314" s="37" t="str">
        <f>IF(NOTA[[#This Row],[HARGA/ CTN]]="",NOTA[[#This Row],[JUMLAH_H]],NOTA[[#This Row],[HARGA/ CTN]]*IF(NOTA[[#This Row],[C]]="",0,NOTA[[#This Row],[C]]))</f>
        <v/>
      </c>
      <c r="Y314" s="37" t="str">
        <f>IF(NOTA[[#This Row],[JUMLAH]]="","",NOTA[[#This Row],[JUMLAH]]*NOTA[[#This Row],[DISC 1]])</f>
        <v/>
      </c>
      <c r="Z314" s="37" t="str">
        <f>IF(NOTA[[#This Row],[JUMLAH]]="","",(NOTA[[#This Row],[JUMLAH]]-NOTA[[#This Row],[DISC 1-]])*NOTA[[#This Row],[DISC 2]])</f>
        <v/>
      </c>
      <c r="AA314" s="37" t="str">
        <f>IF(NOTA[[#This Row],[JUMLAH]]="","",(NOTA[[#This Row],[JUMLAH]]-NOTA[[#This Row],[DISC 1-]]-NOTA[[#This Row],[DISC 2-]])*NOTA[[#This Row],[DISC 3]])</f>
        <v/>
      </c>
      <c r="AB314" s="37" t="str">
        <f>IF(NOTA[[#This Row],[JUMLAH]]="","",NOTA[[#This Row],[DISC 1-]]+NOTA[[#This Row],[DISC 2-]]+NOTA[[#This Row],[DISC 3-]])</f>
        <v/>
      </c>
      <c r="AC314" s="37" t="str">
        <f>IF(NOTA[[#This Row],[JUMLAH]]="","",NOTA[[#This Row],[JUMLAH]]-NOTA[[#This Row],[DISC]])</f>
        <v/>
      </c>
      <c r="AD314" s="37"/>
      <c r="AE3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4" s="37" t="str">
        <f>IF(OR(NOTA[[#This Row],[QTY]]="",NOTA[[#This Row],[HARGA SATUAN]]="",),"",NOTA[[#This Row],[QTY]]*NOTA[[#This Row],[HARGA SATUAN]])</f>
        <v/>
      </c>
      <c r="AI314" s="26" t="str">
        <f ca="1">IF(NOTA[[#This Row],[ID_H]]="","",INDEX(NOTA[TANGGAL],MATCH(,INDIRECT(ADDRESS(ROW(NOTA[TANGGAL]),COLUMN(NOTA[TANGGAL]))&amp;":"&amp;ADDRESS(ROW(),COLUMN(NOTA[TANGGAL]))),-1)))</f>
        <v/>
      </c>
      <c r="AJ314" s="26" t="str">
        <f ca="1">IF(NOTA[[#This Row],[ID_H]]="","",INDEX(NOTA[TGL.NOTA],MATCH(,INDIRECT(ADDRESS(ROW(NOTA[TGL.NOTA]),COLUMN(NOTA[TGL.NOTA]))&amp;":"&amp;ADDRESS(ROW(),COLUMN(NOTA[TGL.NOTA]))),-1)))</f>
        <v/>
      </c>
      <c r="AK314" s="26" t="str">
        <f ca="1">IF(NOTA[[#This Row],[ID_H]]="","",INDEX(NOTA[NO.NOTA],MATCH(NOTA[[#This Row],[ID_H]],NOTA[ID_H],0)))</f>
        <v/>
      </c>
      <c r="AL314" s="28" t="str">
        <f ca="1">IF(NOTA[[#This Row],[NAMA BARANG]]="","",INDEX(NOTA[SUPPLIER],MATCH(,INDIRECT(ADDRESS(ROW(NOTA[ID]),COLUMN(NOTA[ID]))&amp;":"&amp;ADDRESS(ROW(),COLUMN(NOTA[ID]))),-1)))</f>
        <v/>
      </c>
      <c r="AM314" s="28" t="str">
        <f ca="1">IF(NOTA[[#This Row],[ID_H]]="","",IF(NOTA[[#This Row],[FAKTUR]]="",INDIRECT(ADDRESS(ROW()-1,COLUMN())),NOTA[[#This Row],[FAKTUR]]))</f>
        <v/>
      </c>
      <c r="AN314" s="25" t="str">
        <f ca="1">IF(NOTA[[#This Row],[ID]]="","",COUNTIF(NOTA[ID_H],NOTA[[#This Row],[ID_H]]))</f>
        <v/>
      </c>
      <c r="AO314" s="25" t="str">
        <f ca="1">IF(NOTA[[#This Row],[TGL.NOTA]]="",IF(NOTA[[#This Row],[SUPPLIER_H]]="","",AO313),MONTH(NOTA[[#This Row],[TGL.NOTA]]))</f>
        <v/>
      </c>
      <c r="AP3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4" s="25"/>
      <c r="AU314" s="25" t="str">
        <f>IF(NOTA[[#This Row],[CONCAT1]]="","",MATCH(NOTA[[#This Row],[CONCAT1]],[3]!db[NB NOTA_C],0))</f>
        <v/>
      </c>
      <c r="AV314" s="25" t="str">
        <f>IF(NOTA[[#This Row],[QTY/ CTN]]="","",TRUE)</f>
        <v/>
      </c>
      <c r="AW314" s="25" t="str">
        <f ca="1">IF(NOTA[[#This Row],[ID_H]]="","",IF(NOTA[[#This Row],[Column3]]=TRUE,NOTA[[#This Row],[QTY/ CTN]],INDEX([3]!db[QTY/ CTN],NOTA[[#This Row],[//DB]])))</f>
        <v/>
      </c>
      <c r="AX3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4" s="25" t="str">
        <f ca="1">IF(NOTA[[#This Row],[ID_H]]="","",MATCH(NOTA[[#This Row],[NB NOTA_C_QTY]],[3]!db[NB NOTA_C_QTY+F],0))</f>
        <v/>
      </c>
      <c r="AZ314" s="38" t="str">
        <f ca="1">IF(NOTA[[#This Row],[NB NOTA_C_QTY]]="","",ROW()-2)</f>
        <v/>
      </c>
    </row>
    <row r="315" spans="1:52" ht="20.100000000000001" customHeight="1">
      <c r="A3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5" s="25" t="str">
        <f ca="1">IF(NOTA[[#This Row],[NAMA BARANG]]="","",INDEX(NOTA[ID],MATCH(,INDIRECT(ADDRESS(ROW(NOTA[ID]),COLUMN(NOTA[ID]))&amp;":"&amp;ADDRESS(ROW(),COLUMN(NOTA[ID]))),-1)))</f>
        <v/>
      </c>
      <c r="E315" s="33"/>
      <c r="H315" s="34"/>
      <c r="L315" s="39"/>
      <c r="Q315" s="29"/>
      <c r="R315" s="35"/>
      <c r="S315" s="36"/>
      <c r="V315" s="37"/>
      <c r="W315" s="32"/>
      <c r="X315" s="37" t="str">
        <f>IF(NOTA[[#This Row],[HARGA/ CTN]]="",NOTA[[#This Row],[JUMLAH_H]],NOTA[[#This Row],[HARGA/ CTN]]*IF(NOTA[[#This Row],[C]]="",0,NOTA[[#This Row],[C]]))</f>
        <v/>
      </c>
      <c r="Y315" s="37" t="str">
        <f>IF(NOTA[[#This Row],[JUMLAH]]="","",NOTA[[#This Row],[JUMLAH]]*NOTA[[#This Row],[DISC 1]])</f>
        <v/>
      </c>
      <c r="Z315" s="37" t="str">
        <f>IF(NOTA[[#This Row],[JUMLAH]]="","",(NOTA[[#This Row],[JUMLAH]]-NOTA[[#This Row],[DISC 1-]])*NOTA[[#This Row],[DISC 2]])</f>
        <v/>
      </c>
      <c r="AA315" s="37" t="str">
        <f>IF(NOTA[[#This Row],[JUMLAH]]="","",(NOTA[[#This Row],[JUMLAH]]-NOTA[[#This Row],[DISC 1-]]-NOTA[[#This Row],[DISC 2-]])*NOTA[[#This Row],[DISC 3]])</f>
        <v/>
      </c>
      <c r="AB315" s="37" t="str">
        <f>IF(NOTA[[#This Row],[JUMLAH]]="","",NOTA[[#This Row],[DISC 1-]]+NOTA[[#This Row],[DISC 2-]]+NOTA[[#This Row],[DISC 3-]])</f>
        <v/>
      </c>
      <c r="AC315" s="37" t="str">
        <f>IF(NOTA[[#This Row],[JUMLAH]]="","",NOTA[[#This Row],[JUMLAH]]-NOTA[[#This Row],[DISC]])</f>
        <v/>
      </c>
      <c r="AD315" s="37"/>
      <c r="AE3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5" s="37" t="str">
        <f>IF(OR(NOTA[[#This Row],[QTY]]="",NOTA[[#This Row],[HARGA SATUAN]]="",),"",NOTA[[#This Row],[QTY]]*NOTA[[#This Row],[HARGA SATUAN]])</f>
        <v/>
      </c>
      <c r="AI315" s="26" t="str">
        <f ca="1">IF(NOTA[[#This Row],[ID_H]]="","",INDEX(NOTA[TANGGAL],MATCH(,INDIRECT(ADDRESS(ROW(NOTA[TANGGAL]),COLUMN(NOTA[TANGGAL]))&amp;":"&amp;ADDRESS(ROW(),COLUMN(NOTA[TANGGAL]))),-1)))</f>
        <v/>
      </c>
      <c r="AJ315" s="26" t="str">
        <f ca="1">IF(NOTA[[#This Row],[ID_H]]="","",INDEX(NOTA[TGL.NOTA],MATCH(,INDIRECT(ADDRESS(ROW(NOTA[TGL.NOTA]),COLUMN(NOTA[TGL.NOTA]))&amp;":"&amp;ADDRESS(ROW(),COLUMN(NOTA[TGL.NOTA]))),-1)))</f>
        <v/>
      </c>
      <c r="AK315" s="26" t="str">
        <f ca="1">IF(NOTA[[#This Row],[ID_H]]="","",INDEX(NOTA[NO.NOTA],MATCH(NOTA[[#This Row],[ID_H]],NOTA[ID_H],0)))</f>
        <v/>
      </c>
      <c r="AL315" s="28" t="str">
        <f ca="1">IF(NOTA[[#This Row],[NAMA BARANG]]="","",INDEX(NOTA[SUPPLIER],MATCH(,INDIRECT(ADDRESS(ROW(NOTA[ID]),COLUMN(NOTA[ID]))&amp;":"&amp;ADDRESS(ROW(),COLUMN(NOTA[ID]))),-1)))</f>
        <v/>
      </c>
      <c r="AM315" s="28" t="str">
        <f ca="1">IF(NOTA[[#This Row],[ID_H]]="","",IF(NOTA[[#This Row],[FAKTUR]]="",INDIRECT(ADDRESS(ROW()-1,COLUMN())),NOTA[[#This Row],[FAKTUR]]))</f>
        <v/>
      </c>
      <c r="AN315" s="25" t="str">
        <f ca="1">IF(NOTA[[#This Row],[ID]]="","",COUNTIF(NOTA[ID_H],NOTA[[#This Row],[ID_H]]))</f>
        <v/>
      </c>
      <c r="AO315" s="25" t="str">
        <f ca="1">IF(NOTA[[#This Row],[TGL.NOTA]]="",IF(NOTA[[#This Row],[SUPPLIER_H]]="","",AO314),MONTH(NOTA[[#This Row],[TGL.NOTA]]))</f>
        <v/>
      </c>
      <c r="AP3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5" s="25"/>
      <c r="AU315" s="25" t="str">
        <f>IF(NOTA[[#This Row],[CONCAT1]]="","",MATCH(NOTA[[#This Row],[CONCAT1]],[3]!db[NB NOTA_C],0))</f>
        <v/>
      </c>
      <c r="AV315" s="25" t="str">
        <f>IF(NOTA[[#This Row],[QTY/ CTN]]="","",TRUE)</f>
        <v/>
      </c>
      <c r="AW315" s="25" t="str">
        <f ca="1">IF(NOTA[[#This Row],[ID_H]]="","",IF(NOTA[[#This Row],[Column3]]=TRUE,NOTA[[#This Row],[QTY/ CTN]],INDEX([3]!db[QTY/ CTN],NOTA[[#This Row],[//DB]])))</f>
        <v/>
      </c>
      <c r="AX3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5" s="25" t="str">
        <f ca="1">IF(NOTA[[#This Row],[ID_H]]="","",MATCH(NOTA[[#This Row],[NB NOTA_C_QTY]],[3]!db[NB NOTA_C_QTY+F],0))</f>
        <v/>
      </c>
      <c r="AZ315" s="38" t="str">
        <f ca="1">IF(NOTA[[#This Row],[NB NOTA_C_QTY]]="","",ROW()-2)</f>
        <v/>
      </c>
    </row>
    <row r="316" spans="1:52" ht="20.100000000000001" customHeight="1">
      <c r="A3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6" s="25" t="str">
        <f ca="1">IF(NOTA[[#This Row],[NAMA BARANG]]="","",INDEX(NOTA[ID],MATCH(,INDIRECT(ADDRESS(ROW(NOTA[ID]),COLUMN(NOTA[ID]))&amp;":"&amp;ADDRESS(ROW(),COLUMN(NOTA[ID]))),-1)))</f>
        <v/>
      </c>
      <c r="E316" s="33"/>
      <c r="H316" s="34"/>
      <c r="L316" s="39"/>
      <c r="Q316" s="29"/>
      <c r="R316" s="35"/>
      <c r="S316" s="36"/>
      <c r="V316" s="37"/>
      <c r="W316" s="32"/>
      <c r="X316" s="37" t="str">
        <f>IF(NOTA[[#This Row],[HARGA/ CTN]]="",NOTA[[#This Row],[JUMLAH_H]],NOTA[[#This Row],[HARGA/ CTN]]*IF(NOTA[[#This Row],[C]]="",0,NOTA[[#This Row],[C]]))</f>
        <v/>
      </c>
      <c r="Y316" s="37" t="str">
        <f>IF(NOTA[[#This Row],[JUMLAH]]="","",NOTA[[#This Row],[JUMLAH]]*NOTA[[#This Row],[DISC 1]])</f>
        <v/>
      </c>
      <c r="Z316" s="37" t="str">
        <f>IF(NOTA[[#This Row],[JUMLAH]]="","",(NOTA[[#This Row],[JUMLAH]]-NOTA[[#This Row],[DISC 1-]])*NOTA[[#This Row],[DISC 2]])</f>
        <v/>
      </c>
      <c r="AA316" s="37" t="str">
        <f>IF(NOTA[[#This Row],[JUMLAH]]="","",(NOTA[[#This Row],[JUMLAH]]-NOTA[[#This Row],[DISC 1-]]-NOTA[[#This Row],[DISC 2-]])*NOTA[[#This Row],[DISC 3]])</f>
        <v/>
      </c>
      <c r="AB316" s="37" t="str">
        <f>IF(NOTA[[#This Row],[JUMLAH]]="","",NOTA[[#This Row],[DISC 1-]]+NOTA[[#This Row],[DISC 2-]]+NOTA[[#This Row],[DISC 3-]])</f>
        <v/>
      </c>
      <c r="AC316" s="37" t="str">
        <f>IF(NOTA[[#This Row],[JUMLAH]]="","",NOTA[[#This Row],[JUMLAH]]-NOTA[[#This Row],[DISC]])</f>
        <v/>
      </c>
      <c r="AD316" s="37"/>
      <c r="AE3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6" s="37" t="str">
        <f>IF(OR(NOTA[[#This Row],[QTY]]="",NOTA[[#This Row],[HARGA SATUAN]]="",),"",NOTA[[#This Row],[QTY]]*NOTA[[#This Row],[HARGA SATUAN]])</f>
        <v/>
      </c>
      <c r="AI316" s="26" t="str">
        <f ca="1">IF(NOTA[[#This Row],[ID_H]]="","",INDEX(NOTA[TANGGAL],MATCH(,INDIRECT(ADDRESS(ROW(NOTA[TANGGAL]),COLUMN(NOTA[TANGGAL]))&amp;":"&amp;ADDRESS(ROW(),COLUMN(NOTA[TANGGAL]))),-1)))</f>
        <v/>
      </c>
      <c r="AJ316" s="26" t="str">
        <f ca="1">IF(NOTA[[#This Row],[ID_H]]="","",INDEX(NOTA[TGL.NOTA],MATCH(,INDIRECT(ADDRESS(ROW(NOTA[TGL.NOTA]),COLUMN(NOTA[TGL.NOTA]))&amp;":"&amp;ADDRESS(ROW(),COLUMN(NOTA[TGL.NOTA]))),-1)))</f>
        <v/>
      </c>
      <c r="AK316" s="26" t="str">
        <f ca="1">IF(NOTA[[#This Row],[ID_H]]="","",INDEX(NOTA[NO.NOTA],MATCH(NOTA[[#This Row],[ID_H]],NOTA[ID_H],0)))</f>
        <v/>
      </c>
      <c r="AL316" s="28" t="str">
        <f ca="1">IF(NOTA[[#This Row],[NAMA BARANG]]="","",INDEX(NOTA[SUPPLIER],MATCH(,INDIRECT(ADDRESS(ROW(NOTA[ID]),COLUMN(NOTA[ID]))&amp;":"&amp;ADDRESS(ROW(),COLUMN(NOTA[ID]))),-1)))</f>
        <v/>
      </c>
      <c r="AM316" s="28" t="str">
        <f ca="1">IF(NOTA[[#This Row],[ID_H]]="","",IF(NOTA[[#This Row],[FAKTUR]]="",INDIRECT(ADDRESS(ROW()-1,COLUMN())),NOTA[[#This Row],[FAKTUR]]))</f>
        <v/>
      </c>
      <c r="AN316" s="25" t="str">
        <f ca="1">IF(NOTA[[#This Row],[ID]]="","",COUNTIF(NOTA[ID_H],NOTA[[#This Row],[ID_H]]))</f>
        <v/>
      </c>
      <c r="AO316" s="25" t="str">
        <f ca="1">IF(NOTA[[#This Row],[TGL.NOTA]]="",IF(NOTA[[#This Row],[SUPPLIER_H]]="","",AO315),MONTH(NOTA[[#This Row],[TGL.NOTA]]))</f>
        <v/>
      </c>
      <c r="AP3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6" s="25"/>
      <c r="AU316" s="25" t="str">
        <f>IF(NOTA[[#This Row],[CONCAT1]]="","",MATCH(NOTA[[#This Row],[CONCAT1]],[3]!db[NB NOTA_C],0))</f>
        <v/>
      </c>
      <c r="AV316" s="25" t="str">
        <f>IF(NOTA[[#This Row],[QTY/ CTN]]="","",TRUE)</f>
        <v/>
      </c>
      <c r="AW316" s="25" t="str">
        <f ca="1">IF(NOTA[[#This Row],[ID_H]]="","",IF(NOTA[[#This Row],[Column3]]=TRUE,NOTA[[#This Row],[QTY/ CTN]],INDEX([3]!db[QTY/ CTN],NOTA[[#This Row],[//DB]])))</f>
        <v/>
      </c>
      <c r="AX3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6" s="25" t="str">
        <f ca="1">IF(NOTA[[#This Row],[ID_H]]="","",MATCH(NOTA[[#This Row],[NB NOTA_C_QTY]],[3]!db[NB NOTA_C_QTY+F],0))</f>
        <v/>
      </c>
      <c r="AZ316" s="38" t="str">
        <f ca="1">IF(NOTA[[#This Row],[NB NOTA_C_QTY]]="","",ROW()-2)</f>
        <v/>
      </c>
    </row>
    <row r="317" spans="1:52" ht="20.100000000000001" customHeight="1">
      <c r="A3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7" s="25" t="str">
        <f ca="1">IF(NOTA[[#This Row],[NAMA BARANG]]="","",INDEX(NOTA[ID],MATCH(,INDIRECT(ADDRESS(ROW(NOTA[ID]),COLUMN(NOTA[ID]))&amp;":"&amp;ADDRESS(ROW(),COLUMN(NOTA[ID]))),-1)))</f>
        <v/>
      </c>
      <c r="E317" s="33"/>
      <c r="H317" s="34"/>
      <c r="Q317" s="29"/>
      <c r="R317" s="35"/>
      <c r="S317" s="36"/>
      <c r="V317" s="37"/>
      <c r="W317" s="32"/>
      <c r="X317" s="37" t="str">
        <f>IF(NOTA[[#This Row],[HARGA/ CTN]]="",NOTA[[#This Row],[JUMLAH_H]],NOTA[[#This Row],[HARGA/ CTN]]*IF(NOTA[[#This Row],[C]]="",0,NOTA[[#This Row],[C]]))</f>
        <v/>
      </c>
      <c r="Y317" s="37" t="str">
        <f>IF(NOTA[[#This Row],[JUMLAH]]="","",NOTA[[#This Row],[JUMLAH]]*NOTA[[#This Row],[DISC 1]])</f>
        <v/>
      </c>
      <c r="Z317" s="37" t="str">
        <f>IF(NOTA[[#This Row],[JUMLAH]]="","",(NOTA[[#This Row],[JUMLAH]]-NOTA[[#This Row],[DISC 1-]])*NOTA[[#This Row],[DISC 2]])</f>
        <v/>
      </c>
      <c r="AA317" s="37" t="str">
        <f>IF(NOTA[[#This Row],[JUMLAH]]="","",(NOTA[[#This Row],[JUMLAH]]-NOTA[[#This Row],[DISC 1-]]-NOTA[[#This Row],[DISC 2-]])*NOTA[[#This Row],[DISC 3]])</f>
        <v/>
      </c>
      <c r="AB317" s="37" t="str">
        <f>IF(NOTA[[#This Row],[JUMLAH]]="","",NOTA[[#This Row],[DISC 1-]]+NOTA[[#This Row],[DISC 2-]]+NOTA[[#This Row],[DISC 3-]])</f>
        <v/>
      </c>
      <c r="AC317" s="37" t="str">
        <f>IF(NOTA[[#This Row],[JUMLAH]]="","",NOTA[[#This Row],[JUMLAH]]-NOTA[[#This Row],[DISC]])</f>
        <v/>
      </c>
      <c r="AD317" s="37"/>
      <c r="AE3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7" s="37" t="str">
        <f>IF(OR(NOTA[[#This Row],[QTY]]="",NOTA[[#This Row],[HARGA SATUAN]]="",),"",NOTA[[#This Row],[QTY]]*NOTA[[#This Row],[HARGA SATUAN]])</f>
        <v/>
      </c>
      <c r="AI317" s="26" t="str">
        <f ca="1">IF(NOTA[[#This Row],[ID_H]]="","",INDEX(NOTA[TANGGAL],MATCH(,INDIRECT(ADDRESS(ROW(NOTA[TANGGAL]),COLUMN(NOTA[TANGGAL]))&amp;":"&amp;ADDRESS(ROW(),COLUMN(NOTA[TANGGAL]))),-1)))</f>
        <v/>
      </c>
      <c r="AJ317" s="26" t="str">
        <f ca="1">IF(NOTA[[#This Row],[ID_H]]="","",INDEX(NOTA[TGL.NOTA],MATCH(,INDIRECT(ADDRESS(ROW(NOTA[TGL.NOTA]),COLUMN(NOTA[TGL.NOTA]))&amp;":"&amp;ADDRESS(ROW(),COLUMN(NOTA[TGL.NOTA]))),-1)))</f>
        <v/>
      </c>
      <c r="AK317" s="26" t="str">
        <f ca="1">IF(NOTA[[#This Row],[ID_H]]="","",INDEX(NOTA[NO.NOTA],MATCH(NOTA[[#This Row],[ID_H]],NOTA[ID_H],0)))</f>
        <v/>
      </c>
      <c r="AL317" s="28" t="str">
        <f ca="1">IF(NOTA[[#This Row],[NAMA BARANG]]="","",INDEX(NOTA[SUPPLIER],MATCH(,INDIRECT(ADDRESS(ROW(NOTA[ID]),COLUMN(NOTA[ID]))&amp;":"&amp;ADDRESS(ROW(),COLUMN(NOTA[ID]))),-1)))</f>
        <v/>
      </c>
      <c r="AM317" s="28" t="str">
        <f ca="1">IF(NOTA[[#This Row],[ID_H]]="","",IF(NOTA[[#This Row],[FAKTUR]]="",INDIRECT(ADDRESS(ROW()-1,COLUMN())),NOTA[[#This Row],[FAKTUR]]))</f>
        <v/>
      </c>
      <c r="AN317" s="25" t="str">
        <f ca="1">IF(NOTA[[#This Row],[ID]]="","",COUNTIF(NOTA[ID_H],NOTA[[#This Row],[ID_H]]))</f>
        <v/>
      </c>
      <c r="AO317" s="25" t="str">
        <f ca="1">IF(NOTA[[#This Row],[TGL.NOTA]]="",IF(NOTA[[#This Row],[SUPPLIER_H]]="","",AO316),MONTH(NOTA[[#This Row],[TGL.NOTA]]))</f>
        <v/>
      </c>
      <c r="AP3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7" s="25"/>
      <c r="AU317" s="25" t="str">
        <f>IF(NOTA[[#This Row],[CONCAT1]]="","",MATCH(NOTA[[#This Row],[CONCAT1]],[3]!db[NB NOTA_C],0))</f>
        <v/>
      </c>
      <c r="AV317" s="25" t="str">
        <f>IF(NOTA[[#This Row],[QTY/ CTN]]="","",TRUE)</f>
        <v/>
      </c>
      <c r="AW317" s="25" t="str">
        <f ca="1">IF(NOTA[[#This Row],[ID_H]]="","",IF(NOTA[[#This Row],[Column3]]=TRUE,NOTA[[#This Row],[QTY/ CTN]],INDEX([3]!db[QTY/ CTN],NOTA[[#This Row],[//DB]])))</f>
        <v/>
      </c>
      <c r="AX3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7" s="25" t="str">
        <f ca="1">IF(NOTA[[#This Row],[ID_H]]="","",MATCH(NOTA[[#This Row],[NB NOTA_C_QTY]],[3]!db[NB NOTA_C_QTY+F],0))</f>
        <v/>
      </c>
      <c r="AZ317" s="38" t="str">
        <f ca="1">IF(NOTA[[#This Row],[NB NOTA_C_QTY]]="","",ROW()-2)</f>
        <v/>
      </c>
    </row>
    <row r="318" spans="1:52" ht="20.100000000000001" customHeight="1">
      <c r="A3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8" s="25" t="str">
        <f ca="1">IF(NOTA[[#This Row],[NAMA BARANG]]="","",INDEX(NOTA[ID],MATCH(,INDIRECT(ADDRESS(ROW(NOTA[ID]),COLUMN(NOTA[ID]))&amp;":"&amp;ADDRESS(ROW(),COLUMN(NOTA[ID]))),-1)))</f>
        <v/>
      </c>
      <c r="E318" s="33"/>
      <c r="H318" s="34"/>
      <c r="L318" s="39"/>
      <c r="Q318" s="29"/>
      <c r="R318" s="35"/>
      <c r="S318" s="36"/>
      <c r="V318" s="37"/>
      <c r="W318" s="32"/>
      <c r="X318" s="37" t="str">
        <f>IF(NOTA[[#This Row],[HARGA/ CTN]]="",NOTA[[#This Row],[JUMLAH_H]],NOTA[[#This Row],[HARGA/ CTN]]*IF(NOTA[[#This Row],[C]]="",0,NOTA[[#This Row],[C]]))</f>
        <v/>
      </c>
      <c r="Y318" s="37" t="str">
        <f>IF(NOTA[[#This Row],[JUMLAH]]="","",NOTA[[#This Row],[JUMLAH]]*NOTA[[#This Row],[DISC 1]])</f>
        <v/>
      </c>
      <c r="Z318" s="37" t="str">
        <f>IF(NOTA[[#This Row],[JUMLAH]]="","",(NOTA[[#This Row],[JUMLAH]]-NOTA[[#This Row],[DISC 1-]])*NOTA[[#This Row],[DISC 2]])</f>
        <v/>
      </c>
      <c r="AA318" s="37" t="str">
        <f>IF(NOTA[[#This Row],[JUMLAH]]="","",(NOTA[[#This Row],[JUMLAH]]-NOTA[[#This Row],[DISC 1-]]-NOTA[[#This Row],[DISC 2-]])*NOTA[[#This Row],[DISC 3]])</f>
        <v/>
      </c>
      <c r="AB318" s="37" t="str">
        <f>IF(NOTA[[#This Row],[JUMLAH]]="","",NOTA[[#This Row],[DISC 1-]]+NOTA[[#This Row],[DISC 2-]]+NOTA[[#This Row],[DISC 3-]])</f>
        <v/>
      </c>
      <c r="AC318" s="37" t="str">
        <f>IF(NOTA[[#This Row],[JUMLAH]]="","",NOTA[[#This Row],[JUMLAH]]-NOTA[[#This Row],[DISC]])</f>
        <v/>
      </c>
      <c r="AD318" s="37"/>
      <c r="AE3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8" s="37" t="str">
        <f>IF(OR(NOTA[[#This Row],[QTY]]="",NOTA[[#This Row],[HARGA SATUAN]]="",),"",NOTA[[#This Row],[QTY]]*NOTA[[#This Row],[HARGA SATUAN]])</f>
        <v/>
      </c>
      <c r="AI318" s="26" t="str">
        <f ca="1">IF(NOTA[[#This Row],[ID_H]]="","",INDEX(NOTA[TANGGAL],MATCH(,INDIRECT(ADDRESS(ROW(NOTA[TANGGAL]),COLUMN(NOTA[TANGGAL]))&amp;":"&amp;ADDRESS(ROW(),COLUMN(NOTA[TANGGAL]))),-1)))</f>
        <v/>
      </c>
      <c r="AJ318" s="26" t="str">
        <f ca="1">IF(NOTA[[#This Row],[ID_H]]="","",INDEX(NOTA[TGL.NOTA],MATCH(,INDIRECT(ADDRESS(ROW(NOTA[TGL.NOTA]),COLUMN(NOTA[TGL.NOTA]))&amp;":"&amp;ADDRESS(ROW(),COLUMN(NOTA[TGL.NOTA]))),-1)))</f>
        <v/>
      </c>
      <c r="AK318" s="26" t="str">
        <f ca="1">IF(NOTA[[#This Row],[ID_H]]="","",INDEX(NOTA[NO.NOTA],MATCH(NOTA[[#This Row],[ID_H]],NOTA[ID_H],0)))</f>
        <v/>
      </c>
      <c r="AL318" s="28" t="str">
        <f ca="1">IF(NOTA[[#This Row],[NAMA BARANG]]="","",INDEX(NOTA[SUPPLIER],MATCH(,INDIRECT(ADDRESS(ROW(NOTA[ID]),COLUMN(NOTA[ID]))&amp;":"&amp;ADDRESS(ROW(),COLUMN(NOTA[ID]))),-1)))</f>
        <v/>
      </c>
      <c r="AM318" s="28" t="str">
        <f ca="1">IF(NOTA[[#This Row],[ID_H]]="","",IF(NOTA[[#This Row],[FAKTUR]]="",INDIRECT(ADDRESS(ROW()-1,COLUMN())),NOTA[[#This Row],[FAKTUR]]))</f>
        <v/>
      </c>
      <c r="AN318" s="25" t="str">
        <f ca="1">IF(NOTA[[#This Row],[ID]]="","",COUNTIF(NOTA[ID_H],NOTA[[#This Row],[ID_H]]))</f>
        <v/>
      </c>
      <c r="AO318" s="25" t="str">
        <f ca="1">IF(NOTA[[#This Row],[TGL.NOTA]]="",IF(NOTA[[#This Row],[SUPPLIER_H]]="","",AO317),MONTH(NOTA[[#This Row],[TGL.NOTA]]))</f>
        <v/>
      </c>
      <c r="AP3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8" s="25"/>
      <c r="AU318" s="25" t="str">
        <f>IF(NOTA[[#This Row],[CONCAT1]]="","",MATCH(NOTA[[#This Row],[CONCAT1]],[3]!db[NB NOTA_C],0))</f>
        <v/>
      </c>
      <c r="AV318" s="25" t="str">
        <f>IF(NOTA[[#This Row],[QTY/ CTN]]="","",TRUE)</f>
        <v/>
      </c>
      <c r="AW318" s="25" t="str">
        <f ca="1">IF(NOTA[[#This Row],[ID_H]]="","",IF(NOTA[[#This Row],[Column3]]=TRUE,NOTA[[#This Row],[QTY/ CTN]],INDEX([3]!db[QTY/ CTN],NOTA[[#This Row],[//DB]])))</f>
        <v/>
      </c>
      <c r="AX3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8" s="25" t="str">
        <f ca="1">IF(NOTA[[#This Row],[ID_H]]="","",MATCH(NOTA[[#This Row],[NB NOTA_C_QTY]],[3]!db[NB NOTA_C_QTY+F],0))</f>
        <v/>
      </c>
      <c r="AZ318" s="38" t="str">
        <f ca="1">IF(NOTA[[#This Row],[NB NOTA_C_QTY]]="","",ROW()-2)</f>
        <v/>
      </c>
    </row>
    <row r="319" spans="1:52" ht="20.100000000000001" customHeight="1">
      <c r="A3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9" s="25" t="str">
        <f ca="1">IF(NOTA[[#This Row],[NAMA BARANG]]="","",INDEX(NOTA[ID],MATCH(,INDIRECT(ADDRESS(ROW(NOTA[ID]),COLUMN(NOTA[ID]))&amp;":"&amp;ADDRESS(ROW(),COLUMN(NOTA[ID]))),-1)))</f>
        <v/>
      </c>
      <c r="E319" s="33"/>
      <c r="H319" s="34"/>
      <c r="L319" s="39"/>
      <c r="Q319" s="29"/>
      <c r="R319" s="35"/>
      <c r="S319" s="36"/>
      <c r="V319" s="37"/>
      <c r="W319" s="32"/>
      <c r="X319" s="37" t="str">
        <f>IF(NOTA[[#This Row],[HARGA/ CTN]]="",NOTA[[#This Row],[JUMLAH_H]],NOTA[[#This Row],[HARGA/ CTN]]*IF(NOTA[[#This Row],[C]]="",0,NOTA[[#This Row],[C]]))</f>
        <v/>
      </c>
      <c r="Y319" s="37" t="str">
        <f>IF(NOTA[[#This Row],[JUMLAH]]="","",NOTA[[#This Row],[JUMLAH]]*NOTA[[#This Row],[DISC 1]])</f>
        <v/>
      </c>
      <c r="Z319" s="37" t="str">
        <f>IF(NOTA[[#This Row],[JUMLAH]]="","",(NOTA[[#This Row],[JUMLAH]]-NOTA[[#This Row],[DISC 1-]])*NOTA[[#This Row],[DISC 2]])</f>
        <v/>
      </c>
      <c r="AA319" s="37" t="str">
        <f>IF(NOTA[[#This Row],[JUMLAH]]="","",(NOTA[[#This Row],[JUMLAH]]-NOTA[[#This Row],[DISC 1-]]-NOTA[[#This Row],[DISC 2-]])*NOTA[[#This Row],[DISC 3]])</f>
        <v/>
      </c>
      <c r="AB319" s="37" t="str">
        <f>IF(NOTA[[#This Row],[JUMLAH]]="","",NOTA[[#This Row],[DISC 1-]]+NOTA[[#This Row],[DISC 2-]]+NOTA[[#This Row],[DISC 3-]])</f>
        <v/>
      </c>
      <c r="AC319" s="37" t="str">
        <f>IF(NOTA[[#This Row],[JUMLAH]]="","",NOTA[[#This Row],[JUMLAH]]-NOTA[[#This Row],[DISC]])</f>
        <v/>
      </c>
      <c r="AD319" s="37"/>
      <c r="AE3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9" s="37" t="str">
        <f>IF(OR(NOTA[[#This Row],[QTY]]="",NOTA[[#This Row],[HARGA SATUAN]]="",),"",NOTA[[#This Row],[QTY]]*NOTA[[#This Row],[HARGA SATUAN]])</f>
        <v/>
      </c>
      <c r="AI319" s="26" t="str">
        <f ca="1">IF(NOTA[[#This Row],[ID_H]]="","",INDEX(NOTA[TANGGAL],MATCH(,INDIRECT(ADDRESS(ROW(NOTA[TANGGAL]),COLUMN(NOTA[TANGGAL]))&amp;":"&amp;ADDRESS(ROW(),COLUMN(NOTA[TANGGAL]))),-1)))</f>
        <v/>
      </c>
      <c r="AJ319" s="26" t="str">
        <f ca="1">IF(NOTA[[#This Row],[ID_H]]="","",INDEX(NOTA[TGL.NOTA],MATCH(,INDIRECT(ADDRESS(ROW(NOTA[TGL.NOTA]),COLUMN(NOTA[TGL.NOTA]))&amp;":"&amp;ADDRESS(ROW(),COLUMN(NOTA[TGL.NOTA]))),-1)))</f>
        <v/>
      </c>
      <c r="AK319" s="26" t="str">
        <f ca="1">IF(NOTA[[#This Row],[ID_H]]="","",INDEX(NOTA[NO.NOTA],MATCH(NOTA[[#This Row],[ID_H]],NOTA[ID_H],0)))</f>
        <v/>
      </c>
      <c r="AL319" s="28" t="str">
        <f ca="1">IF(NOTA[[#This Row],[NAMA BARANG]]="","",INDEX(NOTA[SUPPLIER],MATCH(,INDIRECT(ADDRESS(ROW(NOTA[ID]),COLUMN(NOTA[ID]))&amp;":"&amp;ADDRESS(ROW(),COLUMN(NOTA[ID]))),-1)))</f>
        <v/>
      </c>
      <c r="AM319" s="28" t="str">
        <f ca="1">IF(NOTA[[#This Row],[ID_H]]="","",IF(NOTA[[#This Row],[FAKTUR]]="",INDIRECT(ADDRESS(ROW()-1,COLUMN())),NOTA[[#This Row],[FAKTUR]]))</f>
        <v/>
      </c>
      <c r="AN319" s="25" t="str">
        <f ca="1">IF(NOTA[[#This Row],[ID]]="","",COUNTIF(NOTA[ID_H],NOTA[[#This Row],[ID_H]]))</f>
        <v/>
      </c>
      <c r="AO319" s="25" t="str">
        <f ca="1">IF(NOTA[[#This Row],[TGL.NOTA]]="",IF(NOTA[[#This Row],[SUPPLIER_H]]="","",AO318),MONTH(NOTA[[#This Row],[TGL.NOTA]]))</f>
        <v/>
      </c>
      <c r="AP3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9" s="25"/>
      <c r="AU319" s="25" t="str">
        <f>IF(NOTA[[#This Row],[CONCAT1]]="","",MATCH(NOTA[[#This Row],[CONCAT1]],[3]!db[NB NOTA_C],0))</f>
        <v/>
      </c>
      <c r="AV319" s="25" t="str">
        <f>IF(NOTA[[#This Row],[QTY/ CTN]]="","",TRUE)</f>
        <v/>
      </c>
      <c r="AW319" s="25" t="str">
        <f ca="1">IF(NOTA[[#This Row],[ID_H]]="","",IF(NOTA[[#This Row],[Column3]]=TRUE,NOTA[[#This Row],[QTY/ CTN]],INDEX([3]!db[QTY/ CTN],NOTA[[#This Row],[//DB]])))</f>
        <v/>
      </c>
      <c r="AX3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9" s="25" t="str">
        <f ca="1">IF(NOTA[[#This Row],[ID_H]]="","",MATCH(NOTA[[#This Row],[NB NOTA_C_QTY]],[3]!db[NB NOTA_C_QTY+F],0))</f>
        <v/>
      </c>
      <c r="AZ319" s="38" t="str">
        <f ca="1">IF(NOTA[[#This Row],[NB NOTA_C_QTY]]="","",ROW()-2)</f>
        <v/>
      </c>
    </row>
    <row r="320" spans="1:52" ht="20.100000000000001" customHeight="1">
      <c r="A3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0" s="25" t="str">
        <f ca="1">IF(NOTA[[#This Row],[NAMA BARANG]]="","",INDEX(NOTA[ID],MATCH(,INDIRECT(ADDRESS(ROW(NOTA[ID]),COLUMN(NOTA[ID]))&amp;":"&amp;ADDRESS(ROW(),COLUMN(NOTA[ID]))),-1)))</f>
        <v/>
      </c>
      <c r="E320" s="33"/>
      <c r="H320" s="34"/>
      <c r="Q320" s="29"/>
      <c r="R320" s="35"/>
      <c r="S320" s="36"/>
      <c r="V320" s="37"/>
      <c r="W320" s="32"/>
      <c r="X320" s="37" t="str">
        <f>IF(NOTA[[#This Row],[HARGA/ CTN]]="",NOTA[[#This Row],[JUMLAH_H]],NOTA[[#This Row],[HARGA/ CTN]]*IF(NOTA[[#This Row],[C]]="",0,NOTA[[#This Row],[C]]))</f>
        <v/>
      </c>
      <c r="Y320" s="37" t="str">
        <f>IF(NOTA[[#This Row],[JUMLAH]]="","",NOTA[[#This Row],[JUMLAH]]*NOTA[[#This Row],[DISC 1]])</f>
        <v/>
      </c>
      <c r="Z320" s="37" t="str">
        <f>IF(NOTA[[#This Row],[JUMLAH]]="","",(NOTA[[#This Row],[JUMLAH]]-NOTA[[#This Row],[DISC 1-]])*NOTA[[#This Row],[DISC 2]])</f>
        <v/>
      </c>
      <c r="AA320" s="37" t="str">
        <f>IF(NOTA[[#This Row],[JUMLAH]]="","",(NOTA[[#This Row],[JUMLAH]]-NOTA[[#This Row],[DISC 1-]]-NOTA[[#This Row],[DISC 2-]])*NOTA[[#This Row],[DISC 3]])</f>
        <v/>
      </c>
      <c r="AB320" s="37" t="str">
        <f>IF(NOTA[[#This Row],[JUMLAH]]="","",NOTA[[#This Row],[DISC 1-]]+NOTA[[#This Row],[DISC 2-]]+NOTA[[#This Row],[DISC 3-]])</f>
        <v/>
      </c>
      <c r="AC320" s="37" t="str">
        <f>IF(NOTA[[#This Row],[JUMLAH]]="","",NOTA[[#This Row],[JUMLAH]]-NOTA[[#This Row],[DISC]])</f>
        <v/>
      </c>
      <c r="AD320" s="37"/>
      <c r="AE3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0" s="37" t="str">
        <f>IF(OR(NOTA[[#This Row],[QTY]]="",NOTA[[#This Row],[HARGA SATUAN]]="",),"",NOTA[[#This Row],[QTY]]*NOTA[[#This Row],[HARGA SATUAN]])</f>
        <v/>
      </c>
      <c r="AI320" s="26" t="str">
        <f ca="1">IF(NOTA[[#This Row],[ID_H]]="","",INDEX(NOTA[TANGGAL],MATCH(,INDIRECT(ADDRESS(ROW(NOTA[TANGGAL]),COLUMN(NOTA[TANGGAL]))&amp;":"&amp;ADDRESS(ROW(),COLUMN(NOTA[TANGGAL]))),-1)))</f>
        <v/>
      </c>
      <c r="AJ320" s="26" t="str">
        <f ca="1">IF(NOTA[[#This Row],[ID_H]]="","",INDEX(NOTA[TGL.NOTA],MATCH(,INDIRECT(ADDRESS(ROW(NOTA[TGL.NOTA]),COLUMN(NOTA[TGL.NOTA]))&amp;":"&amp;ADDRESS(ROW(),COLUMN(NOTA[TGL.NOTA]))),-1)))</f>
        <v/>
      </c>
      <c r="AK320" s="26" t="str">
        <f ca="1">IF(NOTA[[#This Row],[ID_H]]="","",INDEX(NOTA[NO.NOTA],MATCH(NOTA[[#This Row],[ID_H]],NOTA[ID_H],0)))</f>
        <v/>
      </c>
      <c r="AL320" s="28" t="str">
        <f ca="1">IF(NOTA[[#This Row],[NAMA BARANG]]="","",INDEX(NOTA[SUPPLIER],MATCH(,INDIRECT(ADDRESS(ROW(NOTA[ID]),COLUMN(NOTA[ID]))&amp;":"&amp;ADDRESS(ROW(),COLUMN(NOTA[ID]))),-1)))</f>
        <v/>
      </c>
      <c r="AM320" s="28" t="str">
        <f ca="1">IF(NOTA[[#This Row],[ID_H]]="","",IF(NOTA[[#This Row],[FAKTUR]]="",INDIRECT(ADDRESS(ROW()-1,COLUMN())),NOTA[[#This Row],[FAKTUR]]))</f>
        <v/>
      </c>
      <c r="AN320" s="25" t="str">
        <f ca="1">IF(NOTA[[#This Row],[ID]]="","",COUNTIF(NOTA[ID_H],NOTA[[#This Row],[ID_H]]))</f>
        <v/>
      </c>
      <c r="AO320" s="25" t="str">
        <f ca="1">IF(NOTA[[#This Row],[TGL.NOTA]]="",IF(NOTA[[#This Row],[SUPPLIER_H]]="","",AO319),MONTH(NOTA[[#This Row],[TGL.NOTA]]))</f>
        <v/>
      </c>
      <c r="AP3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0" s="25"/>
      <c r="AU320" s="25" t="str">
        <f>IF(NOTA[[#This Row],[CONCAT1]]="","",MATCH(NOTA[[#This Row],[CONCAT1]],[3]!db[NB NOTA_C],0))</f>
        <v/>
      </c>
      <c r="AV320" s="25" t="str">
        <f>IF(NOTA[[#This Row],[QTY/ CTN]]="","",TRUE)</f>
        <v/>
      </c>
      <c r="AW320" s="25" t="str">
        <f ca="1">IF(NOTA[[#This Row],[ID_H]]="","",IF(NOTA[[#This Row],[Column3]]=TRUE,NOTA[[#This Row],[QTY/ CTN]],INDEX([3]!db[QTY/ CTN],NOTA[[#This Row],[//DB]])))</f>
        <v/>
      </c>
      <c r="AX3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0" s="25" t="str">
        <f ca="1">IF(NOTA[[#This Row],[ID_H]]="","",MATCH(NOTA[[#This Row],[NB NOTA_C_QTY]],[3]!db[NB NOTA_C_QTY+F],0))</f>
        <v/>
      </c>
      <c r="AZ320" s="38" t="str">
        <f ca="1">IF(NOTA[[#This Row],[NB NOTA_C_QTY]]="","",ROW()-2)</f>
        <v/>
      </c>
    </row>
    <row r="321" spans="1:52" ht="20.100000000000001" customHeight="1">
      <c r="A3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1" s="25" t="str">
        <f ca="1">IF(NOTA[[#This Row],[NAMA BARANG]]="","",INDEX(NOTA[ID],MATCH(,INDIRECT(ADDRESS(ROW(NOTA[ID]),COLUMN(NOTA[ID]))&amp;":"&amp;ADDRESS(ROW(),COLUMN(NOTA[ID]))),-1)))</f>
        <v/>
      </c>
      <c r="E321" s="33"/>
      <c r="H321" s="34"/>
      <c r="L321" s="39"/>
      <c r="Q321" s="29"/>
      <c r="R321" s="35"/>
      <c r="S321" s="36"/>
      <c r="V321" s="37"/>
      <c r="W321" s="32"/>
      <c r="X321" s="37" t="str">
        <f>IF(NOTA[[#This Row],[HARGA/ CTN]]="",NOTA[[#This Row],[JUMLAH_H]],NOTA[[#This Row],[HARGA/ CTN]]*IF(NOTA[[#This Row],[C]]="",0,NOTA[[#This Row],[C]]))</f>
        <v/>
      </c>
      <c r="Y321" s="37" t="str">
        <f>IF(NOTA[[#This Row],[JUMLAH]]="","",NOTA[[#This Row],[JUMLAH]]*NOTA[[#This Row],[DISC 1]])</f>
        <v/>
      </c>
      <c r="Z321" s="37" t="str">
        <f>IF(NOTA[[#This Row],[JUMLAH]]="","",(NOTA[[#This Row],[JUMLAH]]-NOTA[[#This Row],[DISC 1-]])*NOTA[[#This Row],[DISC 2]])</f>
        <v/>
      </c>
      <c r="AA321" s="37" t="str">
        <f>IF(NOTA[[#This Row],[JUMLAH]]="","",(NOTA[[#This Row],[JUMLAH]]-NOTA[[#This Row],[DISC 1-]]-NOTA[[#This Row],[DISC 2-]])*NOTA[[#This Row],[DISC 3]])</f>
        <v/>
      </c>
      <c r="AB321" s="37" t="str">
        <f>IF(NOTA[[#This Row],[JUMLAH]]="","",NOTA[[#This Row],[DISC 1-]]+NOTA[[#This Row],[DISC 2-]]+NOTA[[#This Row],[DISC 3-]])</f>
        <v/>
      </c>
      <c r="AC321" s="37" t="str">
        <f>IF(NOTA[[#This Row],[JUMLAH]]="","",NOTA[[#This Row],[JUMLAH]]-NOTA[[#This Row],[DISC]])</f>
        <v/>
      </c>
      <c r="AD321" s="37"/>
      <c r="AE3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1" s="37" t="str">
        <f>IF(OR(NOTA[[#This Row],[QTY]]="",NOTA[[#This Row],[HARGA SATUAN]]="",),"",NOTA[[#This Row],[QTY]]*NOTA[[#This Row],[HARGA SATUAN]])</f>
        <v/>
      </c>
      <c r="AI321" s="26" t="str">
        <f ca="1">IF(NOTA[[#This Row],[ID_H]]="","",INDEX(NOTA[TANGGAL],MATCH(,INDIRECT(ADDRESS(ROW(NOTA[TANGGAL]),COLUMN(NOTA[TANGGAL]))&amp;":"&amp;ADDRESS(ROW(),COLUMN(NOTA[TANGGAL]))),-1)))</f>
        <v/>
      </c>
      <c r="AJ321" s="26" t="str">
        <f ca="1">IF(NOTA[[#This Row],[ID_H]]="","",INDEX(NOTA[TGL.NOTA],MATCH(,INDIRECT(ADDRESS(ROW(NOTA[TGL.NOTA]),COLUMN(NOTA[TGL.NOTA]))&amp;":"&amp;ADDRESS(ROW(),COLUMN(NOTA[TGL.NOTA]))),-1)))</f>
        <v/>
      </c>
      <c r="AK321" s="26" t="str">
        <f ca="1">IF(NOTA[[#This Row],[ID_H]]="","",INDEX(NOTA[NO.NOTA],MATCH(NOTA[[#This Row],[ID_H]],NOTA[ID_H],0)))</f>
        <v/>
      </c>
      <c r="AL321" s="28" t="str">
        <f ca="1">IF(NOTA[[#This Row],[NAMA BARANG]]="","",INDEX(NOTA[SUPPLIER],MATCH(,INDIRECT(ADDRESS(ROW(NOTA[ID]),COLUMN(NOTA[ID]))&amp;":"&amp;ADDRESS(ROW(),COLUMN(NOTA[ID]))),-1)))</f>
        <v/>
      </c>
      <c r="AM321" s="28" t="str">
        <f ca="1">IF(NOTA[[#This Row],[ID_H]]="","",IF(NOTA[[#This Row],[FAKTUR]]="",INDIRECT(ADDRESS(ROW()-1,COLUMN())),NOTA[[#This Row],[FAKTUR]]))</f>
        <v/>
      </c>
      <c r="AN321" s="25" t="str">
        <f ca="1">IF(NOTA[[#This Row],[ID]]="","",COUNTIF(NOTA[ID_H],NOTA[[#This Row],[ID_H]]))</f>
        <v/>
      </c>
      <c r="AO321" s="25" t="str">
        <f ca="1">IF(NOTA[[#This Row],[TGL.NOTA]]="",IF(NOTA[[#This Row],[SUPPLIER_H]]="","",AO320),MONTH(NOTA[[#This Row],[TGL.NOTA]]))</f>
        <v/>
      </c>
      <c r="AP3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1" s="25"/>
      <c r="AU321" s="25" t="str">
        <f>IF(NOTA[[#This Row],[CONCAT1]]="","",MATCH(NOTA[[#This Row],[CONCAT1]],[3]!db[NB NOTA_C],0))</f>
        <v/>
      </c>
      <c r="AV321" s="25" t="str">
        <f>IF(NOTA[[#This Row],[QTY/ CTN]]="","",TRUE)</f>
        <v/>
      </c>
      <c r="AW321" s="25" t="str">
        <f ca="1">IF(NOTA[[#This Row],[ID_H]]="","",IF(NOTA[[#This Row],[Column3]]=TRUE,NOTA[[#This Row],[QTY/ CTN]],INDEX([3]!db[QTY/ CTN],NOTA[[#This Row],[//DB]])))</f>
        <v/>
      </c>
      <c r="AX3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1" s="25" t="str">
        <f ca="1">IF(NOTA[[#This Row],[ID_H]]="","",MATCH(NOTA[[#This Row],[NB NOTA_C_QTY]],[3]!db[NB NOTA_C_QTY+F],0))</f>
        <v/>
      </c>
      <c r="AZ321" s="38" t="str">
        <f ca="1">IF(NOTA[[#This Row],[NB NOTA_C_QTY]]="","",ROW()-2)</f>
        <v/>
      </c>
    </row>
    <row r="322" spans="1:52" ht="20.100000000000001" customHeight="1">
      <c r="A3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2" s="25" t="str">
        <f ca="1">IF(NOTA[[#This Row],[NAMA BARANG]]="","",INDEX(NOTA[ID],MATCH(,INDIRECT(ADDRESS(ROW(NOTA[ID]),COLUMN(NOTA[ID]))&amp;":"&amp;ADDRESS(ROW(),COLUMN(NOTA[ID]))),-1)))</f>
        <v/>
      </c>
      <c r="E322" s="33"/>
      <c r="H322" s="34"/>
      <c r="Q322" s="29"/>
      <c r="R322" s="35"/>
      <c r="S322" s="36"/>
      <c r="V322" s="37"/>
      <c r="W322" s="32"/>
      <c r="X322" s="37" t="str">
        <f>IF(NOTA[[#This Row],[HARGA/ CTN]]="",NOTA[[#This Row],[JUMLAH_H]],NOTA[[#This Row],[HARGA/ CTN]]*IF(NOTA[[#This Row],[C]]="",0,NOTA[[#This Row],[C]]))</f>
        <v/>
      </c>
      <c r="Y322" s="37" t="str">
        <f>IF(NOTA[[#This Row],[JUMLAH]]="","",NOTA[[#This Row],[JUMLAH]]*NOTA[[#This Row],[DISC 1]])</f>
        <v/>
      </c>
      <c r="Z322" s="37" t="str">
        <f>IF(NOTA[[#This Row],[JUMLAH]]="","",(NOTA[[#This Row],[JUMLAH]]-NOTA[[#This Row],[DISC 1-]])*NOTA[[#This Row],[DISC 2]])</f>
        <v/>
      </c>
      <c r="AA322" s="37" t="str">
        <f>IF(NOTA[[#This Row],[JUMLAH]]="","",(NOTA[[#This Row],[JUMLAH]]-NOTA[[#This Row],[DISC 1-]]-NOTA[[#This Row],[DISC 2-]])*NOTA[[#This Row],[DISC 3]])</f>
        <v/>
      </c>
      <c r="AB322" s="37" t="str">
        <f>IF(NOTA[[#This Row],[JUMLAH]]="","",NOTA[[#This Row],[DISC 1-]]+NOTA[[#This Row],[DISC 2-]]+NOTA[[#This Row],[DISC 3-]])</f>
        <v/>
      </c>
      <c r="AC322" s="37" t="str">
        <f>IF(NOTA[[#This Row],[JUMLAH]]="","",NOTA[[#This Row],[JUMLAH]]-NOTA[[#This Row],[DISC]])</f>
        <v/>
      </c>
      <c r="AD322" s="37"/>
      <c r="AE3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2" s="37" t="str">
        <f>IF(OR(NOTA[[#This Row],[QTY]]="",NOTA[[#This Row],[HARGA SATUAN]]="",),"",NOTA[[#This Row],[QTY]]*NOTA[[#This Row],[HARGA SATUAN]])</f>
        <v/>
      </c>
      <c r="AI322" s="26" t="str">
        <f ca="1">IF(NOTA[[#This Row],[ID_H]]="","",INDEX(NOTA[TANGGAL],MATCH(,INDIRECT(ADDRESS(ROW(NOTA[TANGGAL]),COLUMN(NOTA[TANGGAL]))&amp;":"&amp;ADDRESS(ROW(),COLUMN(NOTA[TANGGAL]))),-1)))</f>
        <v/>
      </c>
      <c r="AJ322" s="26" t="str">
        <f ca="1">IF(NOTA[[#This Row],[ID_H]]="","",INDEX(NOTA[TGL.NOTA],MATCH(,INDIRECT(ADDRESS(ROW(NOTA[TGL.NOTA]),COLUMN(NOTA[TGL.NOTA]))&amp;":"&amp;ADDRESS(ROW(),COLUMN(NOTA[TGL.NOTA]))),-1)))</f>
        <v/>
      </c>
      <c r="AK322" s="26" t="str">
        <f ca="1">IF(NOTA[[#This Row],[ID_H]]="","",INDEX(NOTA[NO.NOTA],MATCH(NOTA[[#This Row],[ID_H]],NOTA[ID_H],0)))</f>
        <v/>
      </c>
      <c r="AL322" s="28" t="str">
        <f ca="1">IF(NOTA[[#This Row],[NAMA BARANG]]="","",INDEX(NOTA[SUPPLIER],MATCH(,INDIRECT(ADDRESS(ROW(NOTA[ID]),COLUMN(NOTA[ID]))&amp;":"&amp;ADDRESS(ROW(),COLUMN(NOTA[ID]))),-1)))</f>
        <v/>
      </c>
      <c r="AM322" s="28" t="str">
        <f ca="1">IF(NOTA[[#This Row],[ID_H]]="","",IF(NOTA[[#This Row],[FAKTUR]]="",INDIRECT(ADDRESS(ROW()-1,COLUMN())),NOTA[[#This Row],[FAKTUR]]))</f>
        <v/>
      </c>
      <c r="AN322" s="25" t="str">
        <f ca="1">IF(NOTA[[#This Row],[ID]]="","",COUNTIF(NOTA[ID_H],NOTA[[#This Row],[ID_H]]))</f>
        <v/>
      </c>
      <c r="AO322" s="25" t="str">
        <f ca="1">IF(NOTA[[#This Row],[TGL.NOTA]]="",IF(NOTA[[#This Row],[SUPPLIER_H]]="","",AO321),MONTH(NOTA[[#This Row],[TGL.NOTA]]))</f>
        <v/>
      </c>
      <c r="AP3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2" s="25"/>
      <c r="AU322" s="25" t="str">
        <f>IF(NOTA[[#This Row],[CONCAT1]]="","",MATCH(NOTA[[#This Row],[CONCAT1]],[3]!db[NB NOTA_C],0))</f>
        <v/>
      </c>
      <c r="AV322" s="25" t="str">
        <f>IF(NOTA[[#This Row],[QTY/ CTN]]="","",TRUE)</f>
        <v/>
      </c>
      <c r="AW322" s="25" t="str">
        <f ca="1">IF(NOTA[[#This Row],[ID_H]]="","",IF(NOTA[[#This Row],[Column3]]=TRUE,NOTA[[#This Row],[QTY/ CTN]],INDEX([3]!db[QTY/ CTN],NOTA[[#This Row],[//DB]])))</f>
        <v/>
      </c>
      <c r="AX3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2" s="25" t="str">
        <f ca="1">IF(NOTA[[#This Row],[ID_H]]="","",MATCH(NOTA[[#This Row],[NB NOTA_C_QTY]],[3]!db[NB NOTA_C_QTY+F],0))</f>
        <v/>
      </c>
      <c r="AZ322" s="38" t="str">
        <f ca="1">IF(NOTA[[#This Row],[NB NOTA_C_QTY]]="","",ROW()-2)</f>
        <v/>
      </c>
    </row>
    <row r="323" spans="1:52" ht="20.100000000000001" customHeight="1">
      <c r="A3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3" s="25" t="str">
        <f ca="1">IF(NOTA[[#This Row],[NAMA BARANG]]="","",INDEX(NOTA[ID],MATCH(,INDIRECT(ADDRESS(ROW(NOTA[ID]),COLUMN(NOTA[ID]))&amp;":"&amp;ADDRESS(ROW(),COLUMN(NOTA[ID]))),-1)))</f>
        <v/>
      </c>
      <c r="E323" s="33"/>
      <c r="H323" s="34"/>
      <c r="Q323" s="29"/>
      <c r="R323" s="35"/>
      <c r="S323" s="36"/>
      <c r="V323" s="37"/>
      <c r="W323" s="32"/>
      <c r="X323" s="37" t="str">
        <f>IF(NOTA[[#This Row],[HARGA/ CTN]]="",NOTA[[#This Row],[JUMLAH_H]],NOTA[[#This Row],[HARGA/ CTN]]*IF(NOTA[[#This Row],[C]]="",0,NOTA[[#This Row],[C]]))</f>
        <v/>
      </c>
      <c r="Y323" s="37" t="str">
        <f>IF(NOTA[[#This Row],[JUMLAH]]="","",NOTA[[#This Row],[JUMLAH]]*NOTA[[#This Row],[DISC 1]])</f>
        <v/>
      </c>
      <c r="Z323" s="37" t="str">
        <f>IF(NOTA[[#This Row],[JUMLAH]]="","",(NOTA[[#This Row],[JUMLAH]]-NOTA[[#This Row],[DISC 1-]])*NOTA[[#This Row],[DISC 2]])</f>
        <v/>
      </c>
      <c r="AA323" s="37" t="str">
        <f>IF(NOTA[[#This Row],[JUMLAH]]="","",(NOTA[[#This Row],[JUMLAH]]-NOTA[[#This Row],[DISC 1-]]-NOTA[[#This Row],[DISC 2-]])*NOTA[[#This Row],[DISC 3]])</f>
        <v/>
      </c>
      <c r="AB323" s="37" t="str">
        <f>IF(NOTA[[#This Row],[JUMLAH]]="","",NOTA[[#This Row],[DISC 1-]]+NOTA[[#This Row],[DISC 2-]]+NOTA[[#This Row],[DISC 3-]])</f>
        <v/>
      </c>
      <c r="AC323" s="37" t="str">
        <f>IF(NOTA[[#This Row],[JUMLAH]]="","",NOTA[[#This Row],[JUMLAH]]-NOTA[[#This Row],[DISC]])</f>
        <v/>
      </c>
      <c r="AD323" s="37"/>
      <c r="AE3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3" s="37" t="str">
        <f>IF(OR(NOTA[[#This Row],[QTY]]="",NOTA[[#This Row],[HARGA SATUAN]]="",),"",NOTA[[#This Row],[QTY]]*NOTA[[#This Row],[HARGA SATUAN]])</f>
        <v/>
      </c>
      <c r="AI323" s="26" t="str">
        <f ca="1">IF(NOTA[[#This Row],[ID_H]]="","",INDEX(NOTA[TANGGAL],MATCH(,INDIRECT(ADDRESS(ROW(NOTA[TANGGAL]),COLUMN(NOTA[TANGGAL]))&amp;":"&amp;ADDRESS(ROW(),COLUMN(NOTA[TANGGAL]))),-1)))</f>
        <v/>
      </c>
      <c r="AJ323" s="26" t="str">
        <f ca="1">IF(NOTA[[#This Row],[ID_H]]="","",INDEX(NOTA[TGL.NOTA],MATCH(,INDIRECT(ADDRESS(ROW(NOTA[TGL.NOTA]),COLUMN(NOTA[TGL.NOTA]))&amp;":"&amp;ADDRESS(ROW(),COLUMN(NOTA[TGL.NOTA]))),-1)))</f>
        <v/>
      </c>
      <c r="AK323" s="26" t="str">
        <f ca="1">IF(NOTA[[#This Row],[ID_H]]="","",INDEX(NOTA[NO.NOTA],MATCH(NOTA[[#This Row],[ID_H]],NOTA[ID_H],0)))</f>
        <v/>
      </c>
      <c r="AL323" s="28" t="str">
        <f ca="1">IF(NOTA[[#This Row],[NAMA BARANG]]="","",INDEX(NOTA[SUPPLIER],MATCH(,INDIRECT(ADDRESS(ROW(NOTA[ID]),COLUMN(NOTA[ID]))&amp;":"&amp;ADDRESS(ROW(),COLUMN(NOTA[ID]))),-1)))</f>
        <v/>
      </c>
      <c r="AM323" s="28" t="str">
        <f ca="1">IF(NOTA[[#This Row],[ID_H]]="","",IF(NOTA[[#This Row],[FAKTUR]]="",INDIRECT(ADDRESS(ROW()-1,COLUMN())),NOTA[[#This Row],[FAKTUR]]))</f>
        <v/>
      </c>
      <c r="AN323" s="25" t="str">
        <f ca="1">IF(NOTA[[#This Row],[ID]]="","",COUNTIF(NOTA[ID_H],NOTA[[#This Row],[ID_H]]))</f>
        <v/>
      </c>
      <c r="AO323" s="25" t="str">
        <f ca="1">IF(NOTA[[#This Row],[TGL.NOTA]]="",IF(NOTA[[#This Row],[SUPPLIER_H]]="","",AO322),MONTH(NOTA[[#This Row],[TGL.NOTA]]))</f>
        <v/>
      </c>
      <c r="AP3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3" s="25"/>
      <c r="AU323" s="25" t="str">
        <f>IF(NOTA[[#This Row],[CONCAT1]]="","",MATCH(NOTA[[#This Row],[CONCAT1]],[3]!db[NB NOTA_C],0))</f>
        <v/>
      </c>
      <c r="AV323" s="25" t="str">
        <f>IF(NOTA[[#This Row],[QTY/ CTN]]="","",TRUE)</f>
        <v/>
      </c>
      <c r="AW323" s="25" t="str">
        <f ca="1">IF(NOTA[[#This Row],[ID_H]]="","",IF(NOTA[[#This Row],[Column3]]=TRUE,NOTA[[#This Row],[QTY/ CTN]],INDEX([3]!db[QTY/ CTN],NOTA[[#This Row],[//DB]])))</f>
        <v/>
      </c>
      <c r="AX3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3" s="25" t="str">
        <f ca="1">IF(NOTA[[#This Row],[ID_H]]="","",MATCH(NOTA[[#This Row],[NB NOTA_C_QTY]],[3]!db[NB NOTA_C_QTY+F],0))</f>
        <v/>
      </c>
      <c r="AZ323" s="38" t="str">
        <f ca="1">IF(NOTA[[#This Row],[NB NOTA_C_QTY]]="","",ROW()-2)</f>
        <v/>
      </c>
    </row>
    <row r="324" spans="1:52" ht="20.100000000000001" customHeight="1">
      <c r="A3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4" s="25" t="str">
        <f ca="1">IF(NOTA[[#This Row],[NAMA BARANG]]="","",INDEX(NOTA[ID],MATCH(,INDIRECT(ADDRESS(ROW(NOTA[ID]),COLUMN(NOTA[ID]))&amp;":"&amp;ADDRESS(ROW(),COLUMN(NOTA[ID]))),-1)))</f>
        <v/>
      </c>
      <c r="E324" s="33"/>
      <c r="H324" s="34"/>
      <c r="Q324" s="29"/>
      <c r="R324" s="35"/>
      <c r="S324" s="36"/>
      <c r="V324" s="37"/>
      <c r="W324" s="32"/>
      <c r="X324" s="37" t="str">
        <f>IF(NOTA[[#This Row],[HARGA/ CTN]]="",NOTA[[#This Row],[JUMLAH_H]],NOTA[[#This Row],[HARGA/ CTN]]*IF(NOTA[[#This Row],[C]]="",0,NOTA[[#This Row],[C]]))</f>
        <v/>
      </c>
      <c r="Y324" s="37" t="str">
        <f>IF(NOTA[[#This Row],[JUMLAH]]="","",NOTA[[#This Row],[JUMLAH]]*NOTA[[#This Row],[DISC 1]])</f>
        <v/>
      </c>
      <c r="Z324" s="37" t="str">
        <f>IF(NOTA[[#This Row],[JUMLAH]]="","",(NOTA[[#This Row],[JUMLAH]]-NOTA[[#This Row],[DISC 1-]])*NOTA[[#This Row],[DISC 2]])</f>
        <v/>
      </c>
      <c r="AA324" s="37" t="str">
        <f>IF(NOTA[[#This Row],[JUMLAH]]="","",(NOTA[[#This Row],[JUMLAH]]-NOTA[[#This Row],[DISC 1-]]-NOTA[[#This Row],[DISC 2-]])*NOTA[[#This Row],[DISC 3]])</f>
        <v/>
      </c>
      <c r="AB324" s="37" t="str">
        <f>IF(NOTA[[#This Row],[JUMLAH]]="","",NOTA[[#This Row],[DISC 1-]]+NOTA[[#This Row],[DISC 2-]]+NOTA[[#This Row],[DISC 3-]])</f>
        <v/>
      </c>
      <c r="AC324" s="37" t="str">
        <f>IF(NOTA[[#This Row],[JUMLAH]]="","",NOTA[[#This Row],[JUMLAH]]-NOTA[[#This Row],[DISC]])</f>
        <v/>
      </c>
      <c r="AD324" s="37"/>
      <c r="AE3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4" s="37" t="str">
        <f>IF(OR(NOTA[[#This Row],[QTY]]="",NOTA[[#This Row],[HARGA SATUAN]]="",),"",NOTA[[#This Row],[QTY]]*NOTA[[#This Row],[HARGA SATUAN]])</f>
        <v/>
      </c>
      <c r="AI324" s="26" t="str">
        <f ca="1">IF(NOTA[[#This Row],[ID_H]]="","",INDEX(NOTA[TANGGAL],MATCH(,INDIRECT(ADDRESS(ROW(NOTA[TANGGAL]),COLUMN(NOTA[TANGGAL]))&amp;":"&amp;ADDRESS(ROW(),COLUMN(NOTA[TANGGAL]))),-1)))</f>
        <v/>
      </c>
      <c r="AJ324" s="26" t="str">
        <f ca="1">IF(NOTA[[#This Row],[ID_H]]="","",INDEX(NOTA[TGL.NOTA],MATCH(,INDIRECT(ADDRESS(ROW(NOTA[TGL.NOTA]),COLUMN(NOTA[TGL.NOTA]))&amp;":"&amp;ADDRESS(ROW(),COLUMN(NOTA[TGL.NOTA]))),-1)))</f>
        <v/>
      </c>
      <c r="AK324" s="26" t="str">
        <f ca="1">IF(NOTA[[#This Row],[ID_H]]="","",INDEX(NOTA[NO.NOTA],MATCH(NOTA[[#This Row],[ID_H]],NOTA[ID_H],0)))</f>
        <v/>
      </c>
      <c r="AL324" s="28" t="str">
        <f ca="1">IF(NOTA[[#This Row],[NAMA BARANG]]="","",INDEX(NOTA[SUPPLIER],MATCH(,INDIRECT(ADDRESS(ROW(NOTA[ID]),COLUMN(NOTA[ID]))&amp;":"&amp;ADDRESS(ROW(),COLUMN(NOTA[ID]))),-1)))</f>
        <v/>
      </c>
      <c r="AM324" s="28" t="str">
        <f ca="1">IF(NOTA[[#This Row],[ID_H]]="","",IF(NOTA[[#This Row],[FAKTUR]]="",INDIRECT(ADDRESS(ROW()-1,COLUMN())),NOTA[[#This Row],[FAKTUR]]))</f>
        <v/>
      </c>
      <c r="AN324" s="25" t="str">
        <f ca="1">IF(NOTA[[#This Row],[ID]]="","",COUNTIF(NOTA[ID_H],NOTA[[#This Row],[ID_H]]))</f>
        <v/>
      </c>
      <c r="AO324" s="25" t="str">
        <f ca="1">IF(NOTA[[#This Row],[TGL.NOTA]]="",IF(NOTA[[#This Row],[SUPPLIER_H]]="","",AO323),MONTH(NOTA[[#This Row],[TGL.NOTA]]))</f>
        <v/>
      </c>
      <c r="AP3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4" s="25"/>
      <c r="AU324" s="25" t="str">
        <f>IF(NOTA[[#This Row],[CONCAT1]]="","",MATCH(NOTA[[#This Row],[CONCAT1]],[3]!db[NB NOTA_C],0))</f>
        <v/>
      </c>
      <c r="AV324" s="25" t="str">
        <f>IF(NOTA[[#This Row],[QTY/ CTN]]="","",TRUE)</f>
        <v/>
      </c>
      <c r="AW324" s="25" t="str">
        <f ca="1">IF(NOTA[[#This Row],[ID_H]]="","",IF(NOTA[[#This Row],[Column3]]=TRUE,NOTA[[#This Row],[QTY/ CTN]],INDEX([3]!db[QTY/ CTN],NOTA[[#This Row],[//DB]])))</f>
        <v/>
      </c>
      <c r="AX3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4" s="25" t="str">
        <f ca="1">IF(NOTA[[#This Row],[ID_H]]="","",MATCH(NOTA[[#This Row],[NB NOTA_C_QTY]],[3]!db[NB NOTA_C_QTY+F],0))</f>
        <v/>
      </c>
      <c r="AZ324" s="38" t="str">
        <f ca="1">IF(NOTA[[#This Row],[NB NOTA_C_QTY]]="","",ROW()-2)</f>
        <v/>
      </c>
    </row>
    <row r="325" spans="1:52" ht="20.100000000000001" customHeight="1">
      <c r="A3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5" s="25" t="str">
        <f ca="1">IF(NOTA[[#This Row],[NAMA BARANG]]="","",INDEX(NOTA[ID],MATCH(,INDIRECT(ADDRESS(ROW(NOTA[ID]),COLUMN(NOTA[ID]))&amp;":"&amp;ADDRESS(ROW(),COLUMN(NOTA[ID]))),-1)))</f>
        <v/>
      </c>
      <c r="E325" s="33"/>
      <c r="H325" s="34"/>
      <c r="Q325" s="29"/>
      <c r="R325" s="35"/>
      <c r="S325" s="36"/>
      <c r="V325" s="37"/>
      <c r="W325" s="32"/>
      <c r="X325" s="37" t="str">
        <f>IF(NOTA[[#This Row],[HARGA/ CTN]]="",NOTA[[#This Row],[JUMLAH_H]],NOTA[[#This Row],[HARGA/ CTN]]*IF(NOTA[[#This Row],[C]]="",0,NOTA[[#This Row],[C]]))</f>
        <v/>
      </c>
      <c r="Y325" s="37" t="str">
        <f>IF(NOTA[[#This Row],[JUMLAH]]="","",NOTA[[#This Row],[JUMLAH]]*NOTA[[#This Row],[DISC 1]])</f>
        <v/>
      </c>
      <c r="Z325" s="37" t="str">
        <f>IF(NOTA[[#This Row],[JUMLAH]]="","",(NOTA[[#This Row],[JUMLAH]]-NOTA[[#This Row],[DISC 1-]])*NOTA[[#This Row],[DISC 2]])</f>
        <v/>
      </c>
      <c r="AA325" s="37" t="str">
        <f>IF(NOTA[[#This Row],[JUMLAH]]="","",(NOTA[[#This Row],[JUMLAH]]-NOTA[[#This Row],[DISC 1-]]-NOTA[[#This Row],[DISC 2-]])*NOTA[[#This Row],[DISC 3]])</f>
        <v/>
      </c>
      <c r="AB325" s="37" t="str">
        <f>IF(NOTA[[#This Row],[JUMLAH]]="","",NOTA[[#This Row],[DISC 1-]]+NOTA[[#This Row],[DISC 2-]]+NOTA[[#This Row],[DISC 3-]])</f>
        <v/>
      </c>
      <c r="AC325" s="37" t="str">
        <f>IF(NOTA[[#This Row],[JUMLAH]]="","",NOTA[[#This Row],[JUMLAH]]-NOTA[[#This Row],[DISC]])</f>
        <v/>
      </c>
      <c r="AD325" s="37"/>
      <c r="AE3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5" s="37" t="str">
        <f>IF(OR(NOTA[[#This Row],[QTY]]="",NOTA[[#This Row],[HARGA SATUAN]]="",),"",NOTA[[#This Row],[QTY]]*NOTA[[#This Row],[HARGA SATUAN]])</f>
        <v/>
      </c>
      <c r="AI325" s="26" t="str">
        <f ca="1">IF(NOTA[[#This Row],[ID_H]]="","",INDEX(NOTA[TANGGAL],MATCH(,INDIRECT(ADDRESS(ROW(NOTA[TANGGAL]),COLUMN(NOTA[TANGGAL]))&amp;":"&amp;ADDRESS(ROW(),COLUMN(NOTA[TANGGAL]))),-1)))</f>
        <v/>
      </c>
      <c r="AJ325" s="26" t="str">
        <f ca="1">IF(NOTA[[#This Row],[ID_H]]="","",INDEX(NOTA[TGL.NOTA],MATCH(,INDIRECT(ADDRESS(ROW(NOTA[TGL.NOTA]),COLUMN(NOTA[TGL.NOTA]))&amp;":"&amp;ADDRESS(ROW(),COLUMN(NOTA[TGL.NOTA]))),-1)))</f>
        <v/>
      </c>
      <c r="AK325" s="26" t="str">
        <f ca="1">IF(NOTA[[#This Row],[ID_H]]="","",INDEX(NOTA[NO.NOTA],MATCH(NOTA[[#This Row],[ID_H]],NOTA[ID_H],0)))</f>
        <v/>
      </c>
      <c r="AL325" s="28" t="str">
        <f ca="1">IF(NOTA[[#This Row],[NAMA BARANG]]="","",INDEX(NOTA[SUPPLIER],MATCH(,INDIRECT(ADDRESS(ROW(NOTA[ID]),COLUMN(NOTA[ID]))&amp;":"&amp;ADDRESS(ROW(),COLUMN(NOTA[ID]))),-1)))</f>
        <v/>
      </c>
      <c r="AM325" s="28" t="str">
        <f ca="1">IF(NOTA[[#This Row],[ID_H]]="","",IF(NOTA[[#This Row],[FAKTUR]]="",INDIRECT(ADDRESS(ROW()-1,COLUMN())),NOTA[[#This Row],[FAKTUR]]))</f>
        <v/>
      </c>
      <c r="AN325" s="25" t="str">
        <f ca="1">IF(NOTA[[#This Row],[ID]]="","",COUNTIF(NOTA[ID_H],NOTA[[#This Row],[ID_H]]))</f>
        <v/>
      </c>
      <c r="AO325" s="25" t="str">
        <f ca="1">IF(NOTA[[#This Row],[TGL.NOTA]]="",IF(NOTA[[#This Row],[SUPPLIER_H]]="","",AO324),MONTH(NOTA[[#This Row],[TGL.NOTA]]))</f>
        <v/>
      </c>
      <c r="AP3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5" s="25"/>
      <c r="AU325" s="25" t="str">
        <f>IF(NOTA[[#This Row],[CONCAT1]]="","",MATCH(NOTA[[#This Row],[CONCAT1]],[3]!db[NB NOTA_C],0))</f>
        <v/>
      </c>
      <c r="AV325" s="25" t="str">
        <f>IF(NOTA[[#This Row],[QTY/ CTN]]="","",TRUE)</f>
        <v/>
      </c>
      <c r="AW325" s="25" t="str">
        <f ca="1">IF(NOTA[[#This Row],[ID_H]]="","",IF(NOTA[[#This Row],[Column3]]=TRUE,NOTA[[#This Row],[QTY/ CTN]],INDEX([3]!db[QTY/ CTN],NOTA[[#This Row],[//DB]])))</f>
        <v/>
      </c>
      <c r="AX3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5" s="25" t="str">
        <f ca="1">IF(NOTA[[#This Row],[ID_H]]="","",MATCH(NOTA[[#This Row],[NB NOTA_C_QTY]],[3]!db[NB NOTA_C_QTY+F],0))</f>
        <v/>
      </c>
      <c r="AZ325" s="38" t="str">
        <f ca="1">IF(NOTA[[#This Row],[NB NOTA_C_QTY]]="","",ROW()-2)</f>
        <v/>
      </c>
    </row>
    <row r="326" spans="1:52" ht="20.100000000000001" customHeight="1">
      <c r="A3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6" s="25" t="str">
        <f ca="1">IF(NOTA[[#This Row],[NAMA BARANG]]="","",INDEX(NOTA[ID],MATCH(,INDIRECT(ADDRESS(ROW(NOTA[ID]),COLUMN(NOTA[ID]))&amp;":"&amp;ADDRESS(ROW(),COLUMN(NOTA[ID]))),-1)))</f>
        <v/>
      </c>
      <c r="E326" s="33"/>
      <c r="H326" s="34"/>
      <c r="Q326" s="29"/>
      <c r="R326" s="35"/>
      <c r="S326" s="36"/>
      <c r="V326" s="37"/>
      <c r="W326" s="32"/>
      <c r="X326" s="37" t="str">
        <f>IF(NOTA[[#This Row],[HARGA/ CTN]]="",NOTA[[#This Row],[JUMLAH_H]],NOTA[[#This Row],[HARGA/ CTN]]*IF(NOTA[[#This Row],[C]]="",0,NOTA[[#This Row],[C]]))</f>
        <v/>
      </c>
      <c r="Y326" s="37" t="str">
        <f>IF(NOTA[[#This Row],[JUMLAH]]="","",NOTA[[#This Row],[JUMLAH]]*NOTA[[#This Row],[DISC 1]])</f>
        <v/>
      </c>
      <c r="Z326" s="37" t="str">
        <f>IF(NOTA[[#This Row],[JUMLAH]]="","",(NOTA[[#This Row],[JUMLAH]]-NOTA[[#This Row],[DISC 1-]])*NOTA[[#This Row],[DISC 2]])</f>
        <v/>
      </c>
      <c r="AA326" s="37" t="str">
        <f>IF(NOTA[[#This Row],[JUMLAH]]="","",(NOTA[[#This Row],[JUMLAH]]-NOTA[[#This Row],[DISC 1-]]-NOTA[[#This Row],[DISC 2-]])*NOTA[[#This Row],[DISC 3]])</f>
        <v/>
      </c>
      <c r="AB326" s="37" t="str">
        <f>IF(NOTA[[#This Row],[JUMLAH]]="","",NOTA[[#This Row],[DISC 1-]]+NOTA[[#This Row],[DISC 2-]]+NOTA[[#This Row],[DISC 3-]])</f>
        <v/>
      </c>
      <c r="AC326" s="37" t="str">
        <f>IF(NOTA[[#This Row],[JUMLAH]]="","",NOTA[[#This Row],[JUMLAH]]-NOTA[[#This Row],[DISC]])</f>
        <v/>
      </c>
      <c r="AD326" s="37"/>
      <c r="AE3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6" s="37" t="str">
        <f>IF(OR(NOTA[[#This Row],[QTY]]="",NOTA[[#This Row],[HARGA SATUAN]]="",),"",NOTA[[#This Row],[QTY]]*NOTA[[#This Row],[HARGA SATUAN]])</f>
        <v/>
      </c>
      <c r="AI326" s="26" t="str">
        <f ca="1">IF(NOTA[[#This Row],[ID_H]]="","",INDEX(NOTA[TANGGAL],MATCH(,INDIRECT(ADDRESS(ROW(NOTA[TANGGAL]),COLUMN(NOTA[TANGGAL]))&amp;":"&amp;ADDRESS(ROW(),COLUMN(NOTA[TANGGAL]))),-1)))</f>
        <v/>
      </c>
      <c r="AJ326" s="26" t="str">
        <f ca="1">IF(NOTA[[#This Row],[ID_H]]="","",INDEX(NOTA[TGL.NOTA],MATCH(,INDIRECT(ADDRESS(ROW(NOTA[TGL.NOTA]),COLUMN(NOTA[TGL.NOTA]))&amp;":"&amp;ADDRESS(ROW(),COLUMN(NOTA[TGL.NOTA]))),-1)))</f>
        <v/>
      </c>
      <c r="AK326" s="26" t="str">
        <f ca="1">IF(NOTA[[#This Row],[ID_H]]="","",INDEX(NOTA[NO.NOTA],MATCH(NOTA[[#This Row],[ID_H]],NOTA[ID_H],0)))</f>
        <v/>
      </c>
      <c r="AL326" s="28" t="str">
        <f ca="1">IF(NOTA[[#This Row],[NAMA BARANG]]="","",INDEX(NOTA[SUPPLIER],MATCH(,INDIRECT(ADDRESS(ROW(NOTA[ID]),COLUMN(NOTA[ID]))&amp;":"&amp;ADDRESS(ROW(),COLUMN(NOTA[ID]))),-1)))</f>
        <v/>
      </c>
      <c r="AM326" s="28" t="str">
        <f ca="1">IF(NOTA[[#This Row],[ID_H]]="","",IF(NOTA[[#This Row],[FAKTUR]]="",INDIRECT(ADDRESS(ROW()-1,COLUMN())),NOTA[[#This Row],[FAKTUR]]))</f>
        <v/>
      </c>
      <c r="AN326" s="25" t="str">
        <f ca="1">IF(NOTA[[#This Row],[ID]]="","",COUNTIF(NOTA[ID_H],NOTA[[#This Row],[ID_H]]))</f>
        <v/>
      </c>
      <c r="AO326" s="25" t="str">
        <f ca="1">IF(NOTA[[#This Row],[TGL.NOTA]]="",IF(NOTA[[#This Row],[SUPPLIER_H]]="","",AO325),MONTH(NOTA[[#This Row],[TGL.NOTA]]))</f>
        <v/>
      </c>
      <c r="AP3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6" s="25"/>
      <c r="AU326" s="25" t="str">
        <f>IF(NOTA[[#This Row],[CONCAT1]]="","",MATCH(NOTA[[#This Row],[CONCAT1]],[3]!db[NB NOTA_C],0))</f>
        <v/>
      </c>
      <c r="AV326" s="25" t="str">
        <f>IF(NOTA[[#This Row],[QTY/ CTN]]="","",TRUE)</f>
        <v/>
      </c>
      <c r="AW326" s="25" t="str">
        <f ca="1">IF(NOTA[[#This Row],[ID_H]]="","",IF(NOTA[[#This Row],[Column3]]=TRUE,NOTA[[#This Row],[QTY/ CTN]],INDEX([3]!db[QTY/ CTN],NOTA[[#This Row],[//DB]])))</f>
        <v/>
      </c>
      <c r="AX3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6" s="25" t="str">
        <f ca="1">IF(NOTA[[#This Row],[ID_H]]="","",MATCH(NOTA[[#This Row],[NB NOTA_C_QTY]],[3]!db[NB NOTA_C_QTY+F],0))</f>
        <v/>
      </c>
      <c r="AZ326" s="38" t="str">
        <f ca="1">IF(NOTA[[#This Row],[NB NOTA_C_QTY]]="","",ROW()-2)</f>
        <v/>
      </c>
    </row>
    <row r="327" spans="1:52" ht="20.100000000000001" customHeight="1">
      <c r="A3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7" s="25" t="str">
        <f ca="1">IF(NOTA[[#This Row],[NAMA BARANG]]="","",INDEX(NOTA[ID],MATCH(,INDIRECT(ADDRESS(ROW(NOTA[ID]),COLUMN(NOTA[ID]))&amp;":"&amp;ADDRESS(ROW(),COLUMN(NOTA[ID]))),-1)))</f>
        <v/>
      </c>
      <c r="E327" s="33"/>
      <c r="H327" s="34"/>
      <c r="Q327" s="29"/>
      <c r="R327" s="35"/>
      <c r="S327" s="36"/>
      <c r="V327" s="37"/>
      <c r="W327" s="32"/>
      <c r="X327" s="37" t="str">
        <f>IF(NOTA[[#This Row],[HARGA/ CTN]]="",NOTA[[#This Row],[JUMLAH_H]],NOTA[[#This Row],[HARGA/ CTN]]*IF(NOTA[[#This Row],[C]]="",0,NOTA[[#This Row],[C]]))</f>
        <v/>
      </c>
      <c r="Y327" s="37" t="str">
        <f>IF(NOTA[[#This Row],[JUMLAH]]="","",NOTA[[#This Row],[JUMLAH]]*NOTA[[#This Row],[DISC 1]])</f>
        <v/>
      </c>
      <c r="Z327" s="37" t="str">
        <f>IF(NOTA[[#This Row],[JUMLAH]]="","",(NOTA[[#This Row],[JUMLAH]]-NOTA[[#This Row],[DISC 1-]])*NOTA[[#This Row],[DISC 2]])</f>
        <v/>
      </c>
      <c r="AA327" s="37" t="str">
        <f>IF(NOTA[[#This Row],[JUMLAH]]="","",(NOTA[[#This Row],[JUMLAH]]-NOTA[[#This Row],[DISC 1-]]-NOTA[[#This Row],[DISC 2-]])*NOTA[[#This Row],[DISC 3]])</f>
        <v/>
      </c>
      <c r="AB327" s="37" t="str">
        <f>IF(NOTA[[#This Row],[JUMLAH]]="","",NOTA[[#This Row],[DISC 1-]]+NOTA[[#This Row],[DISC 2-]]+NOTA[[#This Row],[DISC 3-]])</f>
        <v/>
      </c>
      <c r="AC327" s="37" t="str">
        <f>IF(NOTA[[#This Row],[JUMLAH]]="","",NOTA[[#This Row],[JUMLAH]]-NOTA[[#This Row],[DISC]])</f>
        <v/>
      </c>
      <c r="AD327" s="37"/>
      <c r="AE3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7" s="37" t="str">
        <f>IF(OR(NOTA[[#This Row],[QTY]]="",NOTA[[#This Row],[HARGA SATUAN]]="",),"",NOTA[[#This Row],[QTY]]*NOTA[[#This Row],[HARGA SATUAN]])</f>
        <v/>
      </c>
      <c r="AI327" s="26" t="str">
        <f ca="1">IF(NOTA[[#This Row],[ID_H]]="","",INDEX(NOTA[TANGGAL],MATCH(,INDIRECT(ADDRESS(ROW(NOTA[TANGGAL]),COLUMN(NOTA[TANGGAL]))&amp;":"&amp;ADDRESS(ROW(),COLUMN(NOTA[TANGGAL]))),-1)))</f>
        <v/>
      </c>
      <c r="AJ327" s="26" t="str">
        <f ca="1">IF(NOTA[[#This Row],[ID_H]]="","",INDEX(NOTA[TGL.NOTA],MATCH(,INDIRECT(ADDRESS(ROW(NOTA[TGL.NOTA]),COLUMN(NOTA[TGL.NOTA]))&amp;":"&amp;ADDRESS(ROW(),COLUMN(NOTA[TGL.NOTA]))),-1)))</f>
        <v/>
      </c>
      <c r="AK327" s="26" t="str">
        <f ca="1">IF(NOTA[[#This Row],[ID_H]]="","",INDEX(NOTA[NO.NOTA],MATCH(NOTA[[#This Row],[ID_H]],NOTA[ID_H],0)))</f>
        <v/>
      </c>
      <c r="AL327" s="28" t="str">
        <f ca="1">IF(NOTA[[#This Row],[NAMA BARANG]]="","",INDEX(NOTA[SUPPLIER],MATCH(,INDIRECT(ADDRESS(ROW(NOTA[ID]),COLUMN(NOTA[ID]))&amp;":"&amp;ADDRESS(ROW(),COLUMN(NOTA[ID]))),-1)))</f>
        <v/>
      </c>
      <c r="AM327" s="28" t="str">
        <f ca="1">IF(NOTA[[#This Row],[ID_H]]="","",IF(NOTA[[#This Row],[FAKTUR]]="",INDIRECT(ADDRESS(ROW()-1,COLUMN())),NOTA[[#This Row],[FAKTUR]]))</f>
        <v/>
      </c>
      <c r="AN327" s="25" t="str">
        <f ca="1">IF(NOTA[[#This Row],[ID]]="","",COUNTIF(NOTA[ID_H],NOTA[[#This Row],[ID_H]]))</f>
        <v/>
      </c>
      <c r="AO327" s="25" t="str">
        <f ca="1">IF(NOTA[[#This Row],[TGL.NOTA]]="",IF(NOTA[[#This Row],[SUPPLIER_H]]="","",AO326),MONTH(NOTA[[#This Row],[TGL.NOTA]]))</f>
        <v/>
      </c>
      <c r="AP3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7" s="25"/>
      <c r="AU327" s="25" t="str">
        <f>IF(NOTA[[#This Row],[CONCAT1]]="","",MATCH(NOTA[[#This Row],[CONCAT1]],[3]!db[NB NOTA_C],0))</f>
        <v/>
      </c>
      <c r="AV327" s="25" t="str">
        <f>IF(NOTA[[#This Row],[QTY/ CTN]]="","",TRUE)</f>
        <v/>
      </c>
      <c r="AW327" s="25" t="str">
        <f ca="1">IF(NOTA[[#This Row],[ID_H]]="","",IF(NOTA[[#This Row],[Column3]]=TRUE,NOTA[[#This Row],[QTY/ CTN]],INDEX([3]!db[QTY/ CTN],NOTA[[#This Row],[//DB]])))</f>
        <v/>
      </c>
      <c r="AX3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7" s="25" t="str">
        <f ca="1">IF(NOTA[[#This Row],[ID_H]]="","",MATCH(NOTA[[#This Row],[NB NOTA_C_QTY]],[3]!db[NB NOTA_C_QTY+F],0))</f>
        <v/>
      </c>
      <c r="AZ327" s="38" t="str">
        <f ca="1">IF(NOTA[[#This Row],[NB NOTA_C_QTY]]="","",ROW()-2)</f>
        <v/>
      </c>
    </row>
    <row r="328" spans="1:52" ht="20.100000000000001" customHeight="1">
      <c r="A3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8" s="25" t="str">
        <f ca="1">IF(NOTA[[#This Row],[NAMA BARANG]]="","",INDEX(NOTA[ID],MATCH(,INDIRECT(ADDRESS(ROW(NOTA[ID]),COLUMN(NOTA[ID]))&amp;":"&amp;ADDRESS(ROW(),COLUMN(NOTA[ID]))),-1)))</f>
        <v/>
      </c>
      <c r="E328" s="33"/>
      <c r="H328" s="34"/>
      <c r="Q328" s="29"/>
      <c r="R328" s="35"/>
      <c r="S328" s="36"/>
      <c r="V328" s="37"/>
      <c r="W328" s="32"/>
      <c r="X328" s="37" t="str">
        <f>IF(NOTA[[#This Row],[HARGA/ CTN]]="",NOTA[[#This Row],[JUMLAH_H]],NOTA[[#This Row],[HARGA/ CTN]]*IF(NOTA[[#This Row],[C]]="",0,NOTA[[#This Row],[C]]))</f>
        <v/>
      </c>
      <c r="Y328" s="37" t="str">
        <f>IF(NOTA[[#This Row],[JUMLAH]]="","",NOTA[[#This Row],[JUMLAH]]*NOTA[[#This Row],[DISC 1]])</f>
        <v/>
      </c>
      <c r="Z328" s="37" t="str">
        <f>IF(NOTA[[#This Row],[JUMLAH]]="","",(NOTA[[#This Row],[JUMLAH]]-NOTA[[#This Row],[DISC 1-]])*NOTA[[#This Row],[DISC 2]])</f>
        <v/>
      </c>
      <c r="AA328" s="37" t="str">
        <f>IF(NOTA[[#This Row],[JUMLAH]]="","",(NOTA[[#This Row],[JUMLAH]]-NOTA[[#This Row],[DISC 1-]]-NOTA[[#This Row],[DISC 2-]])*NOTA[[#This Row],[DISC 3]])</f>
        <v/>
      </c>
      <c r="AB328" s="37" t="str">
        <f>IF(NOTA[[#This Row],[JUMLAH]]="","",NOTA[[#This Row],[DISC 1-]]+NOTA[[#This Row],[DISC 2-]]+NOTA[[#This Row],[DISC 3-]])</f>
        <v/>
      </c>
      <c r="AC328" s="37" t="str">
        <f>IF(NOTA[[#This Row],[JUMLAH]]="","",NOTA[[#This Row],[JUMLAH]]-NOTA[[#This Row],[DISC]])</f>
        <v/>
      </c>
      <c r="AD328" s="37"/>
      <c r="AE3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8" s="37" t="str">
        <f>IF(OR(NOTA[[#This Row],[QTY]]="",NOTA[[#This Row],[HARGA SATUAN]]="",),"",NOTA[[#This Row],[QTY]]*NOTA[[#This Row],[HARGA SATUAN]])</f>
        <v/>
      </c>
      <c r="AI328" s="26" t="str">
        <f ca="1">IF(NOTA[[#This Row],[ID_H]]="","",INDEX(NOTA[TANGGAL],MATCH(,INDIRECT(ADDRESS(ROW(NOTA[TANGGAL]),COLUMN(NOTA[TANGGAL]))&amp;":"&amp;ADDRESS(ROW(),COLUMN(NOTA[TANGGAL]))),-1)))</f>
        <v/>
      </c>
      <c r="AJ328" s="26" t="str">
        <f ca="1">IF(NOTA[[#This Row],[ID_H]]="","",INDEX(NOTA[TGL.NOTA],MATCH(,INDIRECT(ADDRESS(ROW(NOTA[TGL.NOTA]),COLUMN(NOTA[TGL.NOTA]))&amp;":"&amp;ADDRESS(ROW(),COLUMN(NOTA[TGL.NOTA]))),-1)))</f>
        <v/>
      </c>
      <c r="AK328" s="26" t="str">
        <f ca="1">IF(NOTA[[#This Row],[ID_H]]="","",INDEX(NOTA[NO.NOTA],MATCH(NOTA[[#This Row],[ID_H]],NOTA[ID_H],0)))</f>
        <v/>
      </c>
      <c r="AL328" s="28" t="str">
        <f ca="1">IF(NOTA[[#This Row],[NAMA BARANG]]="","",INDEX(NOTA[SUPPLIER],MATCH(,INDIRECT(ADDRESS(ROW(NOTA[ID]),COLUMN(NOTA[ID]))&amp;":"&amp;ADDRESS(ROW(),COLUMN(NOTA[ID]))),-1)))</f>
        <v/>
      </c>
      <c r="AM328" s="28" t="str">
        <f ca="1">IF(NOTA[[#This Row],[ID_H]]="","",IF(NOTA[[#This Row],[FAKTUR]]="",INDIRECT(ADDRESS(ROW()-1,COLUMN())),NOTA[[#This Row],[FAKTUR]]))</f>
        <v/>
      </c>
      <c r="AN328" s="25" t="str">
        <f ca="1">IF(NOTA[[#This Row],[ID]]="","",COUNTIF(NOTA[ID_H],NOTA[[#This Row],[ID_H]]))</f>
        <v/>
      </c>
      <c r="AO328" s="25" t="str">
        <f ca="1">IF(NOTA[[#This Row],[TGL.NOTA]]="",IF(NOTA[[#This Row],[SUPPLIER_H]]="","",AO327),MONTH(NOTA[[#This Row],[TGL.NOTA]]))</f>
        <v/>
      </c>
      <c r="AP3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8" s="25"/>
      <c r="AU328" s="25" t="str">
        <f>IF(NOTA[[#This Row],[CONCAT1]]="","",MATCH(NOTA[[#This Row],[CONCAT1]],[3]!db[NB NOTA_C],0))</f>
        <v/>
      </c>
      <c r="AV328" s="25" t="str">
        <f>IF(NOTA[[#This Row],[QTY/ CTN]]="","",TRUE)</f>
        <v/>
      </c>
      <c r="AW328" s="25" t="str">
        <f ca="1">IF(NOTA[[#This Row],[ID_H]]="","",IF(NOTA[[#This Row],[Column3]]=TRUE,NOTA[[#This Row],[QTY/ CTN]],INDEX([3]!db[QTY/ CTN],NOTA[[#This Row],[//DB]])))</f>
        <v/>
      </c>
      <c r="AX3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8" s="25" t="str">
        <f ca="1">IF(NOTA[[#This Row],[ID_H]]="","",MATCH(NOTA[[#This Row],[NB NOTA_C_QTY]],[3]!db[NB NOTA_C_QTY+F],0))</f>
        <v/>
      </c>
      <c r="AZ328" s="38" t="str">
        <f ca="1">IF(NOTA[[#This Row],[NB NOTA_C_QTY]]="","",ROW()-2)</f>
        <v/>
      </c>
    </row>
    <row r="329" spans="1:52" ht="20.100000000000001" customHeight="1">
      <c r="A3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9" s="25" t="str">
        <f ca="1">IF(NOTA[[#This Row],[NAMA BARANG]]="","",INDEX(NOTA[ID],MATCH(,INDIRECT(ADDRESS(ROW(NOTA[ID]),COLUMN(NOTA[ID]))&amp;":"&amp;ADDRESS(ROW(),COLUMN(NOTA[ID]))),-1)))</f>
        <v/>
      </c>
      <c r="E329" s="33"/>
      <c r="H329" s="34"/>
      <c r="Q329" s="29"/>
      <c r="R329" s="35"/>
      <c r="S329" s="36"/>
      <c r="V329" s="37"/>
      <c r="W329" s="32"/>
      <c r="X329" s="37" t="str">
        <f>IF(NOTA[[#This Row],[HARGA/ CTN]]="",NOTA[[#This Row],[JUMLAH_H]],NOTA[[#This Row],[HARGA/ CTN]]*IF(NOTA[[#This Row],[C]]="",0,NOTA[[#This Row],[C]]))</f>
        <v/>
      </c>
      <c r="Y329" s="37" t="str">
        <f>IF(NOTA[[#This Row],[JUMLAH]]="","",NOTA[[#This Row],[JUMLAH]]*NOTA[[#This Row],[DISC 1]])</f>
        <v/>
      </c>
      <c r="Z329" s="37" t="str">
        <f>IF(NOTA[[#This Row],[JUMLAH]]="","",(NOTA[[#This Row],[JUMLAH]]-NOTA[[#This Row],[DISC 1-]])*NOTA[[#This Row],[DISC 2]])</f>
        <v/>
      </c>
      <c r="AA329" s="37" t="str">
        <f>IF(NOTA[[#This Row],[JUMLAH]]="","",(NOTA[[#This Row],[JUMLAH]]-NOTA[[#This Row],[DISC 1-]]-NOTA[[#This Row],[DISC 2-]])*NOTA[[#This Row],[DISC 3]])</f>
        <v/>
      </c>
      <c r="AB329" s="37" t="str">
        <f>IF(NOTA[[#This Row],[JUMLAH]]="","",NOTA[[#This Row],[DISC 1-]]+NOTA[[#This Row],[DISC 2-]]+NOTA[[#This Row],[DISC 3-]])</f>
        <v/>
      </c>
      <c r="AC329" s="37" t="str">
        <f>IF(NOTA[[#This Row],[JUMLAH]]="","",NOTA[[#This Row],[JUMLAH]]-NOTA[[#This Row],[DISC]])</f>
        <v/>
      </c>
      <c r="AD329" s="37"/>
      <c r="AE3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9" s="37" t="str">
        <f>IF(OR(NOTA[[#This Row],[QTY]]="",NOTA[[#This Row],[HARGA SATUAN]]="",),"",NOTA[[#This Row],[QTY]]*NOTA[[#This Row],[HARGA SATUAN]])</f>
        <v/>
      </c>
      <c r="AI329" s="26" t="str">
        <f ca="1">IF(NOTA[[#This Row],[ID_H]]="","",INDEX(NOTA[TANGGAL],MATCH(,INDIRECT(ADDRESS(ROW(NOTA[TANGGAL]),COLUMN(NOTA[TANGGAL]))&amp;":"&amp;ADDRESS(ROW(),COLUMN(NOTA[TANGGAL]))),-1)))</f>
        <v/>
      </c>
      <c r="AJ329" s="26" t="str">
        <f ca="1">IF(NOTA[[#This Row],[ID_H]]="","",INDEX(NOTA[TGL.NOTA],MATCH(,INDIRECT(ADDRESS(ROW(NOTA[TGL.NOTA]),COLUMN(NOTA[TGL.NOTA]))&amp;":"&amp;ADDRESS(ROW(),COLUMN(NOTA[TGL.NOTA]))),-1)))</f>
        <v/>
      </c>
      <c r="AK329" s="26" t="str">
        <f ca="1">IF(NOTA[[#This Row],[ID_H]]="","",INDEX(NOTA[NO.NOTA],MATCH(NOTA[[#This Row],[ID_H]],NOTA[ID_H],0)))</f>
        <v/>
      </c>
      <c r="AL329" s="28" t="str">
        <f ca="1">IF(NOTA[[#This Row],[NAMA BARANG]]="","",INDEX(NOTA[SUPPLIER],MATCH(,INDIRECT(ADDRESS(ROW(NOTA[ID]),COLUMN(NOTA[ID]))&amp;":"&amp;ADDRESS(ROW(),COLUMN(NOTA[ID]))),-1)))</f>
        <v/>
      </c>
      <c r="AM329" s="28" t="str">
        <f ca="1">IF(NOTA[[#This Row],[ID_H]]="","",IF(NOTA[[#This Row],[FAKTUR]]="",INDIRECT(ADDRESS(ROW()-1,COLUMN())),NOTA[[#This Row],[FAKTUR]]))</f>
        <v/>
      </c>
      <c r="AN329" s="25" t="str">
        <f ca="1">IF(NOTA[[#This Row],[ID]]="","",COUNTIF(NOTA[ID_H],NOTA[[#This Row],[ID_H]]))</f>
        <v/>
      </c>
      <c r="AO329" s="25" t="str">
        <f ca="1">IF(NOTA[[#This Row],[TGL.NOTA]]="",IF(NOTA[[#This Row],[SUPPLIER_H]]="","",AO328),MONTH(NOTA[[#This Row],[TGL.NOTA]]))</f>
        <v/>
      </c>
      <c r="AP3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9" s="25"/>
      <c r="AU329" s="25" t="str">
        <f>IF(NOTA[[#This Row],[CONCAT1]]="","",MATCH(NOTA[[#This Row],[CONCAT1]],[3]!db[NB NOTA_C],0))</f>
        <v/>
      </c>
      <c r="AV329" s="25" t="str">
        <f>IF(NOTA[[#This Row],[QTY/ CTN]]="","",TRUE)</f>
        <v/>
      </c>
      <c r="AW329" s="25" t="str">
        <f ca="1">IF(NOTA[[#This Row],[ID_H]]="","",IF(NOTA[[#This Row],[Column3]]=TRUE,NOTA[[#This Row],[QTY/ CTN]],INDEX([3]!db[QTY/ CTN],NOTA[[#This Row],[//DB]])))</f>
        <v/>
      </c>
      <c r="AX3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9" s="25" t="str">
        <f ca="1">IF(NOTA[[#This Row],[ID_H]]="","",MATCH(NOTA[[#This Row],[NB NOTA_C_QTY]],[3]!db[NB NOTA_C_QTY+F],0))</f>
        <v/>
      </c>
      <c r="AZ329" s="38" t="str">
        <f ca="1">IF(NOTA[[#This Row],[NB NOTA_C_QTY]]="","",ROW()-2)</f>
        <v/>
      </c>
    </row>
    <row r="330" spans="1:52" ht="20.100000000000001" customHeight="1">
      <c r="A3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0" s="25" t="str">
        <f ca="1">IF(NOTA[[#This Row],[NAMA BARANG]]="","",INDEX(NOTA[ID],MATCH(,INDIRECT(ADDRESS(ROW(NOTA[ID]),COLUMN(NOTA[ID]))&amp;":"&amp;ADDRESS(ROW(),COLUMN(NOTA[ID]))),-1)))</f>
        <v/>
      </c>
      <c r="E330" s="33"/>
      <c r="H330" s="34"/>
      <c r="Q330" s="29"/>
      <c r="R330" s="35"/>
      <c r="S330" s="36"/>
      <c r="V330" s="37"/>
      <c r="W330" s="32"/>
      <c r="X330" s="37" t="str">
        <f>IF(NOTA[[#This Row],[HARGA/ CTN]]="",NOTA[[#This Row],[JUMLAH_H]],NOTA[[#This Row],[HARGA/ CTN]]*IF(NOTA[[#This Row],[C]]="",0,NOTA[[#This Row],[C]]))</f>
        <v/>
      </c>
      <c r="Y330" s="37" t="str">
        <f>IF(NOTA[[#This Row],[JUMLAH]]="","",NOTA[[#This Row],[JUMLAH]]*NOTA[[#This Row],[DISC 1]])</f>
        <v/>
      </c>
      <c r="Z330" s="37" t="str">
        <f>IF(NOTA[[#This Row],[JUMLAH]]="","",(NOTA[[#This Row],[JUMLAH]]-NOTA[[#This Row],[DISC 1-]])*NOTA[[#This Row],[DISC 2]])</f>
        <v/>
      </c>
      <c r="AA330" s="37" t="str">
        <f>IF(NOTA[[#This Row],[JUMLAH]]="","",(NOTA[[#This Row],[JUMLAH]]-NOTA[[#This Row],[DISC 1-]]-NOTA[[#This Row],[DISC 2-]])*NOTA[[#This Row],[DISC 3]])</f>
        <v/>
      </c>
      <c r="AB330" s="37" t="str">
        <f>IF(NOTA[[#This Row],[JUMLAH]]="","",NOTA[[#This Row],[DISC 1-]]+NOTA[[#This Row],[DISC 2-]]+NOTA[[#This Row],[DISC 3-]])</f>
        <v/>
      </c>
      <c r="AC330" s="37" t="str">
        <f>IF(NOTA[[#This Row],[JUMLAH]]="","",NOTA[[#This Row],[JUMLAH]]-NOTA[[#This Row],[DISC]])</f>
        <v/>
      </c>
      <c r="AD330" s="37"/>
      <c r="AE3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0" s="37" t="str">
        <f>IF(OR(NOTA[[#This Row],[QTY]]="",NOTA[[#This Row],[HARGA SATUAN]]="",),"",NOTA[[#This Row],[QTY]]*NOTA[[#This Row],[HARGA SATUAN]])</f>
        <v/>
      </c>
      <c r="AI330" s="26" t="str">
        <f ca="1">IF(NOTA[[#This Row],[ID_H]]="","",INDEX(NOTA[TANGGAL],MATCH(,INDIRECT(ADDRESS(ROW(NOTA[TANGGAL]),COLUMN(NOTA[TANGGAL]))&amp;":"&amp;ADDRESS(ROW(),COLUMN(NOTA[TANGGAL]))),-1)))</f>
        <v/>
      </c>
      <c r="AJ330" s="26" t="str">
        <f ca="1">IF(NOTA[[#This Row],[ID_H]]="","",INDEX(NOTA[TGL.NOTA],MATCH(,INDIRECT(ADDRESS(ROW(NOTA[TGL.NOTA]),COLUMN(NOTA[TGL.NOTA]))&amp;":"&amp;ADDRESS(ROW(),COLUMN(NOTA[TGL.NOTA]))),-1)))</f>
        <v/>
      </c>
      <c r="AK330" s="26" t="str">
        <f ca="1">IF(NOTA[[#This Row],[ID_H]]="","",INDEX(NOTA[NO.NOTA],MATCH(NOTA[[#This Row],[ID_H]],NOTA[ID_H],0)))</f>
        <v/>
      </c>
      <c r="AL330" s="28" t="str">
        <f ca="1">IF(NOTA[[#This Row],[NAMA BARANG]]="","",INDEX(NOTA[SUPPLIER],MATCH(,INDIRECT(ADDRESS(ROW(NOTA[ID]),COLUMN(NOTA[ID]))&amp;":"&amp;ADDRESS(ROW(),COLUMN(NOTA[ID]))),-1)))</f>
        <v/>
      </c>
      <c r="AM330" s="28" t="str">
        <f ca="1">IF(NOTA[[#This Row],[ID_H]]="","",IF(NOTA[[#This Row],[FAKTUR]]="",INDIRECT(ADDRESS(ROW()-1,COLUMN())),NOTA[[#This Row],[FAKTUR]]))</f>
        <v/>
      </c>
      <c r="AN330" s="25" t="str">
        <f ca="1">IF(NOTA[[#This Row],[ID]]="","",COUNTIF(NOTA[ID_H],NOTA[[#This Row],[ID_H]]))</f>
        <v/>
      </c>
      <c r="AO330" s="25" t="str">
        <f ca="1">IF(NOTA[[#This Row],[TGL.NOTA]]="",IF(NOTA[[#This Row],[SUPPLIER_H]]="","",AO329),MONTH(NOTA[[#This Row],[TGL.NOTA]]))</f>
        <v/>
      </c>
      <c r="AP3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0" s="25"/>
      <c r="AU330" s="25" t="str">
        <f>IF(NOTA[[#This Row],[CONCAT1]]="","",MATCH(NOTA[[#This Row],[CONCAT1]],[3]!db[NB NOTA_C],0))</f>
        <v/>
      </c>
      <c r="AV330" s="25" t="str">
        <f>IF(NOTA[[#This Row],[QTY/ CTN]]="","",TRUE)</f>
        <v/>
      </c>
      <c r="AW330" s="25" t="str">
        <f ca="1">IF(NOTA[[#This Row],[ID_H]]="","",IF(NOTA[[#This Row],[Column3]]=TRUE,NOTA[[#This Row],[QTY/ CTN]],INDEX([3]!db[QTY/ CTN],NOTA[[#This Row],[//DB]])))</f>
        <v/>
      </c>
      <c r="AX3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0" s="25" t="str">
        <f ca="1">IF(NOTA[[#This Row],[ID_H]]="","",MATCH(NOTA[[#This Row],[NB NOTA_C_QTY]],[3]!db[NB NOTA_C_QTY+F],0))</f>
        <v/>
      </c>
      <c r="AZ330" s="38" t="str">
        <f ca="1">IF(NOTA[[#This Row],[NB NOTA_C_QTY]]="","",ROW()-2)</f>
        <v/>
      </c>
    </row>
    <row r="331" spans="1:52" ht="20.100000000000001" customHeight="1">
      <c r="A3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1" s="25" t="str">
        <f ca="1">IF(NOTA[[#This Row],[NAMA BARANG]]="","",INDEX(NOTA[ID],MATCH(,INDIRECT(ADDRESS(ROW(NOTA[ID]),COLUMN(NOTA[ID]))&amp;":"&amp;ADDRESS(ROW(),COLUMN(NOTA[ID]))),-1)))</f>
        <v/>
      </c>
      <c r="E331" s="33"/>
      <c r="H331" s="34"/>
      <c r="Q331" s="29"/>
      <c r="R331" s="35"/>
      <c r="S331" s="36"/>
      <c r="V331" s="37"/>
      <c r="W331" s="32"/>
      <c r="X331" s="37" t="str">
        <f>IF(NOTA[[#This Row],[HARGA/ CTN]]="",NOTA[[#This Row],[JUMLAH_H]],NOTA[[#This Row],[HARGA/ CTN]]*IF(NOTA[[#This Row],[C]]="",0,NOTA[[#This Row],[C]]))</f>
        <v/>
      </c>
      <c r="Y331" s="37" t="str">
        <f>IF(NOTA[[#This Row],[JUMLAH]]="","",NOTA[[#This Row],[JUMLAH]]*NOTA[[#This Row],[DISC 1]])</f>
        <v/>
      </c>
      <c r="Z331" s="37" t="str">
        <f>IF(NOTA[[#This Row],[JUMLAH]]="","",(NOTA[[#This Row],[JUMLAH]]-NOTA[[#This Row],[DISC 1-]])*NOTA[[#This Row],[DISC 2]])</f>
        <v/>
      </c>
      <c r="AA331" s="37" t="str">
        <f>IF(NOTA[[#This Row],[JUMLAH]]="","",(NOTA[[#This Row],[JUMLAH]]-NOTA[[#This Row],[DISC 1-]]-NOTA[[#This Row],[DISC 2-]])*NOTA[[#This Row],[DISC 3]])</f>
        <v/>
      </c>
      <c r="AB331" s="37" t="str">
        <f>IF(NOTA[[#This Row],[JUMLAH]]="","",NOTA[[#This Row],[DISC 1-]]+NOTA[[#This Row],[DISC 2-]]+NOTA[[#This Row],[DISC 3-]])</f>
        <v/>
      </c>
      <c r="AC331" s="37" t="str">
        <f>IF(NOTA[[#This Row],[JUMLAH]]="","",NOTA[[#This Row],[JUMLAH]]-NOTA[[#This Row],[DISC]])</f>
        <v/>
      </c>
      <c r="AD331" s="37"/>
      <c r="AE3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1" s="37" t="str">
        <f>IF(OR(NOTA[[#This Row],[QTY]]="",NOTA[[#This Row],[HARGA SATUAN]]="",),"",NOTA[[#This Row],[QTY]]*NOTA[[#This Row],[HARGA SATUAN]])</f>
        <v/>
      </c>
      <c r="AI331" s="26" t="str">
        <f ca="1">IF(NOTA[[#This Row],[ID_H]]="","",INDEX(NOTA[TANGGAL],MATCH(,INDIRECT(ADDRESS(ROW(NOTA[TANGGAL]),COLUMN(NOTA[TANGGAL]))&amp;":"&amp;ADDRESS(ROW(),COLUMN(NOTA[TANGGAL]))),-1)))</f>
        <v/>
      </c>
      <c r="AJ331" s="26" t="str">
        <f ca="1">IF(NOTA[[#This Row],[ID_H]]="","",INDEX(NOTA[TGL.NOTA],MATCH(,INDIRECT(ADDRESS(ROW(NOTA[TGL.NOTA]),COLUMN(NOTA[TGL.NOTA]))&amp;":"&amp;ADDRESS(ROW(),COLUMN(NOTA[TGL.NOTA]))),-1)))</f>
        <v/>
      </c>
      <c r="AK331" s="26" t="str">
        <f ca="1">IF(NOTA[[#This Row],[ID_H]]="","",INDEX(NOTA[NO.NOTA],MATCH(NOTA[[#This Row],[ID_H]],NOTA[ID_H],0)))</f>
        <v/>
      </c>
      <c r="AL331" s="28" t="str">
        <f ca="1">IF(NOTA[[#This Row],[NAMA BARANG]]="","",INDEX(NOTA[SUPPLIER],MATCH(,INDIRECT(ADDRESS(ROW(NOTA[ID]),COLUMN(NOTA[ID]))&amp;":"&amp;ADDRESS(ROW(),COLUMN(NOTA[ID]))),-1)))</f>
        <v/>
      </c>
      <c r="AM331" s="28" t="str">
        <f ca="1">IF(NOTA[[#This Row],[ID_H]]="","",IF(NOTA[[#This Row],[FAKTUR]]="",INDIRECT(ADDRESS(ROW()-1,COLUMN())),NOTA[[#This Row],[FAKTUR]]))</f>
        <v/>
      </c>
      <c r="AN331" s="25" t="str">
        <f ca="1">IF(NOTA[[#This Row],[ID]]="","",COUNTIF(NOTA[ID_H],NOTA[[#This Row],[ID_H]]))</f>
        <v/>
      </c>
      <c r="AO331" s="25" t="str">
        <f ca="1">IF(NOTA[[#This Row],[TGL.NOTA]]="",IF(NOTA[[#This Row],[SUPPLIER_H]]="","",AO330),MONTH(NOTA[[#This Row],[TGL.NOTA]]))</f>
        <v/>
      </c>
      <c r="AP3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1" s="25"/>
      <c r="AU331" s="25" t="str">
        <f>IF(NOTA[[#This Row],[CONCAT1]]="","",MATCH(NOTA[[#This Row],[CONCAT1]],[3]!db[NB NOTA_C],0))</f>
        <v/>
      </c>
      <c r="AV331" s="25" t="str">
        <f>IF(NOTA[[#This Row],[QTY/ CTN]]="","",TRUE)</f>
        <v/>
      </c>
      <c r="AW331" s="25" t="str">
        <f ca="1">IF(NOTA[[#This Row],[ID_H]]="","",IF(NOTA[[#This Row],[Column3]]=TRUE,NOTA[[#This Row],[QTY/ CTN]],INDEX([3]!db[QTY/ CTN],NOTA[[#This Row],[//DB]])))</f>
        <v/>
      </c>
      <c r="AX3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1" s="25" t="str">
        <f ca="1">IF(NOTA[[#This Row],[ID_H]]="","",MATCH(NOTA[[#This Row],[NB NOTA_C_QTY]],[3]!db[NB NOTA_C_QTY+F],0))</f>
        <v/>
      </c>
      <c r="AZ331" s="38" t="str">
        <f ca="1">IF(NOTA[[#This Row],[NB NOTA_C_QTY]]="","",ROW()-2)</f>
        <v/>
      </c>
    </row>
    <row r="332" spans="1:52" ht="20.100000000000001" customHeight="1">
      <c r="A3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2" s="25" t="str">
        <f ca="1">IF(NOTA[[#This Row],[NAMA BARANG]]="","",INDEX(NOTA[ID],MATCH(,INDIRECT(ADDRESS(ROW(NOTA[ID]),COLUMN(NOTA[ID]))&amp;":"&amp;ADDRESS(ROW(),COLUMN(NOTA[ID]))),-1)))</f>
        <v/>
      </c>
      <c r="E332" s="33"/>
      <c r="H332" s="34"/>
      <c r="Q332" s="29"/>
      <c r="R332" s="35"/>
      <c r="S332" s="36"/>
      <c r="V332" s="37"/>
      <c r="W332" s="32"/>
      <c r="X332" s="37" t="str">
        <f>IF(NOTA[[#This Row],[HARGA/ CTN]]="",NOTA[[#This Row],[JUMLAH_H]],NOTA[[#This Row],[HARGA/ CTN]]*IF(NOTA[[#This Row],[C]]="",0,NOTA[[#This Row],[C]]))</f>
        <v/>
      </c>
      <c r="Y332" s="37" t="str">
        <f>IF(NOTA[[#This Row],[JUMLAH]]="","",NOTA[[#This Row],[JUMLAH]]*NOTA[[#This Row],[DISC 1]])</f>
        <v/>
      </c>
      <c r="Z332" s="37" t="str">
        <f>IF(NOTA[[#This Row],[JUMLAH]]="","",(NOTA[[#This Row],[JUMLAH]]-NOTA[[#This Row],[DISC 1-]])*NOTA[[#This Row],[DISC 2]])</f>
        <v/>
      </c>
      <c r="AA332" s="37" t="str">
        <f>IF(NOTA[[#This Row],[JUMLAH]]="","",(NOTA[[#This Row],[JUMLAH]]-NOTA[[#This Row],[DISC 1-]]-NOTA[[#This Row],[DISC 2-]])*NOTA[[#This Row],[DISC 3]])</f>
        <v/>
      </c>
      <c r="AB332" s="37" t="str">
        <f>IF(NOTA[[#This Row],[JUMLAH]]="","",NOTA[[#This Row],[DISC 1-]]+NOTA[[#This Row],[DISC 2-]]+NOTA[[#This Row],[DISC 3-]])</f>
        <v/>
      </c>
      <c r="AC332" s="37" t="str">
        <f>IF(NOTA[[#This Row],[JUMLAH]]="","",NOTA[[#This Row],[JUMLAH]]-NOTA[[#This Row],[DISC]])</f>
        <v/>
      </c>
      <c r="AD332" s="37"/>
      <c r="AE3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2" s="37" t="str">
        <f>IF(OR(NOTA[[#This Row],[QTY]]="",NOTA[[#This Row],[HARGA SATUAN]]="",),"",NOTA[[#This Row],[QTY]]*NOTA[[#This Row],[HARGA SATUAN]])</f>
        <v/>
      </c>
      <c r="AI332" s="26" t="str">
        <f ca="1">IF(NOTA[[#This Row],[ID_H]]="","",INDEX(NOTA[TANGGAL],MATCH(,INDIRECT(ADDRESS(ROW(NOTA[TANGGAL]),COLUMN(NOTA[TANGGAL]))&amp;":"&amp;ADDRESS(ROW(),COLUMN(NOTA[TANGGAL]))),-1)))</f>
        <v/>
      </c>
      <c r="AJ332" s="26" t="str">
        <f ca="1">IF(NOTA[[#This Row],[ID_H]]="","",INDEX(NOTA[TGL.NOTA],MATCH(,INDIRECT(ADDRESS(ROW(NOTA[TGL.NOTA]),COLUMN(NOTA[TGL.NOTA]))&amp;":"&amp;ADDRESS(ROW(),COLUMN(NOTA[TGL.NOTA]))),-1)))</f>
        <v/>
      </c>
      <c r="AK332" s="26" t="str">
        <f ca="1">IF(NOTA[[#This Row],[ID_H]]="","",INDEX(NOTA[NO.NOTA],MATCH(NOTA[[#This Row],[ID_H]],NOTA[ID_H],0)))</f>
        <v/>
      </c>
      <c r="AL332" s="28" t="str">
        <f ca="1">IF(NOTA[[#This Row],[NAMA BARANG]]="","",INDEX(NOTA[SUPPLIER],MATCH(,INDIRECT(ADDRESS(ROW(NOTA[ID]),COLUMN(NOTA[ID]))&amp;":"&amp;ADDRESS(ROW(),COLUMN(NOTA[ID]))),-1)))</f>
        <v/>
      </c>
      <c r="AM332" s="28" t="str">
        <f ca="1">IF(NOTA[[#This Row],[ID_H]]="","",IF(NOTA[[#This Row],[FAKTUR]]="",INDIRECT(ADDRESS(ROW()-1,COLUMN())),NOTA[[#This Row],[FAKTUR]]))</f>
        <v/>
      </c>
      <c r="AN332" s="25" t="str">
        <f ca="1">IF(NOTA[[#This Row],[ID]]="","",COUNTIF(NOTA[ID_H],NOTA[[#This Row],[ID_H]]))</f>
        <v/>
      </c>
      <c r="AO332" s="25" t="str">
        <f ca="1">IF(NOTA[[#This Row],[TGL.NOTA]]="",IF(NOTA[[#This Row],[SUPPLIER_H]]="","",AO331),MONTH(NOTA[[#This Row],[TGL.NOTA]]))</f>
        <v/>
      </c>
      <c r="AP3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2" s="25"/>
      <c r="AU332" s="25" t="str">
        <f>IF(NOTA[[#This Row],[CONCAT1]]="","",MATCH(NOTA[[#This Row],[CONCAT1]],[3]!db[NB NOTA_C],0))</f>
        <v/>
      </c>
      <c r="AV332" s="25" t="str">
        <f>IF(NOTA[[#This Row],[QTY/ CTN]]="","",TRUE)</f>
        <v/>
      </c>
      <c r="AW332" s="25" t="str">
        <f ca="1">IF(NOTA[[#This Row],[ID_H]]="","",IF(NOTA[[#This Row],[Column3]]=TRUE,NOTA[[#This Row],[QTY/ CTN]],INDEX([3]!db[QTY/ CTN],NOTA[[#This Row],[//DB]])))</f>
        <v/>
      </c>
      <c r="AX3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2" s="25" t="str">
        <f ca="1">IF(NOTA[[#This Row],[ID_H]]="","",MATCH(NOTA[[#This Row],[NB NOTA_C_QTY]],[3]!db[NB NOTA_C_QTY+F],0))</f>
        <v/>
      </c>
      <c r="AZ332" s="38" t="str">
        <f ca="1">IF(NOTA[[#This Row],[NB NOTA_C_QTY]]="","",ROW()-2)</f>
        <v/>
      </c>
    </row>
    <row r="333" spans="1:52" ht="20.100000000000001" customHeight="1">
      <c r="A3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3" s="25" t="str">
        <f ca="1">IF(NOTA[[#This Row],[NAMA BARANG]]="","",INDEX(NOTA[ID],MATCH(,INDIRECT(ADDRESS(ROW(NOTA[ID]),COLUMN(NOTA[ID]))&amp;":"&amp;ADDRESS(ROW(),COLUMN(NOTA[ID]))),-1)))</f>
        <v/>
      </c>
      <c r="E333" s="33"/>
      <c r="H333" s="34"/>
      <c r="Q333" s="29"/>
      <c r="R333" s="35"/>
      <c r="S333" s="36"/>
      <c r="V333" s="37"/>
      <c r="W333" s="32"/>
      <c r="X333" s="37" t="str">
        <f>IF(NOTA[[#This Row],[HARGA/ CTN]]="",NOTA[[#This Row],[JUMLAH_H]],NOTA[[#This Row],[HARGA/ CTN]]*IF(NOTA[[#This Row],[C]]="",0,NOTA[[#This Row],[C]]))</f>
        <v/>
      </c>
      <c r="Y333" s="37" t="str">
        <f>IF(NOTA[[#This Row],[JUMLAH]]="","",NOTA[[#This Row],[JUMLAH]]*NOTA[[#This Row],[DISC 1]])</f>
        <v/>
      </c>
      <c r="Z333" s="37" t="str">
        <f>IF(NOTA[[#This Row],[JUMLAH]]="","",(NOTA[[#This Row],[JUMLAH]]-NOTA[[#This Row],[DISC 1-]])*NOTA[[#This Row],[DISC 2]])</f>
        <v/>
      </c>
      <c r="AA333" s="37" t="str">
        <f>IF(NOTA[[#This Row],[JUMLAH]]="","",(NOTA[[#This Row],[JUMLAH]]-NOTA[[#This Row],[DISC 1-]]-NOTA[[#This Row],[DISC 2-]])*NOTA[[#This Row],[DISC 3]])</f>
        <v/>
      </c>
      <c r="AB333" s="37" t="str">
        <f>IF(NOTA[[#This Row],[JUMLAH]]="","",NOTA[[#This Row],[DISC 1-]]+NOTA[[#This Row],[DISC 2-]]+NOTA[[#This Row],[DISC 3-]])</f>
        <v/>
      </c>
      <c r="AC333" s="37" t="str">
        <f>IF(NOTA[[#This Row],[JUMLAH]]="","",NOTA[[#This Row],[JUMLAH]]-NOTA[[#This Row],[DISC]])</f>
        <v/>
      </c>
      <c r="AD333" s="37"/>
      <c r="AE3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3" s="37" t="str">
        <f>IF(OR(NOTA[[#This Row],[QTY]]="",NOTA[[#This Row],[HARGA SATUAN]]="",),"",NOTA[[#This Row],[QTY]]*NOTA[[#This Row],[HARGA SATUAN]])</f>
        <v/>
      </c>
      <c r="AI333" s="26" t="str">
        <f ca="1">IF(NOTA[[#This Row],[ID_H]]="","",INDEX(NOTA[TANGGAL],MATCH(,INDIRECT(ADDRESS(ROW(NOTA[TANGGAL]),COLUMN(NOTA[TANGGAL]))&amp;":"&amp;ADDRESS(ROW(),COLUMN(NOTA[TANGGAL]))),-1)))</f>
        <v/>
      </c>
      <c r="AJ333" s="26" t="str">
        <f ca="1">IF(NOTA[[#This Row],[ID_H]]="","",INDEX(NOTA[TGL.NOTA],MATCH(,INDIRECT(ADDRESS(ROW(NOTA[TGL.NOTA]),COLUMN(NOTA[TGL.NOTA]))&amp;":"&amp;ADDRESS(ROW(),COLUMN(NOTA[TGL.NOTA]))),-1)))</f>
        <v/>
      </c>
      <c r="AK333" s="26" t="str">
        <f ca="1">IF(NOTA[[#This Row],[ID_H]]="","",INDEX(NOTA[NO.NOTA],MATCH(NOTA[[#This Row],[ID_H]],NOTA[ID_H],0)))</f>
        <v/>
      </c>
      <c r="AL333" s="28" t="str">
        <f ca="1">IF(NOTA[[#This Row],[NAMA BARANG]]="","",INDEX(NOTA[SUPPLIER],MATCH(,INDIRECT(ADDRESS(ROW(NOTA[ID]),COLUMN(NOTA[ID]))&amp;":"&amp;ADDRESS(ROW(),COLUMN(NOTA[ID]))),-1)))</f>
        <v/>
      </c>
      <c r="AM333" s="28" t="str">
        <f ca="1">IF(NOTA[[#This Row],[ID_H]]="","",IF(NOTA[[#This Row],[FAKTUR]]="",INDIRECT(ADDRESS(ROW()-1,COLUMN())),NOTA[[#This Row],[FAKTUR]]))</f>
        <v/>
      </c>
      <c r="AN333" s="25" t="str">
        <f ca="1">IF(NOTA[[#This Row],[ID]]="","",COUNTIF(NOTA[ID_H],NOTA[[#This Row],[ID_H]]))</f>
        <v/>
      </c>
      <c r="AO333" s="25" t="str">
        <f ca="1">IF(NOTA[[#This Row],[TGL.NOTA]]="",IF(NOTA[[#This Row],[SUPPLIER_H]]="","",AO332),MONTH(NOTA[[#This Row],[TGL.NOTA]]))</f>
        <v/>
      </c>
      <c r="AP3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3" s="25"/>
      <c r="AU333" s="25" t="str">
        <f>IF(NOTA[[#This Row],[CONCAT1]]="","",MATCH(NOTA[[#This Row],[CONCAT1]],[3]!db[NB NOTA_C],0))</f>
        <v/>
      </c>
      <c r="AV333" s="25" t="str">
        <f>IF(NOTA[[#This Row],[QTY/ CTN]]="","",TRUE)</f>
        <v/>
      </c>
      <c r="AW333" s="25" t="str">
        <f ca="1">IF(NOTA[[#This Row],[ID_H]]="","",IF(NOTA[[#This Row],[Column3]]=TRUE,NOTA[[#This Row],[QTY/ CTN]],INDEX([3]!db[QTY/ CTN],NOTA[[#This Row],[//DB]])))</f>
        <v/>
      </c>
      <c r="AX3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3" s="25" t="str">
        <f ca="1">IF(NOTA[[#This Row],[ID_H]]="","",MATCH(NOTA[[#This Row],[NB NOTA_C_QTY]],[3]!db[NB NOTA_C_QTY+F],0))</f>
        <v/>
      </c>
      <c r="AZ333" s="38" t="str">
        <f ca="1">IF(NOTA[[#This Row],[NB NOTA_C_QTY]]="","",ROW()-2)</f>
        <v/>
      </c>
    </row>
    <row r="334" spans="1:52" ht="20.100000000000001" customHeight="1">
      <c r="A3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4" s="25" t="str">
        <f ca="1">IF(NOTA[[#This Row],[NAMA BARANG]]="","",INDEX(NOTA[ID],MATCH(,INDIRECT(ADDRESS(ROW(NOTA[ID]),COLUMN(NOTA[ID]))&amp;":"&amp;ADDRESS(ROW(),COLUMN(NOTA[ID]))),-1)))</f>
        <v/>
      </c>
      <c r="E334" s="33"/>
      <c r="H334" s="34"/>
      <c r="Q334" s="29"/>
      <c r="R334" s="35"/>
      <c r="S334" s="36"/>
      <c r="V334" s="37"/>
      <c r="W334" s="32"/>
      <c r="X334" s="37" t="str">
        <f>IF(NOTA[[#This Row],[HARGA/ CTN]]="",NOTA[[#This Row],[JUMLAH_H]],NOTA[[#This Row],[HARGA/ CTN]]*IF(NOTA[[#This Row],[C]]="",0,NOTA[[#This Row],[C]]))</f>
        <v/>
      </c>
      <c r="Y334" s="37" t="str">
        <f>IF(NOTA[[#This Row],[JUMLAH]]="","",NOTA[[#This Row],[JUMLAH]]*NOTA[[#This Row],[DISC 1]])</f>
        <v/>
      </c>
      <c r="Z334" s="37" t="str">
        <f>IF(NOTA[[#This Row],[JUMLAH]]="","",(NOTA[[#This Row],[JUMLAH]]-NOTA[[#This Row],[DISC 1-]])*NOTA[[#This Row],[DISC 2]])</f>
        <v/>
      </c>
      <c r="AA334" s="37" t="str">
        <f>IF(NOTA[[#This Row],[JUMLAH]]="","",(NOTA[[#This Row],[JUMLAH]]-NOTA[[#This Row],[DISC 1-]]-NOTA[[#This Row],[DISC 2-]])*NOTA[[#This Row],[DISC 3]])</f>
        <v/>
      </c>
      <c r="AB334" s="37" t="str">
        <f>IF(NOTA[[#This Row],[JUMLAH]]="","",NOTA[[#This Row],[DISC 1-]]+NOTA[[#This Row],[DISC 2-]]+NOTA[[#This Row],[DISC 3-]])</f>
        <v/>
      </c>
      <c r="AC334" s="37" t="str">
        <f>IF(NOTA[[#This Row],[JUMLAH]]="","",NOTA[[#This Row],[JUMLAH]]-NOTA[[#This Row],[DISC]])</f>
        <v/>
      </c>
      <c r="AD334" s="37"/>
      <c r="AE3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4" s="37" t="str">
        <f>IF(OR(NOTA[[#This Row],[QTY]]="",NOTA[[#This Row],[HARGA SATUAN]]="",),"",NOTA[[#This Row],[QTY]]*NOTA[[#This Row],[HARGA SATUAN]])</f>
        <v/>
      </c>
      <c r="AI334" s="26" t="str">
        <f ca="1">IF(NOTA[[#This Row],[ID_H]]="","",INDEX(NOTA[TANGGAL],MATCH(,INDIRECT(ADDRESS(ROW(NOTA[TANGGAL]),COLUMN(NOTA[TANGGAL]))&amp;":"&amp;ADDRESS(ROW(),COLUMN(NOTA[TANGGAL]))),-1)))</f>
        <v/>
      </c>
      <c r="AJ334" s="26" t="str">
        <f ca="1">IF(NOTA[[#This Row],[ID_H]]="","",INDEX(NOTA[TGL.NOTA],MATCH(,INDIRECT(ADDRESS(ROW(NOTA[TGL.NOTA]),COLUMN(NOTA[TGL.NOTA]))&amp;":"&amp;ADDRESS(ROW(),COLUMN(NOTA[TGL.NOTA]))),-1)))</f>
        <v/>
      </c>
      <c r="AK334" s="26" t="str">
        <f ca="1">IF(NOTA[[#This Row],[ID_H]]="","",INDEX(NOTA[NO.NOTA],MATCH(NOTA[[#This Row],[ID_H]],NOTA[ID_H],0)))</f>
        <v/>
      </c>
      <c r="AL334" s="28" t="str">
        <f ca="1">IF(NOTA[[#This Row],[NAMA BARANG]]="","",INDEX(NOTA[SUPPLIER],MATCH(,INDIRECT(ADDRESS(ROW(NOTA[ID]),COLUMN(NOTA[ID]))&amp;":"&amp;ADDRESS(ROW(),COLUMN(NOTA[ID]))),-1)))</f>
        <v/>
      </c>
      <c r="AM334" s="28" t="str">
        <f ca="1">IF(NOTA[[#This Row],[ID_H]]="","",IF(NOTA[[#This Row],[FAKTUR]]="",INDIRECT(ADDRESS(ROW()-1,COLUMN())),NOTA[[#This Row],[FAKTUR]]))</f>
        <v/>
      </c>
      <c r="AN334" s="25" t="str">
        <f ca="1">IF(NOTA[[#This Row],[ID]]="","",COUNTIF(NOTA[ID_H],NOTA[[#This Row],[ID_H]]))</f>
        <v/>
      </c>
      <c r="AO334" s="25" t="str">
        <f ca="1">IF(NOTA[[#This Row],[TGL.NOTA]]="",IF(NOTA[[#This Row],[SUPPLIER_H]]="","",AO333),MONTH(NOTA[[#This Row],[TGL.NOTA]]))</f>
        <v/>
      </c>
      <c r="AP3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4" s="25"/>
      <c r="AU334" s="25" t="str">
        <f>IF(NOTA[[#This Row],[CONCAT1]]="","",MATCH(NOTA[[#This Row],[CONCAT1]],[3]!db[NB NOTA_C],0))</f>
        <v/>
      </c>
      <c r="AV334" s="25" t="str">
        <f>IF(NOTA[[#This Row],[QTY/ CTN]]="","",TRUE)</f>
        <v/>
      </c>
      <c r="AW334" s="25" t="str">
        <f ca="1">IF(NOTA[[#This Row],[ID_H]]="","",IF(NOTA[[#This Row],[Column3]]=TRUE,NOTA[[#This Row],[QTY/ CTN]],INDEX([3]!db[QTY/ CTN],NOTA[[#This Row],[//DB]])))</f>
        <v/>
      </c>
      <c r="AX3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4" s="25" t="str">
        <f ca="1">IF(NOTA[[#This Row],[ID_H]]="","",MATCH(NOTA[[#This Row],[NB NOTA_C_QTY]],[3]!db[NB NOTA_C_QTY+F],0))</f>
        <v/>
      </c>
      <c r="AZ334" s="38" t="str">
        <f ca="1">IF(NOTA[[#This Row],[NB NOTA_C_QTY]]="","",ROW()-2)</f>
        <v/>
      </c>
    </row>
    <row r="335" spans="1:52" ht="20.100000000000001" customHeight="1">
      <c r="A3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5" s="25" t="str">
        <f ca="1">IF(NOTA[[#This Row],[NAMA BARANG]]="","",INDEX(NOTA[ID],MATCH(,INDIRECT(ADDRESS(ROW(NOTA[ID]),COLUMN(NOTA[ID]))&amp;":"&amp;ADDRESS(ROW(),COLUMN(NOTA[ID]))),-1)))</f>
        <v/>
      </c>
      <c r="E335" s="33"/>
      <c r="H335" s="34"/>
      <c r="Q335" s="29"/>
      <c r="R335" s="35"/>
      <c r="S335" s="36"/>
      <c r="V335" s="37"/>
      <c r="W335" s="32"/>
      <c r="X335" s="37" t="str">
        <f>IF(NOTA[[#This Row],[HARGA/ CTN]]="",NOTA[[#This Row],[JUMLAH_H]],NOTA[[#This Row],[HARGA/ CTN]]*IF(NOTA[[#This Row],[C]]="",0,NOTA[[#This Row],[C]]))</f>
        <v/>
      </c>
      <c r="Y335" s="37" t="str">
        <f>IF(NOTA[[#This Row],[JUMLAH]]="","",NOTA[[#This Row],[JUMLAH]]*NOTA[[#This Row],[DISC 1]])</f>
        <v/>
      </c>
      <c r="Z335" s="37" t="str">
        <f>IF(NOTA[[#This Row],[JUMLAH]]="","",(NOTA[[#This Row],[JUMLAH]]-NOTA[[#This Row],[DISC 1-]])*NOTA[[#This Row],[DISC 2]])</f>
        <v/>
      </c>
      <c r="AA335" s="37" t="str">
        <f>IF(NOTA[[#This Row],[JUMLAH]]="","",(NOTA[[#This Row],[JUMLAH]]-NOTA[[#This Row],[DISC 1-]]-NOTA[[#This Row],[DISC 2-]])*NOTA[[#This Row],[DISC 3]])</f>
        <v/>
      </c>
      <c r="AB335" s="37" t="str">
        <f>IF(NOTA[[#This Row],[JUMLAH]]="","",NOTA[[#This Row],[DISC 1-]]+NOTA[[#This Row],[DISC 2-]]+NOTA[[#This Row],[DISC 3-]])</f>
        <v/>
      </c>
      <c r="AC335" s="37" t="str">
        <f>IF(NOTA[[#This Row],[JUMLAH]]="","",NOTA[[#This Row],[JUMLAH]]-NOTA[[#This Row],[DISC]])</f>
        <v/>
      </c>
      <c r="AD335" s="37"/>
      <c r="AE3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5" s="37" t="str">
        <f>IF(OR(NOTA[[#This Row],[QTY]]="",NOTA[[#This Row],[HARGA SATUAN]]="",),"",NOTA[[#This Row],[QTY]]*NOTA[[#This Row],[HARGA SATUAN]])</f>
        <v/>
      </c>
      <c r="AI335" s="26" t="str">
        <f ca="1">IF(NOTA[[#This Row],[ID_H]]="","",INDEX(NOTA[TANGGAL],MATCH(,INDIRECT(ADDRESS(ROW(NOTA[TANGGAL]),COLUMN(NOTA[TANGGAL]))&amp;":"&amp;ADDRESS(ROW(),COLUMN(NOTA[TANGGAL]))),-1)))</f>
        <v/>
      </c>
      <c r="AJ335" s="26" t="str">
        <f ca="1">IF(NOTA[[#This Row],[ID_H]]="","",INDEX(NOTA[TGL.NOTA],MATCH(,INDIRECT(ADDRESS(ROW(NOTA[TGL.NOTA]),COLUMN(NOTA[TGL.NOTA]))&amp;":"&amp;ADDRESS(ROW(),COLUMN(NOTA[TGL.NOTA]))),-1)))</f>
        <v/>
      </c>
      <c r="AK335" s="26" t="str">
        <f ca="1">IF(NOTA[[#This Row],[ID_H]]="","",INDEX(NOTA[NO.NOTA],MATCH(NOTA[[#This Row],[ID_H]],NOTA[ID_H],0)))</f>
        <v/>
      </c>
      <c r="AL335" s="28" t="str">
        <f ca="1">IF(NOTA[[#This Row],[NAMA BARANG]]="","",INDEX(NOTA[SUPPLIER],MATCH(,INDIRECT(ADDRESS(ROW(NOTA[ID]),COLUMN(NOTA[ID]))&amp;":"&amp;ADDRESS(ROW(),COLUMN(NOTA[ID]))),-1)))</f>
        <v/>
      </c>
      <c r="AM335" s="28" t="str">
        <f ca="1">IF(NOTA[[#This Row],[ID_H]]="","",IF(NOTA[[#This Row],[FAKTUR]]="",INDIRECT(ADDRESS(ROW()-1,COLUMN())),NOTA[[#This Row],[FAKTUR]]))</f>
        <v/>
      </c>
      <c r="AN335" s="25" t="str">
        <f ca="1">IF(NOTA[[#This Row],[ID]]="","",COUNTIF(NOTA[ID_H],NOTA[[#This Row],[ID_H]]))</f>
        <v/>
      </c>
      <c r="AO335" s="25" t="str">
        <f ca="1">IF(NOTA[[#This Row],[TGL.NOTA]]="",IF(NOTA[[#This Row],[SUPPLIER_H]]="","",AO334),MONTH(NOTA[[#This Row],[TGL.NOTA]]))</f>
        <v/>
      </c>
      <c r="AP3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5" s="25"/>
      <c r="AU335" s="25" t="str">
        <f>IF(NOTA[[#This Row],[CONCAT1]]="","",MATCH(NOTA[[#This Row],[CONCAT1]],[3]!db[NB NOTA_C],0))</f>
        <v/>
      </c>
      <c r="AV335" s="25" t="str">
        <f>IF(NOTA[[#This Row],[QTY/ CTN]]="","",TRUE)</f>
        <v/>
      </c>
      <c r="AW335" s="25" t="str">
        <f ca="1">IF(NOTA[[#This Row],[ID_H]]="","",IF(NOTA[[#This Row],[Column3]]=TRUE,NOTA[[#This Row],[QTY/ CTN]],INDEX([3]!db[QTY/ CTN],NOTA[[#This Row],[//DB]])))</f>
        <v/>
      </c>
      <c r="AX3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5" s="25" t="str">
        <f ca="1">IF(NOTA[[#This Row],[ID_H]]="","",MATCH(NOTA[[#This Row],[NB NOTA_C_QTY]],[3]!db[NB NOTA_C_QTY+F],0))</f>
        <v/>
      </c>
      <c r="AZ335" s="38" t="str">
        <f ca="1">IF(NOTA[[#This Row],[NB NOTA_C_QTY]]="","",ROW()-2)</f>
        <v/>
      </c>
    </row>
    <row r="336" spans="1:52" ht="20.100000000000001" customHeight="1">
      <c r="A3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6" s="25" t="str">
        <f ca="1">IF(NOTA[[#This Row],[NAMA BARANG]]="","",INDEX(NOTA[ID],MATCH(,INDIRECT(ADDRESS(ROW(NOTA[ID]),COLUMN(NOTA[ID]))&amp;":"&amp;ADDRESS(ROW(),COLUMN(NOTA[ID]))),-1)))</f>
        <v/>
      </c>
      <c r="E336" s="33"/>
      <c r="H336" s="34"/>
      <c r="Q336" s="29"/>
      <c r="R336" s="35"/>
      <c r="S336" s="36"/>
      <c r="V336" s="37"/>
      <c r="W336" s="32"/>
      <c r="X336" s="37" t="str">
        <f>IF(NOTA[[#This Row],[HARGA/ CTN]]="",NOTA[[#This Row],[JUMLAH_H]],NOTA[[#This Row],[HARGA/ CTN]]*IF(NOTA[[#This Row],[C]]="",0,NOTA[[#This Row],[C]]))</f>
        <v/>
      </c>
      <c r="Y336" s="37" t="str">
        <f>IF(NOTA[[#This Row],[JUMLAH]]="","",NOTA[[#This Row],[JUMLAH]]*NOTA[[#This Row],[DISC 1]])</f>
        <v/>
      </c>
      <c r="Z336" s="37" t="str">
        <f>IF(NOTA[[#This Row],[JUMLAH]]="","",(NOTA[[#This Row],[JUMLAH]]-NOTA[[#This Row],[DISC 1-]])*NOTA[[#This Row],[DISC 2]])</f>
        <v/>
      </c>
      <c r="AA336" s="37" t="str">
        <f>IF(NOTA[[#This Row],[JUMLAH]]="","",(NOTA[[#This Row],[JUMLAH]]-NOTA[[#This Row],[DISC 1-]]-NOTA[[#This Row],[DISC 2-]])*NOTA[[#This Row],[DISC 3]])</f>
        <v/>
      </c>
      <c r="AB336" s="37" t="str">
        <f>IF(NOTA[[#This Row],[JUMLAH]]="","",NOTA[[#This Row],[DISC 1-]]+NOTA[[#This Row],[DISC 2-]]+NOTA[[#This Row],[DISC 3-]])</f>
        <v/>
      </c>
      <c r="AC336" s="37" t="str">
        <f>IF(NOTA[[#This Row],[JUMLAH]]="","",NOTA[[#This Row],[JUMLAH]]-NOTA[[#This Row],[DISC]])</f>
        <v/>
      </c>
      <c r="AD336" s="37"/>
      <c r="AE3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6" s="37" t="str">
        <f>IF(OR(NOTA[[#This Row],[QTY]]="",NOTA[[#This Row],[HARGA SATUAN]]="",),"",NOTA[[#This Row],[QTY]]*NOTA[[#This Row],[HARGA SATUAN]])</f>
        <v/>
      </c>
      <c r="AI336" s="26" t="str">
        <f ca="1">IF(NOTA[[#This Row],[ID_H]]="","",INDEX(NOTA[TANGGAL],MATCH(,INDIRECT(ADDRESS(ROW(NOTA[TANGGAL]),COLUMN(NOTA[TANGGAL]))&amp;":"&amp;ADDRESS(ROW(),COLUMN(NOTA[TANGGAL]))),-1)))</f>
        <v/>
      </c>
      <c r="AJ336" s="26" t="str">
        <f ca="1">IF(NOTA[[#This Row],[ID_H]]="","",INDEX(NOTA[TGL.NOTA],MATCH(,INDIRECT(ADDRESS(ROW(NOTA[TGL.NOTA]),COLUMN(NOTA[TGL.NOTA]))&amp;":"&amp;ADDRESS(ROW(),COLUMN(NOTA[TGL.NOTA]))),-1)))</f>
        <v/>
      </c>
      <c r="AK336" s="26" t="str">
        <f ca="1">IF(NOTA[[#This Row],[ID_H]]="","",INDEX(NOTA[NO.NOTA],MATCH(NOTA[[#This Row],[ID_H]],NOTA[ID_H],0)))</f>
        <v/>
      </c>
      <c r="AL336" s="28" t="str">
        <f ca="1">IF(NOTA[[#This Row],[NAMA BARANG]]="","",INDEX(NOTA[SUPPLIER],MATCH(,INDIRECT(ADDRESS(ROW(NOTA[ID]),COLUMN(NOTA[ID]))&amp;":"&amp;ADDRESS(ROW(),COLUMN(NOTA[ID]))),-1)))</f>
        <v/>
      </c>
      <c r="AM336" s="28" t="str">
        <f ca="1">IF(NOTA[[#This Row],[ID_H]]="","",IF(NOTA[[#This Row],[FAKTUR]]="",INDIRECT(ADDRESS(ROW()-1,COLUMN())),NOTA[[#This Row],[FAKTUR]]))</f>
        <v/>
      </c>
      <c r="AN336" s="25" t="str">
        <f ca="1">IF(NOTA[[#This Row],[ID]]="","",COUNTIF(NOTA[ID_H],NOTA[[#This Row],[ID_H]]))</f>
        <v/>
      </c>
      <c r="AO336" s="25" t="str">
        <f ca="1">IF(NOTA[[#This Row],[TGL.NOTA]]="",IF(NOTA[[#This Row],[SUPPLIER_H]]="","",AO335),MONTH(NOTA[[#This Row],[TGL.NOTA]]))</f>
        <v/>
      </c>
      <c r="AP3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6" s="25"/>
      <c r="AU336" s="25" t="str">
        <f>IF(NOTA[[#This Row],[CONCAT1]]="","",MATCH(NOTA[[#This Row],[CONCAT1]],[3]!db[NB NOTA_C],0))</f>
        <v/>
      </c>
      <c r="AV336" s="25" t="str">
        <f>IF(NOTA[[#This Row],[QTY/ CTN]]="","",TRUE)</f>
        <v/>
      </c>
      <c r="AW336" s="25" t="str">
        <f ca="1">IF(NOTA[[#This Row],[ID_H]]="","",IF(NOTA[[#This Row],[Column3]]=TRUE,NOTA[[#This Row],[QTY/ CTN]],INDEX([3]!db[QTY/ CTN],NOTA[[#This Row],[//DB]])))</f>
        <v/>
      </c>
      <c r="AX3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6" s="25" t="str">
        <f ca="1">IF(NOTA[[#This Row],[ID_H]]="","",MATCH(NOTA[[#This Row],[NB NOTA_C_QTY]],[3]!db[NB NOTA_C_QTY+F],0))</f>
        <v/>
      </c>
      <c r="AZ336" s="38" t="str">
        <f ca="1">IF(NOTA[[#This Row],[NB NOTA_C_QTY]]="","",ROW()-2)</f>
        <v/>
      </c>
    </row>
    <row r="337" spans="1:52" ht="20.100000000000001" customHeight="1">
      <c r="A3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7" s="25" t="str">
        <f ca="1">IF(NOTA[[#This Row],[NAMA BARANG]]="","",INDEX(NOTA[ID],MATCH(,INDIRECT(ADDRESS(ROW(NOTA[ID]),COLUMN(NOTA[ID]))&amp;":"&amp;ADDRESS(ROW(),COLUMN(NOTA[ID]))),-1)))</f>
        <v/>
      </c>
      <c r="E337" s="33"/>
      <c r="H337" s="34"/>
      <c r="Q337" s="29"/>
      <c r="R337" s="35"/>
      <c r="S337" s="36"/>
      <c r="V337" s="37"/>
      <c r="W337" s="32"/>
      <c r="X337" s="37" t="str">
        <f>IF(NOTA[[#This Row],[HARGA/ CTN]]="",NOTA[[#This Row],[JUMLAH_H]],NOTA[[#This Row],[HARGA/ CTN]]*IF(NOTA[[#This Row],[C]]="",0,NOTA[[#This Row],[C]]))</f>
        <v/>
      </c>
      <c r="Y337" s="37" t="str">
        <f>IF(NOTA[[#This Row],[JUMLAH]]="","",NOTA[[#This Row],[JUMLAH]]*NOTA[[#This Row],[DISC 1]])</f>
        <v/>
      </c>
      <c r="Z337" s="37" t="str">
        <f>IF(NOTA[[#This Row],[JUMLAH]]="","",(NOTA[[#This Row],[JUMLAH]]-NOTA[[#This Row],[DISC 1-]])*NOTA[[#This Row],[DISC 2]])</f>
        <v/>
      </c>
      <c r="AA337" s="37" t="str">
        <f>IF(NOTA[[#This Row],[JUMLAH]]="","",(NOTA[[#This Row],[JUMLAH]]-NOTA[[#This Row],[DISC 1-]]-NOTA[[#This Row],[DISC 2-]])*NOTA[[#This Row],[DISC 3]])</f>
        <v/>
      </c>
      <c r="AB337" s="37" t="str">
        <f>IF(NOTA[[#This Row],[JUMLAH]]="","",NOTA[[#This Row],[DISC 1-]]+NOTA[[#This Row],[DISC 2-]]+NOTA[[#This Row],[DISC 3-]])</f>
        <v/>
      </c>
      <c r="AC337" s="37" t="str">
        <f>IF(NOTA[[#This Row],[JUMLAH]]="","",NOTA[[#This Row],[JUMLAH]]-NOTA[[#This Row],[DISC]])</f>
        <v/>
      </c>
      <c r="AD337" s="37"/>
      <c r="AE3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7" s="37" t="str">
        <f>IF(OR(NOTA[[#This Row],[QTY]]="",NOTA[[#This Row],[HARGA SATUAN]]="",),"",NOTA[[#This Row],[QTY]]*NOTA[[#This Row],[HARGA SATUAN]])</f>
        <v/>
      </c>
      <c r="AI337" s="26" t="str">
        <f ca="1">IF(NOTA[[#This Row],[ID_H]]="","",INDEX(NOTA[TANGGAL],MATCH(,INDIRECT(ADDRESS(ROW(NOTA[TANGGAL]),COLUMN(NOTA[TANGGAL]))&amp;":"&amp;ADDRESS(ROW(),COLUMN(NOTA[TANGGAL]))),-1)))</f>
        <v/>
      </c>
      <c r="AJ337" s="26" t="str">
        <f ca="1">IF(NOTA[[#This Row],[ID_H]]="","",INDEX(NOTA[TGL.NOTA],MATCH(,INDIRECT(ADDRESS(ROW(NOTA[TGL.NOTA]),COLUMN(NOTA[TGL.NOTA]))&amp;":"&amp;ADDRESS(ROW(),COLUMN(NOTA[TGL.NOTA]))),-1)))</f>
        <v/>
      </c>
      <c r="AK337" s="26" t="str">
        <f ca="1">IF(NOTA[[#This Row],[ID_H]]="","",INDEX(NOTA[NO.NOTA],MATCH(NOTA[[#This Row],[ID_H]],NOTA[ID_H],0)))</f>
        <v/>
      </c>
      <c r="AL337" s="28" t="str">
        <f ca="1">IF(NOTA[[#This Row],[NAMA BARANG]]="","",INDEX(NOTA[SUPPLIER],MATCH(,INDIRECT(ADDRESS(ROW(NOTA[ID]),COLUMN(NOTA[ID]))&amp;":"&amp;ADDRESS(ROW(),COLUMN(NOTA[ID]))),-1)))</f>
        <v/>
      </c>
      <c r="AM337" s="28" t="str">
        <f ca="1">IF(NOTA[[#This Row],[ID_H]]="","",IF(NOTA[[#This Row],[FAKTUR]]="",INDIRECT(ADDRESS(ROW()-1,COLUMN())),NOTA[[#This Row],[FAKTUR]]))</f>
        <v/>
      </c>
      <c r="AN337" s="25" t="str">
        <f ca="1">IF(NOTA[[#This Row],[ID]]="","",COUNTIF(NOTA[ID_H],NOTA[[#This Row],[ID_H]]))</f>
        <v/>
      </c>
      <c r="AO337" s="25" t="str">
        <f ca="1">IF(NOTA[[#This Row],[TGL.NOTA]]="",IF(NOTA[[#This Row],[SUPPLIER_H]]="","",AO336),MONTH(NOTA[[#This Row],[TGL.NOTA]]))</f>
        <v/>
      </c>
      <c r="AP3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7" s="25"/>
      <c r="AU337" s="25" t="str">
        <f>IF(NOTA[[#This Row],[CONCAT1]]="","",MATCH(NOTA[[#This Row],[CONCAT1]],[3]!db[NB NOTA_C],0))</f>
        <v/>
      </c>
      <c r="AV337" s="25" t="str">
        <f>IF(NOTA[[#This Row],[QTY/ CTN]]="","",TRUE)</f>
        <v/>
      </c>
      <c r="AW337" s="25" t="str">
        <f ca="1">IF(NOTA[[#This Row],[ID_H]]="","",IF(NOTA[[#This Row],[Column3]]=TRUE,NOTA[[#This Row],[QTY/ CTN]],INDEX([3]!db[QTY/ CTN],NOTA[[#This Row],[//DB]])))</f>
        <v/>
      </c>
      <c r="AX3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7" s="25" t="str">
        <f ca="1">IF(NOTA[[#This Row],[ID_H]]="","",MATCH(NOTA[[#This Row],[NB NOTA_C_QTY]],[3]!db[NB NOTA_C_QTY+F],0))</f>
        <v/>
      </c>
      <c r="AZ337" s="38" t="str">
        <f ca="1">IF(NOTA[[#This Row],[NB NOTA_C_QTY]]="","",ROW()-2)</f>
        <v/>
      </c>
    </row>
    <row r="338" spans="1:52" ht="20.100000000000001" customHeight="1">
      <c r="A3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8" s="25" t="str">
        <f ca="1">IF(NOTA[[#This Row],[NAMA BARANG]]="","",INDEX(NOTA[ID],MATCH(,INDIRECT(ADDRESS(ROW(NOTA[ID]),COLUMN(NOTA[ID]))&amp;":"&amp;ADDRESS(ROW(),COLUMN(NOTA[ID]))),-1)))</f>
        <v/>
      </c>
      <c r="E338" s="33"/>
      <c r="H338" s="34"/>
      <c r="Q338" s="29"/>
      <c r="R338" s="35"/>
      <c r="S338" s="36"/>
      <c r="V338" s="37"/>
      <c r="W338" s="32"/>
      <c r="X338" s="37" t="str">
        <f>IF(NOTA[[#This Row],[HARGA/ CTN]]="",NOTA[[#This Row],[JUMLAH_H]],NOTA[[#This Row],[HARGA/ CTN]]*IF(NOTA[[#This Row],[C]]="",0,NOTA[[#This Row],[C]]))</f>
        <v/>
      </c>
      <c r="Y338" s="37" t="str">
        <f>IF(NOTA[[#This Row],[JUMLAH]]="","",NOTA[[#This Row],[JUMLAH]]*NOTA[[#This Row],[DISC 1]])</f>
        <v/>
      </c>
      <c r="Z338" s="37" t="str">
        <f>IF(NOTA[[#This Row],[JUMLAH]]="","",(NOTA[[#This Row],[JUMLAH]]-NOTA[[#This Row],[DISC 1-]])*NOTA[[#This Row],[DISC 2]])</f>
        <v/>
      </c>
      <c r="AA338" s="37" t="str">
        <f>IF(NOTA[[#This Row],[JUMLAH]]="","",(NOTA[[#This Row],[JUMLAH]]-NOTA[[#This Row],[DISC 1-]]-NOTA[[#This Row],[DISC 2-]])*NOTA[[#This Row],[DISC 3]])</f>
        <v/>
      </c>
      <c r="AB338" s="37" t="str">
        <f>IF(NOTA[[#This Row],[JUMLAH]]="","",NOTA[[#This Row],[DISC 1-]]+NOTA[[#This Row],[DISC 2-]]+NOTA[[#This Row],[DISC 3-]])</f>
        <v/>
      </c>
      <c r="AC338" s="37" t="str">
        <f>IF(NOTA[[#This Row],[JUMLAH]]="","",NOTA[[#This Row],[JUMLAH]]-NOTA[[#This Row],[DISC]])</f>
        <v/>
      </c>
      <c r="AD338" s="37"/>
      <c r="AE3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8" s="37" t="str">
        <f>IF(OR(NOTA[[#This Row],[QTY]]="",NOTA[[#This Row],[HARGA SATUAN]]="",),"",NOTA[[#This Row],[QTY]]*NOTA[[#This Row],[HARGA SATUAN]])</f>
        <v/>
      </c>
      <c r="AI338" s="26" t="str">
        <f ca="1">IF(NOTA[[#This Row],[ID_H]]="","",INDEX(NOTA[TANGGAL],MATCH(,INDIRECT(ADDRESS(ROW(NOTA[TANGGAL]),COLUMN(NOTA[TANGGAL]))&amp;":"&amp;ADDRESS(ROW(),COLUMN(NOTA[TANGGAL]))),-1)))</f>
        <v/>
      </c>
      <c r="AJ338" s="26" t="str">
        <f ca="1">IF(NOTA[[#This Row],[ID_H]]="","",INDEX(NOTA[TGL.NOTA],MATCH(,INDIRECT(ADDRESS(ROW(NOTA[TGL.NOTA]),COLUMN(NOTA[TGL.NOTA]))&amp;":"&amp;ADDRESS(ROW(),COLUMN(NOTA[TGL.NOTA]))),-1)))</f>
        <v/>
      </c>
      <c r="AK338" s="26" t="str">
        <f ca="1">IF(NOTA[[#This Row],[ID_H]]="","",INDEX(NOTA[NO.NOTA],MATCH(NOTA[[#This Row],[ID_H]],NOTA[ID_H],0)))</f>
        <v/>
      </c>
      <c r="AL338" s="28" t="str">
        <f ca="1">IF(NOTA[[#This Row],[NAMA BARANG]]="","",INDEX(NOTA[SUPPLIER],MATCH(,INDIRECT(ADDRESS(ROW(NOTA[ID]),COLUMN(NOTA[ID]))&amp;":"&amp;ADDRESS(ROW(),COLUMN(NOTA[ID]))),-1)))</f>
        <v/>
      </c>
      <c r="AM338" s="28" t="str">
        <f ca="1">IF(NOTA[[#This Row],[ID_H]]="","",IF(NOTA[[#This Row],[FAKTUR]]="",INDIRECT(ADDRESS(ROW()-1,COLUMN())),NOTA[[#This Row],[FAKTUR]]))</f>
        <v/>
      </c>
      <c r="AN338" s="25" t="str">
        <f ca="1">IF(NOTA[[#This Row],[ID]]="","",COUNTIF(NOTA[ID_H],NOTA[[#This Row],[ID_H]]))</f>
        <v/>
      </c>
      <c r="AO338" s="25" t="str">
        <f ca="1">IF(NOTA[[#This Row],[TGL.NOTA]]="",IF(NOTA[[#This Row],[SUPPLIER_H]]="","",AO337),MONTH(NOTA[[#This Row],[TGL.NOTA]]))</f>
        <v/>
      </c>
      <c r="AP3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8" s="25"/>
      <c r="AU338" s="25" t="str">
        <f>IF(NOTA[[#This Row],[CONCAT1]]="","",MATCH(NOTA[[#This Row],[CONCAT1]],[3]!db[NB NOTA_C],0))</f>
        <v/>
      </c>
      <c r="AV338" s="25" t="str">
        <f>IF(NOTA[[#This Row],[QTY/ CTN]]="","",TRUE)</f>
        <v/>
      </c>
      <c r="AW338" s="25" t="str">
        <f ca="1">IF(NOTA[[#This Row],[ID_H]]="","",IF(NOTA[[#This Row],[Column3]]=TRUE,NOTA[[#This Row],[QTY/ CTN]],INDEX([3]!db[QTY/ CTN],NOTA[[#This Row],[//DB]])))</f>
        <v/>
      </c>
      <c r="AX3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8" s="25" t="str">
        <f ca="1">IF(NOTA[[#This Row],[ID_H]]="","",MATCH(NOTA[[#This Row],[NB NOTA_C_QTY]],[3]!db[NB NOTA_C_QTY+F],0))</f>
        <v/>
      </c>
      <c r="AZ338" s="38" t="str">
        <f ca="1">IF(NOTA[[#This Row],[NB NOTA_C_QTY]]="","",ROW()-2)</f>
        <v/>
      </c>
    </row>
    <row r="339" spans="1:52" ht="20.100000000000001" customHeight="1">
      <c r="A3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9" s="25" t="str">
        <f ca="1">IF(NOTA[[#This Row],[NAMA BARANG]]="","",INDEX(NOTA[ID],MATCH(,INDIRECT(ADDRESS(ROW(NOTA[ID]),COLUMN(NOTA[ID]))&amp;":"&amp;ADDRESS(ROW(),COLUMN(NOTA[ID]))),-1)))</f>
        <v/>
      </c>
      <c r="E339" s="33"/>
      <c r="H339" s="34"/>
      <c r="Q339" s="29"/>
      <c r="R339" s="35"/>
      <c r="S339" s="36"/>
      <c r="V339" s="37"/>
      <c r="W339" s="32"/>
      <c r="X339" s="37" t="str">
        <f>IF(NOTA[[#This Row],[HARGA/ CTN]]="",NOTA[[#This Row],[JUMLAH_H]],NOTA[[#This Row],[HARGA/ CTN]]*IF(NOTA[[#This Row],[C]]="",0,NOTA[[#This Row],[C]]))</f>
        <v/>
      </c>
      <c r="Y339" s="37" t="str">
        <f>IF(NOTA[[#This Row],[JUMLAH]]="","",NOTA[[#This Row],[JUMLAH]]*NOTA[[#This Row],[DISC 1]])</f>
        <v/>
      </c>
      <c r="Z339" s="37" t="str">
        <f>IF(NOTA[[#This Row],[JUMLAH]]="","",(NOTA[[#This Row],[JUMLAH]]-NOTA[[#This Row],[DISC 1-]])*NOTA[[#This Row],[DISC 2]])</f>
        <v/>
      </c>
      <c r="AA339" s="37" t="str">
        <f>IF(NOTA[[#This Row],[JUMLAH]]="","",(NOTA[[#This Row],[JUMLAH]]-NOTA[[#This Row],[DISC 1-]]-NOTA[[#This Row],[DISC 2-]])*NOTA[[#This Row],[DISC 3]])</f>
        <v/>
      </c>
      <c r="AB339" s="37" t="str">
        <f>IF(NOTA[[#This Row],[JUMLAH]]="","",NOTA[[#This Row],[DISC 1-]]+NOTA[[#This Row],[DISC 2-]]+NOTA[[#This Row],[DISC 3-]])</f>
        <v/>
      </c>
      <c r="AC339" s="37" t="str">
        <f>IF(NOTA[[#This Row],[JUMLAH]]="","",NOTA[[#This Row],[JUMLAH]]-NOTA[[#This Row],[DISC]])</f>
        <v/>
      </c>
      <c r="AD339" s="37"/>
      <c r="AE3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9" s="37" t="str">
        <f>IF(OR(NOTA[[#This Row],[QTY]]="",NOTA[[#This Row],[HARGA SATUAN]]="",),"",NOTA[[#This Row],[QTY]]*NOTA[[#This Row],[HARGA SATUAN]])</f>
        <v/>
      </c>
      <c r="AI339" s="26" t="str">
        <f ca="1">IF(NOTA[[#This Row],[ID_H]]="","",INDEX(NOTA[TANGGAL],MATCH(,INDIRECT(ADDRESS(ROW(NOTA[TANGGAL]),COLUMN(NOTA[TANGGAL]))&amp;":"&amp;ADDRESS(ROW(),COLUMN(NOTA[TANGGAL]))),-1)))</f>
        <v/>
      </c>
      <c r="AJ339" s="26" t="str">
        <f ca="1">IF(NOTA[[#This Row],[ID_H]]="","",INDEX(NOTA[TGL.NOTA],MATCH(,INDIRECT(ADDRESS(ROW(NOTA[TGL.NOTA]),COLUMN(NOTA[TGL.NOTA]))&amp;":"&amp;ADDRESS(ROW(),COLUMN(NOTA[TGL.NOTA]))),-1)))</f>
        <v/>
      </c>
      <c r="AK339" s="26" t="str">
        <f ca="1">IF(NOTA[[#This Row],[ID_H]]="","",INDEX(NOTA[NO.NOTA],MATCH(NOTA[[#This Row],[ID_H]],NOTA[ID_H],0)))</f>
        <v/>
      </c>
      <c r="AL339" s="28" t="str">
        <f ca="1">IF(NOTA[[#This Row],[NAMA BARANG]]="","",INDEX(NOTA[SUPPLIER],MATCH(,INDIRECT(ADDRESS(ROW(NOTA[ID]),COLUMN(NOTA[ID]))&amp;":"&amp;ADDRESS(ROW(),COLUMN(NOTA[ID]))),-1)))</f>
        <v/>
      </c>
      <c r="AM339" s="28" t="str">
        <f ca="1">IF(NOTA[[#This Row],[ID_H]]="","",IF(NOTA[[#This Row],[FAKTUR]]="",INDIRECT(ADDRESS(ROW()-1,COLUMN())),NOTA[[#This Row],[FAKTUR]]))</f>
        <v/>
      </c>
      <c r="AN339" s="25" t="str">
        <f ca="1">IF(NOTA[[#This Row],[ID]]="","",COUNTIF(NOTA[ID_H],NOTA[[#This Row],[ID_H]]))</f>
        <v/>
      </c>
      <c r="AO339" s="25" t="str">
        <f ca="1">IF(NOTA[[#This Row],[TGL.NOTA]]="",IF(NOTA[[#This Row],[SUPPLIER_H]]="","",AO338),MONTH(NOTA[[#This Row],[TGL.NOTA]]))</f>
        <v/>
      </c>
      <c r="AP3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9" s="25"/>
      <c r="AU339" s="25" t="str">
        <f>IF(NOTA[[#This Row],[CONCAT1]]="","",MATCH(NOTA[[#This Row],[CONCAT1]],[3]!db[NB NOTA_C],0))</f>
        <v/>
      </c>
      <c r="AV339" s="25" t="str">
        <f>IF(NOTA[[#This Row],[QTY/ CTN]]="","",TRUE)</f>
        <v/>
      </c>
      <c r="AW339" s="25" t="str">
        <f ca="1">IF(NOTA[[#This Row],[ID_H]]="","",IF(NOTA[[#This Row],[Column3]]=TRUE,NOTA[[#This Row],[QTY/ CTN]],INDEX([3]!db[QTY/ CTN],NOTA[[#This Row],[//DB]])))</f>
        <v/>
      </c>
      <c r="AX3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9" s="25" t="str">
        <f ca="1">IF(NOTA[[#This Row],[ID_H]]="","",MATCH(NOTA[[#This Row],[NB NOTA_C_QTY]],[3]!db[NB NOTA_C_QTY+F],0))</f>
        <v/>
      </c>
      <c r="AZ339" s="38" t="str">
        <f ca="1">IF(NOTA[[#This Row],[NB NOTA_C_QTY]]="","",ROW()-2)</f>
        <v/>
      </c>
    </row>
    <row r="340" spans="1:52" ht="20.100000000000001" customHeight="1">
      <c r="A3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0" s="25" t="str">
        <f ca="1">IF(NOTA[[#This Row],[NAMA BARANG]]="","",INDEX(NOTA[ID],MATCH(,INDIRECT(ADDRESS(ROW(NOTA[ID]),COLUMN(NOTA[ID]))&amp;":"&amp;ADDRESS(ROW(),COLUMN(NOTA[ID]))),-1)))</f>
        <v/>
      </c>
      <c r="E340" s="33"/>
      <c r="H340" s="34"/>
      <c r="Q340" s="29"/>
      <c r="R340" s="35"/>
      <c r="S340" s="36"/>
      <c r="V340" s="37"/>
      <c r="W340" s="32"/>
      <c r="X340" s="37" t="str">
        <f>IF(NOTA[[#This Row],[HARGA/ CTN]]="",NOTA[[#This Row],[JUMLAH_H]],NOTA[[#This Row],[HARGA/ CTN]]*IF(NOTA[[#This Row],[C]]="",0,NOTA[[#This Row],[C]]))</f>
        <v/>
      </c>
      <c r="Y340" s="37" t="str">
        <f>IF(NOTA[[#This Row],[JUMLAH]]="","",NOTA[[#This Row],[JUMLAH]]*NOTA[[#This Row],[DISC 1]])</f>
        <v/>
      </c>
      <c r="Z340" s="37" t="str">
        <f>IF(NOTA[[#This Row],[JUMLAH]]="","",(NOTA[[#This Row],[JUMLAH]]-NOTA[[#This Row],[DISC 1-]])*NOTA[[#This Row],[DISC 2]])</f>
        <v/>
      </c>
      <c r="AA340" s="37" t="str">
        <f>IF(NOTA[[#This Row],[JUMLAH]]="","",(NOTA[[#This Row],[JUMLAH]]-NOTA[[#This Row],[DISC 1-]]-NOTA[[#This Row],[DISC 2-]])*NOTA[[#This Row],[DISC 3]])</f>
        <v/>
      </c>
      <c r="AB340" s="37" t="str">
        <f>IF(NOTA[[#This Row],[JUMLAH]]="","",NOTA[[#This Row],[DISC 1-]]+NOTA[[#This Row],[DISC 2-]]+NOTA[[#This Row],[DISC 3-]])</f>
        <v/>
      </c>
      <c r="AC340" s="37" t="str">
        <f>IF(NOTA[[#This Row],[JUMLAH]]="","",NOTA[[#This Row],[JUMLAH]]-NOTA[[#This Row],[DISC]])</f>
        <v/>
      </c>
      <c r="AD340" s="37"/>
      <c r="AE3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0" s="37" t="str">
        <f>IF(OR(NOTA[[#This Row],[QTY]]="",NOTA[[#This Row],[HARGA SATUAN]]="",),"",NOTA[[#This Row],[QTY]]*NOTA[[#This Row],[HARGA SATUAN]])</f>
        <v/>
      </c>
      <c r="AI340" s="26" t="str">
        <f ca="1">IF(NOTA[[#This Row],[ID_H]]="","",INDEX(NOTA[TANGGAL],MATCH(,INDIRECT(ADDRESS(ROW(NOTA[TANGGAL]),COLUMN(NOTA[TANGGAL]))&amp;":"&amp;ADDRESS(ROW(),COLUMN(NOTA[TANGGAL]))),-1)))</f>
        <v/>
      </c>
      <c r="AJ340" s="26" t="str">
        <f ca="1">IF(NOTA[[#This Row],[ID_H]]="","",INDEX(NOTA[TGL.NOTA],MATCH(,INDIRECT(ADDRESS(ROW(NOTA[TGL.NOTA]),COLUMN(NOTA[TGL.NOTA]))&amp;":"&amp;ADDRESS(ROW(),COLUMN(NOTA[TGL.NOTA]))),-1)))</f>
        <v/>
      </c>
      <c r="AK340" s="26" t="str">
        <f ca="1">IF(NOTA[[#This Row],[ID_H]]="","",INDEX(NOTA[NO.NOTA],MATCH(NOTA[[#This Row],[ID_H]],NOTA[ID_H],0)))</f>
        <v/>
      </c>
      <c r="AL340" s="28" t="str">
        <f ca="1">IF(NOTA[[#This Row],[NAMA BARANG]]="","",INDEX(NOTA[SUPPLIER],MATCH(,INDIRECT(ADDRESS(ROW(NOTA[ID]),COLUMN(NOTA[ID]))&amp;":"&amp;ADDRESS(ROW(),COLUMN(NOTA[ID]))),-1)))</f>
        <v/>
      </c>
      <c r="AM340" s="28" t="str">
        <f ca="1">IF(NOTA[[#This Row],[ID_H]]="","",IF(NOTA[[#This Row],[FAKTUR]]="",INDIRECT(ADDRESS(ROW()-1,COLUMN())),NOTA[[#This Row],[FAKTUR]]))</f>
        <v/>
      </c>
      <c r="AN340" s="25" t="str">
        <f ca="1">IF(NOTA[[#This Row],[ID]]="","",COUNTIF(NOTA[ID_H],NOTA[[#This Row],[ID_H]]))</f>
        <v/>
      </c>
      <c r="AO340" s="25" t="str">
        <f ca="1">IF(NOTA[[#This Row],[TGL.NOTA]]="",IF(NOTA[[#This Row],[SUPPLIER_H]]="","",AO339),MONTH(NOTA[[#This Row],[TGL.NOTA]]))</f>
        <v/>
      </c>
      <c r="AP3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0" s="25"/>
      <c r="AU340" s="25" t="str">
        <f>IF(NOTA[[#This Row],[CONCAT1]]="","",MATCH(NOTA[[#This Row],[CONCAT1]],[3]!db[NB NOTA_C],0))</f>
        <v/>
      </c>
      <c r="AV340" s="25" t="str">
        <f>IF(NOTA[[#This Row],[QTY/ CTN]]="","",TRUE)</f>
        <v/>
      </c>
      <c r="AW340" s="25" t="str">
        <f ca="1">IF(NOTA[[#This Row],[ID_H]]="","",IF(NOTA[[#This Row],[Column3]]=TRUE,NOTA[[#This Row],[QTY/ CTN]],INDEX([3]!db[QTY/ CTN],NOTA[[#This Row],[//DB]])))</f>
        <v/>
      </c>
      <c r="AX3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0" s="25" t="str">
        <f ca="1">IF(NOTA[[#This Row],[ID_H]]="","",MATCH(NOTA[[#This Row],[NB NOTA_C_QTY]],[3]!db[NB NOTA_C_QTY+F],0))</f>
        <v/>
      </c>
      <c r="AZ340" s="38" t="str">
        <f ca="1">IF(NOTA[[#This Row],[NB NOTA_C_QTY]]="","",ROW()-2)</f>
        <v/>
      </c>
    </row>
    <row r="341" spans="1:52" ht="20.100000000000001" customHeight="1">
      <c r="A3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1" s="25" t="str">
        <f ca="1">IF(NOTA[[#This Row],[NAMA BARANG]]="","",INDEX(NOTA[ID],MATCH(,INDIRECT(ADDRESS(ROW(NOTA[ID]),COLUMN(NOTA[ID]))&amp;":"&amp;ADDRESS(ROW(),COLUMN(NOTA[ID]))),-1)))</f>
        <v/>
      </c>
      <c r="E341" s="33"/>
      <c r="H341" s="34"/>
      <c r="Q341" s="29"/>
      <c r="R341" s="35"/>
      <c r="S341" s="36"/>
      <c r="V341" s="37"/>
      <c r="W341" s="32"/>
      <c r="X341" s="37" t="str">
        <f>IF(NOTA[[#This Row],[HARGA/ CTN]]="",NOTA[[#This Row],[JUMLAH_H]],NOTA[[#This Row],[HARGA/ CTN]]*IF(NOTA[[#This Row],[C]]="",0,NOTA[[#This Row],[C]]))</f>
        <v/>
      </c>
      <c r="Y341" s="37" t="str">
        <f>IF(NOTA[[#This Row],[JUMLAH]]="","",NOTA[[#This Row],[JUMLAH]]*NOTA[[#This Row],[DISC 1]])</f>
        <v/>
      </c>
      <c r="Z341" s="37" t="str">
        <f>IF(NOTA[[#This Row],[JUMLAH]]="","",(NOTA[[#This Row],[JUMLAH]]-NOTA[[#This Row],[DISC 1-]])*NOTA[[#This Row],[DISC 2]])</f>
        <v/>
      </c>
      <c r="AA341" s="37" t="str">
        <f>IF(NOTA[[#This Row],[JUMLAH]]="","",(NOTA[[#This Row],[JUMLAH]]-NOTA[[#This Row],[DISC 1-]]-NOTA[[#This Row],[DISC 2-]])*NOTA[[#This Row],[DISC 3]])</f>
        <v/>
      </c>
      <c r="AB341" s="37" t="str">
        <f>IF(NOTA[[#This Row],[JUMLAH]]="","",NOTA[[#This Row],[DISC 1-]]+NOTA[[#This Row],[DISC 2-]]+NOTA[[#This Row],[DISC 3-]])</f>
        <v/>
      </c>
      <c r="AC341" s="37" t="str">
        <f>IF(NOTA[[#This Row],[JUMLAH]]="","",NOTA[[#This Row],[JUMLAH]]-NOTA[[#This Row],[DISC]])</f>
        <v/>
      </c>
      <c r="AD341" s="37"/>
      <c r="AE3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1" s="37" t="str">
        <f>IF(OR(NOTA[[#This Row],[QTY]]="",NOTA[[#This Row],[HARGA SATUAN]]="",),"",NOTA[[#This Row],[QTY]]*NOTA[[#This Row],[HARGA SATUAN]])</f>
        <v/>
      </c>
      <c r="AI341" s="26" t="str">
        <f ca="1">IF(NOTA[[#This Row],[ID_H]]="","",INDEX(NOTA[TANGGAL],MATCH(,INDIRECT(ADDRESS(ROW(NOTA[TANGGAL]),COLUMN(NOTA[TANGGAL]))&amp;":"&amp;ADDRESS(ROW(),COLUMN(NOTA[TANGGAL]))),-1)))</f>
        <v/>
      </c>
      <c r="AJ341" s="26" t="str">
        <f ca="1">IF(NOTA[[#This Row],[ID_H]]="","",INDEX(NOTA[TGL.NOTA],MATCH(,INDIRECT(ADDRESS(ROW(NOTA[TGL.NOTA]),COLUMN(NOTA[TGL.NOTA]))&amp;":"&amp;ADDRESS(ROW(),COLUMN(NOTA[TGL.NOTA]))),-1)))</f>
        <v/>
      </c>
      <c r="AK341" s="26" t="str">
        <f ca="1">IF(NOTA[[#This Row],[ID_H]]="","",INDEX(NOTA[NO.NOTA],MATCH(NOTA[[#This Row],[ID_H]],NOTA[ID_H],0)))</f>
        <v/>
      </c>
      <c r="AL341" s="28" t="str">
        <f ca="1">IF(NOTA[[#This Row],[NAMA BARANG]]="","",INDEX(NOTA[SUPPLIER],MATCH(,INDIRECT(ADDRESS(ROW(NOTA[ID]),COLUMN(NOTA[ID]))&amp;":"&amp;ADDRESS(ROW(),COLUMN(NOTA[ID]))),-1)))</f>
        <v/>
      </c>
      <c r="AM341" s="28" t="str">
        <f ca="1">IF(NOTA[[#This Row],[ID_H]]="","",IF(NOTA[[#This Row],[FAKTUR]]="",INDIRECT(ADDRESS(ROW()-1,COLUMN())),NOTA[[#This Row],[FAKTUR]]))</f>
        <v/>
      </c>
      <c r="AN341" s="25" t="str">
        <f ca="1">IF(NOTA[[#This Row],[ID]]="","",COUNTIF(NOTA[ID_H],NOTA[[#This Row],[ID_H]]))</f>
        <v/>
      </c>
      <c r="AO341" s="25" t="str">
        <f ca="1">IF(NOTA[[#This Row],[TGL.NOTA]]="",IF(NOTA[[#This Row],[SUPPLIER_H]]="","",AO340),MONTH(NOTA[[#This Row],[TGL.NOTA]]))</f>
        <v/>
      </c>
      <c r="AP3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1" s="25"/>
      <c r="AU341" s="25" t="str">
        <f>IF(NOTA[[#This Row],[CONCAT1]]="","",MATCH(NOTA[[#This Row],[CONCAT1]],[3]!db[NB NOTA_C],0))</f>
        <v/>
      </c>
      <c r="AV341" s="25" t="str">
        <f>IF(NOTA[[#This Row],[QTY/ CTN]]="","",TRUE)</f>
        <v/>
      </c>
      <c r="AW341" s="25" t="str">
        <f ca="1">IF(NOTA[[#This Row],[ID_H]]="","",IF(NOTA[[#This Row],[Column3]]=TRUE,NOTA[[#This Row],[QTY/ CTN]],INDEX([3]!db[QTY/ CTN],NOTA[[#This Row],[//DB]])))</f>
        <v/>
      </c>
      <c r="AX3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1" s="25" t="str">
        <f ca="1">IF(NOTA[[#This Row],[ID_H]]="","",MATCH(NOTA[[#This Row],[NB NOTA_C_QTY]],[3]!db[NB NOTA_C_QTY+F],0))</f>
        <v/>
      </c>
      <c r="AZ341" s="38" t="str">
        <f ca="1">IF(NOTA[[#This Row],[NB NOTA_C_QTY]]="","",ROW()-2)</f>
        <v/>
      </c>
    </row>
    <row r="342" spans="1:52" ht="20.100000000000001" customHeight="1">
      <c r="A3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2" s="25" t="str">
        <f ca="1">IF(NOTA[[#This Row],[NAMA BARANG]]="","",INDEX(NOTA[ID],MATCH(,INDIRECT(ADDRESS(ROW(NOTA[ID]),COLUMN(NOTA[ID]))&amp;":"&amp;ADDRESS(ROW(),COLUMN(NOTA[ID]))),-1)))</f>
        <v/>
      </c>
      <c r="E342" s="33"/>
      <c r="H342" s="34"/>
      <c r="Q342" s="29"/>
      <c r="R342" s="35"/>
      <c r="S342" s="36"/>
      <c r="V342" s="37"/>
      <c r="W342" s="32"/>
      <c r="X342" s="37" t="str">
        <f>IF(NOTA[[#This Row],[HARGA/ CTN]]="",NOTA[[#This Row],[JUMLAH_H]],NOTA[[#This Row],[HARGA/ CTN]]*IF(NOTA[[#This Row],[C]]="",0,NOTA[[#This Row],[C]]))</f>
        <v/>
      </c>
      <c r="Y342" s="37" t="str">
        <f>IF(NOTA[[#This Row],[JUMLAH]]="","",NOTA[[#This Row],[JUMLAH]]*NOTA[[#This Row],[DISC 1]])</f>
        <v/>
      </c>
      <c r="Z342" s="37" t="str">
        <f>IF(NOTA[[#This Row],[JUMLAH]]="","",(NOTA[[#This Row],[JUMLAH]]-NOTA[[#This Row],[DISC 1-]])*NOTA[[#This Row],[DISC 2]])</f>
        <v/>
      </c>
      <c r="AA342" s="37" t="str">
        <f>IF(NOTA[[#This Row],[JUMLAH]]="","",(NOTA[[#This Row],[JUMLAH]]-NOTA[[#This Row],[DISC 1-]]-NOTA[[#This Row],[DISC 2-]])*NOTA[[#This Row],[DISC 3]])</f>
        <v/>
      </c>
      <c r="AB342" s="37" t="str">
        <f>IF(NOTA[[#This Row],[JUMLAH]]="","",NOTA[[#This Row],[DISC 1-]]+NOTA[[#This Row],[DISC 2-]]+NOTA[[#This Row],[DISC 3-]])</f>
        <v/>
      </c>
      <c r="AC342" s="37" t="str">
        <f>IF(NOTA[[#This Row],[JUMLAH]]="","",NOTA[[#This Row],[JUMLAH]]-NOTA[[#This Row],[DISC]])</f>
        <v/>
      </c>
      <c r="AD342" s="37"/>
      <c r="AE3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2" s="37" t="str">
        <f>IF(OR(NOTA[[#This Row],[QTY]]="",NOTA[[#This Row],[HARGA SATUAN]]="",),"",NOTA[[#This Row],[QTY]]*NOTA[[#This Row],[HARGA SATUAN]])</f>
        <v/>
      </c>
      <c r="AI342" s="26" t="str">
        <f ca="1">IF(NOTA[[#This Row],[ID_H]]="","",INDEX(NOTA[TANGGAL],MATCH(,INDIRECT(ADDRESS(ROW(NOTA[TANGGAL]),COLUMN(NOTA[TANGGAL]))&amp;":"&amp;ADDRESS(ROW(),COLUMN(NOTA[TANGGAL]))),-1)))</f>
        <v/>
      </c>
      <c r="AJ342" s="26" t="str">
        <f ca="1">IF(NOTA[[#This Row],[ID_H]]="","",INDEX(NOTA[TGL.NOTA],MATCH(,INDIRECT(ADDRESS(ROW(NOTA[TGL.NOTA]),COLUMN(NOTA[TGL.NOTA]))&amp;":"&amp;ADDRESS(ROW(),COLUMN(NOTA[TGL.NOTA]))),-1)))</f>
        <v/>
      </c>
      <c r="AK342" s="26" t="str">
        <f ca="1">IF(NOTA[[#This Row],[ID_H]]="","",INDEX(NOTA[NO.NOTA],MATCH(NOTA[[#This Row],[ID_H]],NOTA[ID_H],0)))</f>
        <v/>
      </c>
      <c r="AL342" s="28" t="str">
        <f ca="1">IF(NOTA[[#This Row],[NAMA BARANG]]="","",INDEX(NOTA[SUPPLIER],MATCH(,INDIRECT(ADDRESS(ROW(NOTA[ID]),COLUMN(NOTA[ID]))&amp;":"&amp;ADDRESS(ROW(),COLUMN(NOTA[ID]))),-1)))</f>
        <v/>
      </c>
      <c r="AM342" s="28" t="str">
        <f ca="1">IF(NOTA[[#This Row],[ID_H]]="","",IF(NOTA[[#This Row],[FAKTUR]]="",INDIRECT(ADDRESS(ROW()-1,COLUMN())),NOTA[[#This Row],[FAKTUR]]))</f>
        <v/>
      </c>
      <c r="AN342" s="25" t="str">
        <f ca="1">IF(NOTA[[#This Row],[ID]]="","",COUNTIF(NOTA[ID_H],NOTA[[#This Row],[ID_H]]))</f>
        <v/>
      </c>
      <c r="AO342" s="25" t="str">
        <f ca="1">IF(NOTA[[#This Row],[TGL.NOTA]]="",IF(NOTA[[#This Row],[SUPPLIER_H]]="","",AO341),MONTH(NOTA[[#This Row],[TGL.NOTA]]))</f>
        <v/>
      </c>
      <c r="AP3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2" s="25"/>
      <c r="AU342" s="25" t="str">
        <f>IF(NOTA[[#This Row],[CONCAT1]]="","",MATCH(NOTA[[#This Row],[CONCAT1]],[3]!db[NB NOTA_C],0))</f>
        <v/>
      </c>
      <c r="AV342" s="25" t="str">
        <f>IF(NOTA[[#This Row],[QTY/ CTN]]="","",TRUE)</f>
        <v/>
      </c>
      <c r="AW342" s="25" t="str">
        <f ca="1">IF(NOTA[[#This Row],[ID_H]]="","",IF(NOTA[[#This Row],[Column3]]=TRUE,NOTA[[#This Row],[QTY/ CTN]],INDEX([3]!db[QTY/ CTN],NOTA[[#This Row],[//DB]])))</f>
        <v/>
      </c>
      <c r="AX3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2" s="25" t="str">
        <f ca="1">IF(NOTA[[#This Row],[ID_H]]="","",MATCH(NOTA[[#This Row],[NB NOTA_C_QTY]],[3]!db[NB NOTA_C_QTY+F],0))</f>
        <v/>
      </c>
      <c r="AZ342" s="38" t="str">
        <f ca="1">IF(NOTA[[#This Row],[NB NOTA_C_QTY]]="","",ROW()-2)</f>
        <v/>
      </c>
    </row>
    <row r="343" spans="1:52" ht="20.100000000000001" customHeight="1">
      <c r="A3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3" s="25" t="str">
        <f ca="1">IF(NOTA[[#This Row],[NAMA BARANG]]="","",INDEX(NOTA[ID],MATCH(,INDIRECT(ADDRESS(ROW(NOTA[ID]),COLUMN(NOTA[ID]))&amp;":"&amp;ADDRESS(ROW(),COLUMN(NOTA[ID]))),-1)))</f>
        <v/>
      </c>
      <c r="E343" s="33"/>
      <c r="H343" s="34"/>
      <c r="Q343" s="29"/>
      <c r="R343" s="35"/>
      <c r="S343" s="36"/>
      <c r="V343" s="37"/>
      <c r="W343" s="32"/>
      <c r="X343" s="37" t="str">
        <f>IF(NOTA[[#This Row],[HARGA/ CTN]]="",NOTA[[#This Row],[JUMLAH_H]],NOTA[[#This Row],[HARGA/ CTN]]*IF(NOTA[[#This Row],[C]]="",0,NOTA[[#This Row],[C]]))</f>
        <v/>
      </c>
      <c r="Y343" s="37" t="str">
        <f>IF(NOTA[[#This Row],[JUMLAH]]="","",NOTA[[#This Row],[JUMLAH]]*NOTA[[#This Row],[DISC 1]])</f>
        <v/>
      </c>
      <c r="Z343" s="37" t="str">
        <f>IF(NOTA[[#This Row],[JUMLAH]]="","",(NOTA[[#This Row],[JUMLAH]]-NOTA[[#This Row],[DISC 1-]])*NOTA[[#This Row],[DISC 2]])</f>
        <v/>
      </c>
      <c r="AA343" s="37" t="str">
        <f>IF(NOTA[[#This Row],[JUMLAH]]="","",(NOTA[[#This Row],[JUMLAH]]-NOTA[[#This Row],[DISC 1-]]-NOTA[[#This Row],[DISC 2-]])*NOTA[[#This Row],[DISC 3]])</f>
        <v/>
      </c>
      <c r="AB343" s="37" t="str">
        <f>IF(NOTA[[#This Row],[JUMLAH]]="","",NOTA[[#This Row],[DISC 1-]]+NOTA[[#This Row],[DISC 2-]]+NOTA[[#This Row],[DISC 3-]])</f>
        <v/>
      </c>
      <c r="AC343" s="37" t="str">
        <f>IF(NOTA[[#This Row],[JUMLAH]]="","",NOTA[[#This Row],[JUMLAH]]-NOTA[[#This Row],[DISC]])</f>
        <v/>
      </c>
      <c r="AD343" s="37"/>
      <c r="AE3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3" s="37" t="str">
        <f>IF(OR(NOTA[[#This Row],[QTY]]="",NOTA[[#This Row],[HARGA SATUAN]]="",),"",NOTA[[#This Row],[QTY]]*NOTA[[#This Row],[HARGA SATUAN]])</f>
        <v/>
      </c>
      <c r="AI343" s="26" t="str">
        <f ca="1">IF(NOTA[[#This Row],[ID_H]]="","",INDEX(NOTA[TANGGAL],MATCH(,INDIRECT(ADDRESS(ROW(NOTA[TANGGAL]),COLUMN(NOTA[TANGGAL]))&amp;":"&amp;ADDRESS(ROW(),COLUMN(NOTA[TANGGAL]))),-1)))</f>
        <v/>
      </c>
      <c r="AJ343" s="26" t="str">
        <f ca="1">IF(NOTA[[#This Row],[ID_H]]="","",INDEX(NOTA[TGL.NOTA],MATCH(,INDIRECT(ADDRESS(ROW(NOTA[TGL.NOTA]),COLUMN(NOTA[TGL.NOTA]))&amp;":"&amp;ADDRESS(ROW(),COLUMN(NOTA[TGL.NOTA]))),-1)))</f>
        <v/>
      </c>
      <c r="AK343" s="26" t="str">
        <f ca="1">IF(NOTA[[#This Row],[ID_H]]="","",INDEX(NOTA[NO.NOTA],MATCH(NOTA[[#This Row],[ID_H]],NOTA[ID_H],0)))</f>
        <v/>
      </c>
      <c r="AL343" s="28" t="str">
        <f ca="1">IF(NOTA[[#This Row],[NAMA BARANG]]="","",INDEX(NOTA[SUPPLIER],MATCH(,INDIRECT(ADDRESS(ROW(NOTA[ID]),COLUMN(NOTA[ID]))&amp;":"&amp;ADDRESS(ROW(),COLUMN(NOTA[ID]))),-1)))</f>
        <v/>
      </c>
      <c r="AM343" s="28" t="str">
        <f ca="1">IF(NOTA[[#This Row],[ID_H]]="","",IF(NOTA[[#This Row],[FAKTUR]]="",INDIRECT(ADDRESS(ROW()-1,COLUMN())),NOTA[[#This Row],[FAKTUR]]))</f>
        <v/>
      </c>
      <c r="AN343" s="25" t="str">
        <f ca="1">IF(NOTA[[#This Row],[ID]]="","",COUNTIF(NOTA[ID_H],NOTA[[#This Row],[ID_H]]))</f>
        <v/>
      </c>
      <c r="AO343" s="25" t="str">
        <f ca="1">IF(NOTA[[#This Row],[TGL.NOTA]]="",IF(NOTA[[#This Row],[SUPPLIER_H]]="","",AO342),MONTH(NOTA[[#This Row],[TGL.NOTA]]))</f>
        <v/>
      </c>
      <c r="AP3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3" s="25"/>
      <c r="AU343" s="25" t="str">
        <f>IF(NOTA[[#This Row],[CONCAT1]]="","",MATCH(NOTA[[#This Row],[CONCAT1]],[3]!db[NB NOTA_C],0))</f>
        <v/>
      </c>
      <c r="AV343" s="25" t="str">
        <f>IF(NOTA[[#This Row],[QTY/ CTN]]="","",TRUE)</f>
        <v/>
      </c>
      <c r="AW343" s="25" t="str">
        <f ca="1">IF(NOTA[[#This Row],[ID_H]]="","",IF(NOTA[[#This Row],[Column3]]=TRUE,NOTA[[#This Row],[QTY/ CTN]],INDEX([3]!db[QTY/ CTN],NOTA[[#This Row],[//DB]])))</f>
        <v/>
      </c>
      <c r="AX3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3" s="25" t="str">
        <f ca="1">IF(NOTA[[#This Row],[ID_H]]="","",MATCH(NOTA[[#This Row],[NB NOTA_C_QTY]],[3]!db[NB NOTA_C_QTY+F],0))</f>
        <v/>
      </c>
      <c r="AZ343" s="38" t="str">
        <f ca="1">IF(NOTA[[#This Row],[NB NOTA_C_QTY]]="","",ROW()-2)</f>
        <v/>
      </c>
    </row>
    <row r="344" spans="1:52" ht="20.100000000000001" customHeight="1">
      <c r="A3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4" s="25" t="str">
        <f ca="1">IF(NOTA[[#This Row],[NAMA BARANG]]="","",INDEX(NOTA[ID],MATCH(,INDIRECT(ADDRESS(ROW(NOTA[ID]),COLUMN(NOTA[ID]))&amp;":"&amp;ADDRESS(ROW(),COLUMN(NOTA[ID]))),-1)))</f>
        <v/>
      </c>
      <c r="E344" s="33"/>
      <c r="H344" s="34"/>
      <c r="Q344" s="29"/>
      <c r="R344" s="35"/>
      <c r="S344" s="36"/>
      <c r="V344" s="37"/>
      <c r="W344" s="32"/>
      <c r="X344" s="37" t="str">
        <f>IF(NOTA[[#This Row],[HARGA/ CTN]]="",NOTA[[#This Row],[JUMLAH_H]],NOTA[[#This Row],[HARGA/ CTN]]*IF(NOTA[[#This Row],[C]]="",0,NOTA[[#This Row],[C]]))</f>
        <v/>
      </c>
      <c r="Y344" s="37" t="str">
        <f>IF(NOTA[[#This Row],[JUMLAH]]="","",NOTA[[#This Row],[JUMLAH]]*NOTA[[#This Row],[DISC 1]])</f>
        <v/>
      </c>
      <c r="Z344" s="37" t="str">
        <f>IF(NOTA[[#This Row],[JUMLAH]]="","",(NOTA[[#This Row],[JUMLAH]]-NOTA[[#This Row],[DISC 1-]])*NOTA[[#This Row],[DISC 2]])</f>
        <v/>
      </c>
      <c r="AA344" s="37" t="str">
        <f>IF(NOTA[[#This Row],[JUMLAH]]="","",(NOTA[[#This Row],[JUMLAH]]-NOTA[[#This Row],[DISC 1-]]-NOTA[[#This Row],[DISC 2-]])*NOTA[[#This Row],[DISC 3]])</f>
        <v/>
      </c>
      <c r="AB344" s="37" t="str">
        <f>IF(NOTA[[#This Row],[JUMLAH]]="","",NOTA[[#This Row],[DISC 1-]]+NOTA[[#This Row],[DISC 2-]]+NOTA[[#This Row],[DISC 3-]])</f>
        <v/>
      </c>
      <c r="AC344" s="37" t="str">
        <f>IF(NOTA[[#This Row],[JUMLAH]]="","",NOTA[[#This Row],[JUMLAH]]-NOTA[[#This Row],[DISC]])</f>
        <v/>
      </c>
      <c r="AD344" s="37"/>
      <c r="AE3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4" s="37" t="str">
        <f>IF(OR(NOTA[[#This Row],[QTY]]="",NOTA[[#This Row],[HARGA SATUAN]]="",),"",NOTA[[#This Row],[QTY]]*NOTA[[#This Row],[HARGA SATUAN]])</f>
        <v/>
      </c>
      <c r="AI344" s="26" t="str">
        <f ca="1">IF(NOTA[[#This Row],[ID_H]]="","",INDEX(NOTA[TANGGAL],MATCH(,INDIRECT(ADDRESS(ROW(NOTA[TANGGAL]),COLUMN(NOTA[TANGGAL]))&amp;":"&amp;ADDRESS(ROW(),COLUMN(NOTA[TANGGAL]))),-1)))</f>
        <v/>
      </c>
      <c r="AJ344" s="26" t="str">
        <f ca="1">IF(NOTA[[#This Row],[ID_H]]="","",INDEX(NOTA[TGL.NOTA],MATCH(,INDIRECT(ADDRESS(ROW(NOTA[TGL.NOTA]),COLUMN(NOTA[TGL.NOTA]))&amp;":"&amp;ADDRESS(ROW(),COLUMN(NOTA[TGL.NOTA]))),-1)))</f>
        <v/>
      </c>
      <c r="AK344" s="26" t="str">
        <f ca="1">IF(NOTA[[#This Row],[ID_H]]="","",INDEX(NOTA[NO.NOTA],MATCH(NOTA[[#This Row],[ID_H]],NOTA[ID_H],0)))</f>
        <v/>
      </c>
      <c r="AL344" s="28" t="str">
        <f ca="1">IF(NOTA[[#This Row],[NAMA BARANG]]="","",INDEX(NOTA[SUPPLIER],MATCH(,INDIRECT(ADDRESS(ROW(NOTA[ID]),COLUMN(NOTA[ID]))&amp;":"&amp;ADDRESS(ROW(),COLUMN(NOTA[ID]))),-1)))</f>
        <v/>
      </c>
      <c r="AM344" s="28" t="str">
        <f ca="1">IF(NOTA[[#This Row],[ID_H]]="","",IF(NOTA[[#This Row],[FAKTUR]]="",INDIRECT(ADDRESS(ROW()-1,COLUMN())),NOTA[[#This Row],[FAKTUR]]))</f>
        <v/>
      </c>
      <c r="AN344" s="25" t="str">
        <f ca="1">IF(NOTA[[#This Row],[ID]]="","",COUNTIF(NOTA[ID_H],NOTA[[#This Row],[ID_H]]))</f>
        <v/>
      </c>
      <c r="AO344" s="25" t="str">
        <f ca="1">IF(NOTA[[#This Row],[TGL.NOTA]]="",IF(NOTA[[#This Row],[SUPPLIER_H]]="","",AO343),MONTH(NOTA[[#This Row],[TGL.NOTA]]))</f>
        <v/>
      </c>
      <c r="AP3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4" s="25"/>
      <c r="AU344" s="25" t="str">
        <f>IF(NOTA[[#This Row],[CONCAT1]]="","",MATCH(NOTA[[#This Row],[CONCAT1]],[3]!db[NB NOTA_C],0))</f>
        <v/>
      </c>
      <c r="AV344" s="25" t="str">
        <f>IF(NOTA[[#This Row],[QTY/ CTN]]="","",TRUE)</f>
        <v/>
      </c>
      <c r="AW344" s="25" t="str">
        <f ca="1">IF(NOTA[[#This Row],[ID_H]]="","",IF(NOTA[[#This Row],[Column3]]=TRUE,NOTA[[#This Row],[QTY/ CTN]],INDEX([3]!db[QTY/ CTN],NOTA[[#This Row],[//DB]])))</f>
        <v/>
      </c>
      <c r="AX3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4" s="25" t="str">
        <f ca="1">IF(NOTA[[#This Row],[ID_H]]="","",MATCH(NOTA[[#This Row],[NB NOTA_C_QTY]],[3]!db[NB NOTA_C_QTY+F],0))</f>
        <v/>
      </c>
      <c r="AZ344" s="38" t="str">
        <f ca="1">IF(NOTA[[#This Row],[NB NOTA_C_QTY]]="","",ROW()-2)</f>
        <v/>
      </c>
    </row>
    <row r="345" spans="1:52" ht="20.100000000000001" customHeight="1">
      <c r="A3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5" s="25" t="str">
        <f ca="1">IF(NOTA[[#This Row],[NAMA BARANG]]="","",INDEX(NOTA[ID],MATCH(,INDIRECT(ADDRESS(ROW(NOTA[ID]),COLUMN(NOTA[ID]))&amp;":"&amp;ADDRESS(ROW(),COLUMN(NOTA[ID]))),-1)))</f>
        <v/>
      </c>
      <c r="E345" s="33"/>
      <c r="H345" s="34"/>
      <c r="Q345" s="29"/>
      <c r="R345" s="35"/>
      <c r="S345" s="36"/>
      <c r="V345" s="37"/>
      <c r="W345" s="32"/>
      <c r="X345" s="37" t="str">
        <f>IF(NOTA[[#This Row],[HARGA/ CTN]]="",NOTA[[#This Row],[JUMLAH_H]],NOTA[[#This Row],[HARGA/ CTN]]*IF(NOTA[[#This Row],[C]]="",0,NOTA[[#This Row],[C]]))</f>
        <v/>
      </c>
      <c r="Y345" s="37" t="str">
        <f>IF(NOTA[[#This Row],[JUMLAH]]="","",NOTA[[#This Row],[JUMLAH]]*NOTA[[#This Row],[DISC 1]])</f>
        <v/>
      </c>
      <c r="Z345" s="37" t="str">
        <f>IF(NOTA[[#This Row],[JUMLAH]]="","",(NOTA[[#This Row],[JUMLAH]]-NOTA[[#This Row],[DISC 1-]])*NOTA[[#This Row],[DISC 2]])</f>
        <v/>
      </c>
      <c r="AA345" s="37" t="str">
        <f>IF(NOTA[[#This Row],[JUMLAH]]="","",(NOTA[[#This Row],[JUMLAH]]-NOTA[[#This Row],[DISC 1-]]-NOTA[[#This Row],[DISC 2-]])*NOTA[[#This Row],[DISC 3]])</f>
        <v/>
      </c>
      <c r="AB345" s="37" t="str">
        <f>IF(NOTA[[#This Row],[JUMLAH]]="","",NOTA[[#This Row],[DISC 1-]]+NOTA[[#This Row],[DISC 2-]]+NOTA[[#This Row],[DISC 3-]])</f>
        <v/>
      </c>
      <c r="AC345" s="37" t="str">
        <f>IF(NOTA[[#This Row],[JUMLAH]]="","",NOTA[[#This Row],[JUMLAH]]-NOTA[[#This Row],[DISC]])</f>
        <v/>
      </c>
      <c r="AD345" s="37"/>
      <c r="AE3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5" s="37" t="str">
        <f>IF(OR(NOTA[[#This Row],[QTY]]="",NOTA[[#This Row],[HARGA SATUAN]]="",),"",NOTA[[#This Row],[QTY]]*NOTA[[#This Row],[HARGA SATUAN]])</f>
        <v/>
      </c>
      <c r="AI345" s="26" t="str">
        <f ca="1">IF(NOTA[[#This Row],[ID_H]]="","",INDEX(NOTA[TANGGAL],MATCH(,INDIRECT(ADDRESS(ROW(NOTA[TANGGAL]),COLUMN(NOTA[TANGGAL]))&amp;":"&amp;ADDRESS(ROW(),COLUMN(NOTA[TANGGAL]))),-1)))</f>
        <v/>
      </c>
      <c r="AJ345" s="26" t="str">
        <f ca="1">IF(NOTA[[#This Row],[ID_H]]="","",INDEX(NOTA[TGL.NOTA],MATCH(,INDIRECT(ADDRESS(ROW(NOTA[TGL.NOTA]),COLUMN(NOTA[TGL.NOTA]))&amp;":"&amp;ADDRESS(ROW(),COLUMN(NOTA[TGL.NOTA]))),-1)))</f>
        <v/>
      </c>
      <c r="AK345" s="26" t="str">
        <f ca="1">IF(NOTA[[#This Row],[ID_H]]="","",INDEX(NOTA[NO.NOTA],MATCH(NOTA[[#This Row],[ID_H]],NOTA[ID_H],0)))</f>
        <v/>
      </c>
      <c r="AL345" s="28" t="str">
        <f ca="1">IF(NOTA[[#This Row],[NAMA BARANG]]="","",INDEX(NOTA[SUPPLIER],MATCH(,INDIRECT(ADDRESS(ROW(NOTA[ID]),COLUMN(NOTA[ID]))&amp;":"&amp;ADDRESS(ROW(),COLUMN(NOTA[ID]))),-1)))</f>
        <v/>
      </c>
      <c r="AM345" s="28" t="str">
        <f ca="1">IF(NOTA[[#This Row],[ID_H]]="","",IF(NOTA[[#This Row],[FAKTUR]]="",INDIRECT(ADDRESS(ROW()-1,COLUMN())),NOTA[[#This Row],[FAKTUR]]))</f>
        <v/>
      </c>
      <c r="AN345" s="25" t="str">
        <f ca="1">IF(NOTA[[#This Row],[ID]]="","",COUNTIF(NOTA[ID_H],NOTA[[#This Row],[ID_H]]))</f>
        <v/>
      </c>
      <c r="AO345" s="25" t="str">
        <f ca="1">IF(NOTA[[#This Row],[TGL.NOTA]]="",IF(NOTA[[#This Row],[SUPPLIER_H]]="","",AO344),MONTH(NOTA[[#This Row],[TGL.NOTA]]))</f>
        <v/>
      </c>
      <c r="AP3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5" s="25"/>
      <c r="AU345" s="25" t="str">
        <f>IF(NOTA[[#This Row],[CONCAT1]]="","",MATCH(NOTA[[#This Row],[CONCAT1]],[3]!db[NB NOTA_C],0))</f>
        <v/>
      </c>
      <c r="AV345" s="25" t="str">
        <f>IF(NOTA[[#This Row],[QTY/ CTN]]="","",TRUE)</f>
        <v/>
      </c>
      <c r="AW345" s="25" t="str">
        <f ca="1">IF(NOTA[[#This Row],[ID_H]]="","",IF(NOTA[[#This Row],[Column3]]=TRUE,NOTA[[#This Row],[QTY/ CTN]],INDEX([3]!db[QTY/ CTN],NOTA[[#This Row],[//DB]])))</f>
        <v/>
      </c>
      <c r="AX3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5" s="25" t="str">
        <f ca="1">IF(NOTA[[#This Row],[ID_H]]="","",MATCH(NOTA[[#This Row],[NB NOTA_C_QTY]],[3]!db[NB NOTA_C_QTY+F],0))</f>
        <v/>
      </c>
      <c r="AZ345" s="38" t="str">
        <f ca="1">IF(NOTA[[#This Row],[NB NOTA_C_QTY]]="","",ROW()-2)</f>
        <v/>
      </c>
    </row>
    <row r="346" spans="1:52" ht="20.100000000000001" customHeight="1">
      <c r="A3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6" s="25" t="str">
        <f ca="1">IF(NOTA[[#This Row],[NAMA BARANG]]="","",INDEX(NOTA[ID],MATCH(,INDIRECT(ADDRESS(ROW(NOTA[ID]),COLUMN(NOTA[ID]))&amp;":"&amp;ADDRESS(ROW(),COLUMN(NOTA[ID]))),-1)))</f>
        <v/>
      </c>
      <c r="E346" s="33"/>
      <c r="H346" s="34"/>
      <c r="Q346" s="29"/>
      <c r="R346" s="35"/>
      <c r="S346" s="36"/>
      <c r="V346" s="37"/>
      <c r="W346" s="32"/>
      <c r="X346" s="37" t="str">
        <f>IF(NOTA[[#This Row],[HARGA/ CTN]]="",NOTA[[#This Row],[JUMLAH_H]],NOTA[[#This Row],[HARGA/ CTN]]*IF(NOTA[[#This Row],[C]]="",0,NOTA[[#This Row],[C]]))</f>
        <v/>
      </c>
      <c r="Y346" s="37" t="str">
        <f>IF(NOTA[[#This Row],[JUMLAH]]="","",NOTA[[#This Row],[JUMLAH]]*NOTA[[#This Row],[DISC 1]])</f>
        <v/>
      </c>
      <c r="Z346" s="37" t="str">
        <f>IF(NOTA[[#This Row],[JUMLAH]]="","",(NOTA[[#This Row],[JUMLAH]]-NOTA[[#This Row],[DISC 1-]])*NOTA[[#This Row],[DISC 2]])</f>
        <v/>
      </c>
      <c r="AA346" s="37" t="str">
        <f>IF(NOTA[[#This Row],[JUMLAH]]="","",(NOTA[[#This Row],[JUMLAH]]-NOTA[[#This Row],[DISC 1-]]-NOTA[[#This Row],[DISC 2-]])*NOTA[[#This Row],[DISC 3]])</f>
        <v/>
      </c>
      <c r="AB346" s="37" t="str">
        <f>IF(NOTA[[#This Row],[JUMLAH]]="","",NOTA[[#This Row],[DISC 1-]]+NOTA[[#This Row],[DISC 2-]]+NOTA[[#This Row],[DISC 3-]])</f>
        <v/>
      </c>
      <c r="AC346" s="37" t="str">
        <f>IF(NOTA[[#This Row],[JUMLAH]]="","",NOTA[[#This Row],[JUMLAH]]-NOTA[[#This Row],[DISC]])</f>
        <v/>
      </c>
      <c r="AD346" s="37"/>
      <c r="AE3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6" s="37" t="str">
        <f>IF(OR(NOTA[[#This Row],[QTY]]="",NOTA[[#This Row],[HARGA SATUAN]]="",),"",NOTA[[#This Row],[QTY]]*NOTA[[#This Row],[HARGA SATUAN]])</f>
        <v/>
      </c>
      <c r="AI346" s="26" t="str">
        <f ca="1">IF(NOTA[[#This Row],[ID_H]]="","",INDEX(NOTA[TANGGAL],MATCH(,INDIRECT(ADDRESS(ROW(NOTA[TANGGAL]),COLUMN(NOTA[TANGGAL]))&amp;":"&amp;ADDRESS(ROW(),COLUMN(NOTA[TANGGAL]))),-1)))</f>
        <v/>
      </c>
      <c r="AJ346" s="26" t="str">
        <f ca="1">IF(NOTA[[#This Row],[ID_H]]="","",INDEX(NOTA[TGL.NOTA],MATCH(,INDIRECT(ADDRESS(ROW(NOTA[TGL.NOTA]),COLUMN(NOTA[TGL.NOTA]))&amp;":"&amp;ADDRESS(ROW(),COLUMN(NOTA[TGL.NOTA]))),-1)))</f>
        <v/>
      </c>
      <c r="AK346" s="26" t="str">
        <f ca="1">IF(NOTA[[#This Row],[ID_H]]="","",INDEX(NOTA[NO.NOTA],MATCH(NOTA[[#This Row],[ID_H]],NOTA[ID_H],0)))</f>
        <v/>
      </c>
      <c r="AL346" s="28" t="str">
        <f ca="1">IF(NOTA[[#This Row],[NAMA BARANG]]="","",INDEX(NOTA[SUPPLIER],MATCH(,INDIRECT(ADDRESS(ROW(NOTA[ID]),COLUMN(NOTA[ID]))&amp;":"&amp;ADDRESS(ROW(),COLUMN(NOTA[ID]))),-1)))</f>
        <v/>
      </c>
      <c r="AM346" s="28" t="str">
        <f ca="1">IF(NOTA[[#This Row],[ID_H]]="","",IF(NOTA[[#This Row],[FAKTUR]]="",INDIRECT(ADDRESS(ROW()-1,COLUMN())),NOTA[[#This Row],[FAKTUR]]))</f>
        <v/>
      </c>
      <c r="AN346" s="25" t="str">
        <f ca="1">IF(NOTA[[#This Row],[ID]]="","",COUNTIF(NOTA[ID_H],NOTA[[#This Row],[ID_H]]))</f>
        <v/>
      </c>
      <c r="AO346" s="25" t="str">
        <f ca="1">IF(NOTA[[#This Row],[TGL.NOTA]]="",IF(NOTA[[#This Row],[SUPPLIER_H]]="","",AO345),MONTH(NOTA[[#This Row],[TGL.NOTA]]))</f>
        <v/>
      </c>
      <c r="AP3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6" s="25"/>
      <c r="AU346" s="25" t="str">
        <f>IF(NOTA[[#This Row],[CONCAT1]]="","",MATCH(NOTA[[#This Row],[CONCAT1]],[3]!db[NB NOTA_C],0))</f>
        <v/>
      </c>
      <c r="AV346" s="25" t="str">
        <f>IF(NOTA[[#This Row],[QTY/ CTN]]="","",TRUE)</f>
        <v/>
      </c>
      <c r="AW346" s="25" t="str">
        <f ca="1">IF(NOTA[[#This Row],[ID_H]]="","",IF(NOTA[[#This Row],[Column3]]=TRUE,NOTA[[#This Row],[QTY/ CTN]],INDEX([3]!db[QTY/ CTN],NOTA[[#This Row],[//DB]])))</f>
        <v/>
      </c>
      <c r="AX3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6" s="25" t="str">
        <f ca="1">IF(NOTA[[#This Row],[ID_H]]="","",MATCH(NOTA[[#This Row],[NB NOTA_C_QTY]],[3]!db[NB NOTA_C_QTY+F],0))</f>
        <v/>
      </c>
      <c r="AZ346" s="38" t="str">
        <f ca="1">IF(NOTA[[#This Row],[NB NOTA_C_QTY]]="","",ROW()-2)</f>
        <v/>
      </c>
    </row>
    <row r="347" spans="1:52" ht="20.100000000000001" customHeight="1">
      <c r="A3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7" s="25" t="str">
        <f ca="1">IF(NOTA[[#This Row],[NAMA BARANG]]="","",INDEX(NOTA[ID],MATCH(,INDIRECT(ADDRESS(ROW(NOTA[ID]),COLUMN(NOTA[ID]))&amp;":"&amp;ADDRESS(ROW(),COLUMN(NOTA[ID]))),-1)))</f>
        <v/>
      </c>
      <c r="E347" s="33"/>
      <c r="H347" s="34"/>
      <c r="Q347" s="29"/>
      <c r="R347" s="35"/>
      <c r="S347" s="36"/>
      <c r="V347" s="37"/>
      <c r="W347" s="32"/>
      <c r="X347" s="37" t="str">
        <f>IF(NOTA[[#This Row],[HARGA/ CTN]]="",NOTA[[#This Row],[JUMLAH_H]],NOTA[[#This Row],[HARGA/ CTN]]*IF(NOTA[[#This Row],[C]]="",0,NOTA[[#This Row],[C]]))</f>
        <v/>
      </c>
      <c r="Y347" s="37" t="str">
        <f>IF(NOTA[[#This Row],[JUMLAH]]="","",NOTA[[#This Row],[JUMLAH]]*NOTA[[#This Row],[DISC 1]])</f>
        <v/>
      </c>
      <c r="Z347" s="37" t="str">
        <f>IF(NOTA[[#This Row],[JUMLAH]]="","",(NOTA[[#This Row],[JUMLAH]]-NOTA[[#This Row],[DISC 1-]])*NOTA[[#This Row],[DISC 2]])</f>
        <v/>
      </c>
      <c r="AA347" s="37" t="str">
        <f>IF(NOTA[[#This Row],[JUMLAH]]="","",(NOTA[[#This Row],[JUMLAH]]-NOTA[[#This Row],[DISC 1-]]-NOTA[[#This Row],[DISC 2-]])*NOTA[[#This Row],[DISC 3]])</f>
        <v/>
      </c>
      <c r="AB347" s="37" t="str">
        <f>IF(NOTA[[#This Row],[JUMLAH]]="","",NOTA[[#This Row],[DISC 1-]]+NOTA[[#This Row],[DISC 2-]]+NOTA[[#This Row],[DISC 3-]])</f>
        <v/>
      </c>
      <c r="AC347" s="37" t="str">
        <f>IF(NOTA[[#This Row],[JUMLAH]]="","",NOTA[[#This Row],[JUMLAH]]-NOTA[[#This Row],[DISC]])</f>
        <v/>
      </c>
      <c r="AD347" s="37"/>
      <c r="AE3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7" s="37" t="str">
        <f>IF(OR(NOTA[[#This Row],[QTY]]="",NOTA[[#This Row],[HARGA SATUAN]]="",),"",NOTA[[#This Row],[QTY]]*NOTA[[#This Row],[HARGA SATUAN]])</f>
        <v/>
      </c>
      <c r="AI347" s="26" t="str">
        <f ca="1">IF(NOTA[[#This Row],[ID_H]]="","",INDEX(NOTA[TANGGAL],MATCH(,INDIRECT(ADDRESS(ROW(NOTA[TANGGAL]),COLUMN(NOTA[TANGGAL]))&amp;":"&amp;ADDRESS(ROW(),COLUMN(NOTA[TANGGAL]))),-1)))</f>
        <v/>
      </c>
      <c r="AJ347" s="26" t="str">
        <f ca="1">IF(NOTA[[#This Row],[ID_H]]="","",INDEX(NOTA[TGL.NOTA],MATCH(,INDIRECT(ADDRESS(ROW(NOTA[TGL.NOTA]),COLUMN(NOTA[TGL.NOTA]))&amp;":"&amp;ADDRESS(ROW(),COLUMN(NOTA[TGL.NOTA]))),-1)))</f>
        <v/>
      </c>
      <c r="AK347" s="26" t="str">
        <f ca="1">IF(NOTA[[#This Row],[ID_H]]="","",INDEX(NOTA[NO.NOTA],MATCH(NOTA[[#This Row],[ID_H]],NOTA[ID_H],0)))</f>
        <v/>
      </c>
      <c r="AL347" s="28" t="str">
        <f ca="1">IF(NOTA[[#This Row],[NAMA BARANG]]="","",INDEX(NOTA[SUPPLIER],MATCH(,INDIRECT(ADDRESS(ROW(NOTA[ID]),COLUMN(NOTA[ID]))&amp;":"&amp;ADDRESS(ROW(),COLUMN(NOTA[ID]))),-1)))</f>
        <v/>
      </c>
      <c r="AM347" s="28" t="str">
        <f ca="1">IF(NOTA[[#This Row],[ID_H]]="","",IF(NOTA[[#This Row],[FAKTUR]]="",INDIRECT(ADDRESS(ROW()-1,COLUMN())),NOTA[[#This Row],[FAKTUR]]))</f>
        <v/>
      </c>
      <c r="AN347" s="25" t="str">
        <f ca="1">IF(NOTA[[#This Row],[ID]]="","",COUNTIF(NOTA[ID_H],NOTA[[#This Row],[ID_H]]))</f>
        <v/>
      </c>
      <c r="AO347" s="25" t="str">
        <f ca="1">IF(NOTA[[#This Row],[TGL.NOTA]]="",IF(NOTA[[#This Row],[SUPPLIER_H]]="","",AO346),MONTH(NOTA[[#This Row],[TGL.NOTA]]))</f>
        <v/>
      </c>
      <c r="AP3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7" s="25"/>
      <c r="AU347" s="25" t="str">
        <f>IF(NOTA[[#This Row],[CONCAT1]]="","",MATCH(NOTA[[#This Row],[CONCAT1]],[3]!db[NB NOTA_C],0))</f>
        <v/>
      </c>
      <c r="AV347" s="25" t="str">
        <f>IF(NOTA[[#This Row],[QTY/ CTN]]="","",TRUE)</f>
        <v/>
      </c>
      <c r="AW347" s="25" t="str">
        <f ca="1">IF(NOTA[[#This Row],[ID_H]]="","",IF(NOTA[[#This Row],[Column3]]=TRUE,NOTA[[#This Row],[QTY/ CTN]],INDEX([3]!db[QTY/ CTN],NOTA[[#This Row],[//DB]])))</f>
        <v/>
      </c>
      <c r="AX3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7" s="25" t="str">
        <f ca="1">IF(NOTA[[#This Row],[ID_H]]="","",MATCH(NOTA[[#This Row],[NB NOTA_C_QTY]],[3]!db[NB NOTA_C_QTY+F],0))</f>
        <v/>
      </c>
      <c r="AZ347" s="38" t="str">
        <f ca="1">IF(NOTA[[#This Row],[NB NOTA_C_QTY]]="","",ROW()-2)</f>
        <v/>
      </c>
    </row>
    <row r="348" spans="1:52" ht="20.100000000000001" customHeight="1">
      <c r="A3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8" s="25" t="str">
        <f ca="1">IF(NOTA[[#This Row],[NAMA BARANG]]="","",INDEX(NOTA[ID],MATCH(,INDIRECT(ADDRESS(ROW(NOTA[ID]),COLUMN(NOTA[ID]))&amp;":"&amp;ADDRESS(ROW(),COLUMN(NOTA[ID]))),-1)))</f>
        <v/>
      </c>
      <c r="E348" s="33"/>
      <c r="H348" s="34"/>
      <c r="Q348" s="29"/>
      <c r="R348" s="35"/>
      <c r="S348" s="36"/>
      <c r="V348" s="37"/>
      <c r="W348" s="32"/>
      <c r="X348" s="37" t="str">
        <f>IF(NOTA[[#This Row],[HARGA/ CTN]]="",NOTA[[#This Row],[JUMLAH_H]],NOTA[[#This Row],[HARGA/ CTN]]*IF(NOTA[[#This Row],[C]]="",0,NOTA[[#This Row],[C]]))</f>
        <v/>
      </c>
      <c r="Y348" s="37" t="str">
        <f>IF(NOTA[[#This Row],[JUMLAH]]="","",NOTA[[#This Row],[JUMLAH]]*NOTA[[#This Row],[DISC 1]])</f>
        <v/>
      </c>
      <c r="Z348" s="37" t="str">
        <f>IF(NOTA[[#This Row],[JUMLAH]]="","",(NOTA[[#This Row],[JUMLAH]]-NOTA[[#This Row],[DISC 1-]])*NOTA[[#This Row],[DISC 2]])</f>
        <v/>
      </c>
      <c r="AA348" s="37" t="str">
        <f>IF(NOTA[[#This Row],[JUMLAH]]="","",(NOTA[[#This Row],[JUMLAH]]-NOTA[[#This Row],[DISC 1-]]-NOTA[[#This Row],[DISC 2-]])*NOTA[[#This Row],[DISC 3]])</f>
        <v/>
      </c>
      <c r="AB348" s="37" t="str">
        <f>IF(NOTA[[#This Row],[JUMLAH]]="","",NOTA[[#This Row],[DISC 1-]]+NOTA[[#This Row],[DISC 2-]]+NOTA[[#This Row],[DISC 3-]])</f>
        <v/>
      </c>
      <c r="AC348" s="37" t="str">
        <f>IF(NOTA[[#This Row],[JUMLAH]]="","",NOTA[[#This Row],[JUMLAH]]-NOTA[[#This Row],[DISC]])</f>
        <v/>
      </c>
      <c r="AD348" s="37"/>
      <c r="AE3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8" s="37" t="str">
        <f>IF(OR(NOTA[[#This Row],[QTY]]="",NOTA[[#This Row],[HARGA SATUAN]]="",),"",NOTA[[#This Row],[QTY]]*NOTA[[#This Row],[HARGA SATUAN]])</f>
        <v/>
      </c>
      <c r="AI348" s="26" t="str">
        <f ca="1">IF(NOTA[[#This Row],[ID_H]]="","",INDEX(NOTA[TANGGAL],MATCH(,INDIRECT(ADDRESS(ROW(NOTA[TANGGAL]),COLUMN(NOTA[TANGGAL]))&amp;":"&amp;ADDRESS(ROW(),COLUMN(NOTA[TANGGAL]))),-1)))</f>
        <v/>
      </c>
      <c r="AJ348" s="26" t="str">
        <f ca="1">IF(NOTA[[#This Row],[ID_H]]="","",INDEX(NOTA[TGL.NOTA],MATCH(,INDIRECT(ADDRESS(ROW(NOTA[TGL.NOTA]),COLUMN(NOTA[TGL.NOTA]))&amp;":"&amp;ADDRESS(ROW(),COLUMN(NOTA[TGL.NOTA]))),-1)))</f>
        <v/>
      </c>
      <c r="AK348" s="26" t="str">
        <f ca="1">IF(NOTA[[#This Row],[ID_H]]="","",INDEX(NOTA[NO.NOTA],MATCH(NOTA[[#This Row],[ID_H]],NOTA[ID_H],0)))</f>
        <v/>
      </c>
      <c r="AL348" s="28" t="str">
        <f ca="1">IF(NOTA[[#This Row],[NAMA BARANG]]="","",INDEX(NOTA[SUPPLIER],MATCH(,INDIRECT(ADDRESS(ROW(NOTA[ID]),COLUMN(NOTA[ID]))&amp;":"&amp;ADDRESS(ROW(),COLUMN(NOTA[ID]))),-1)))</f>
        <v/>
      </c>
      <c r="AM348" s="28" t="str">
        <f ca="1">IF(NOTA[[#This Row],[ID_H]]="","",IF(NOTA[[#This Row],[FAKTUR]]="",INDIRECT(ADDRESS(ROW()-1,COLUMN())),NOTA[[#This Row],[FAKTUR]]))</f>
        <v/>
      </c>
      <c r="AN348" s="25" t="str">
        <f ca="1">IF(NOTA[[#This Row],[ID]]="","",COUNTIF(NOTA[ID_H],NOTA[[#This Row],[ID_H]]))</f>
        <v/>
      </c>
      <c r="AO348" s="25" t="str">
        <f ca="1">IF(NOTA[[#This Row],[TGL.NOTA]]="",IF(NOTA[[#This Row],[SUPPLIER_H]]="","",AO347),MONTH(NOTA[[#This Row],[TGL.NOTA]]))</f>
        <v/>
      </c>
      <c r="AP3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8" s="25"/>
      <c r="AU348" s="25" t="str">
        <f>IF(NOTA[[#This Row],[CONCAT1]]="","",MATCH(NOTA[[#This Row],[CONCAT1]],[3]!db[NB NOTA_C],0))</f>
        <v/>
      </c>
      <c r="AV348" s="25" t="str">
        <f>IF(NOTA[[#This Row],[QTY/ CTN]]="","",TRUE)</f>
        <v/>
      </c>
      <c r="AW348" s="25" t="str">
        <f ca="1">IF(NOTA[[#This Row],[ID_H]]="","",IF(NOTA[[#This Row],[Column3]]=TRUE,NOTA[[#This Row],[QTY/ CTN]],INDEX([3]!db[QTY/ CTN],NOTA[[#This Row],[//DB]])))</f>
        <v/>
      </c>
      <c r="AX3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8" s="25" t="str">
        <f ca="1">IF(NOTA[[#This Row],[ID_H]]="","",MATCH(NOTA[[#This Row],[NB NOTA_C_QTY]],[3]!db[NB NOTA_C_QTY+F],0))</f>
        <v/>
      </c>
      <c r="AZ348" s="38" t="str">
        <f ca="1">IF(NOTA[[#This Row],[NB NOTA_C_QTY]]="","",ROW()-2)</f>
        <v/>
      </c>
    </row>
    <row r="349" spans="1:52" ht="20.100000000000001" customHeight="1">
      <c r="A3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9" s="25" t="str">
        <f ca="1">IF(NOTA[[#This Row],[NAMA BARANG]]="","",INDEX(NOTA[ID],MATCH(,INDIRECT(ADDRESS(ROW(NOTA[ID]),COLUMN(NOTA[ID]))&amp;":"&amp;ADDRESS(ROW(),COLUMN(NOTA[ID]))),-1)))</f>
        <v/>
      </c>
      <c r="E349" s="33"/>
      <c r="H349" s="34"/>
      <c r="Q349" s="29"/>
      <c r="R349" s="35"/>
      <c r="S349" s="36"/>
      <c r="V349" s="37"/>
      <c r="W349" s="32"/>
      <c r="X349" s="37" t="str">
        <f>IF(NOTA[[#This Row],[HARGA/ CTN]]="",NOTA[[#This Row],[JUMLAH_H]],NOTA[[#This Row],[HARGA/ CTN]]*IF(NOTA[[#This Row],[C]]="",0,NOTA[[#This Row],[C]]))</f>
        <v/>
      </c>
      <c r="Y349" s="37" t="str">
        <f>IF(NOTA[[#This Row],[JUMLAH]]="","",NOTA[[#This Row],[JUMLAH]]*NOTA[[#This Row],[DISC 1]])</f>
        <v/>
      </c>
      <c r="Z349" s="37" t="str">
        <f>IF(NOTA[[#This Row],[JUMLAH]]="","",(NOTA[[#This Row],[JUMLAH]]-NOTA[[#This Row],[DISC 1-]])*NOTA[[#This Row],[DISC 2]])</f>
        <v/>
      </c>
      <c r="AA349" s="37" t="str">
        <f>IF(NOTA[[#This Row],[JUMLAH]]="","",(NOTA[[#This Row],[JUMLAH]]-NOTA[[#This Row],[DISC 1-]]-NOTA[[#This Row],[DISC 2-]])*NOTA[[#This Row],[DISC 3]])</f>
        <v/>
      </c>
      <c r="AB349" s="37" t="str">
        <f>IF(NOTA[[#This Row],[JUMLAH]]="","",NOTA[[#This Row],[DISC 1-]]+NOTA[[#This Row],[DISC 2-]]+NOTA[[#This Row],[DISC 3-]])</f>
        <v/>
      </c>
      <c r="AC349" s="37" t="str">
        <f>IF(NOTA[[#This Row],[JUMLAH]]="","",NOTA[[#This Row],[JUMLAH]]-NOTA[[#This Row],[DISC]])</f>
        <v/>
      </c>
      <c r="AD349" s="37"/>
      <c r="AE3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9" s="37" t="str">
        <f>IF(OR(NOTA[[#This Row],[QTY]]="",NOTA[[#This Row],[HARGA SATUAN]]="",),"",NOTA[[#This Row],[QTY]]*NOTA[[#This Row],[HARGA SATUAN]])</f>
        <v/>
      </c>
      <c r="AI349" s="26" t="str">
        <f ca="1">IF(NOTA[[#This Row],[ID_H]]="","",INDEX(NOTA[TANGGAL],MATCH(,INDIRECT(ADDRESS(ROW(NOTA[TANGGAL]),COLUMN(NOTA[TANGGAL]))&amp;":"&amp;ADDRESS(ROW(),COLUMN(NOTA[TANGGAL]))),-1)))</f>
        <v/>
      </c>
      <c r="AJ349" s="26" t="str">
        <f ca="1">IF(NOTA[[#This Row],[ID_H]]="","",INDEX(NOTA[TGL.NOTA],MATCH(,INDIRECT(ADDRESS(ROW(NOTA[TGL.NOTA]),COLUMN(NOTA[TGL.NOTA]))&amp;":"&amp;ADDRESS(ROW(),COLUMN(NOTA[TGL.NOTA]))),-1)))</f>
        <v/>
      </c>
      <c r="AK349" s="26" t="str">
        <f ca="1">IF(NOTA[[#This Row],[ID_H]]="","",INDEX(NOTA[NO.NOTA],MATCH(NOTA[[#This Row],[ID_H]],NOTA[ID_H],0)))</f>
        <v/>
      </c>
      <c r="AL349" s="28" t="str">
        <f ca="1">IF(NOTA[[#This Row],[NAMA BARANG]]="","",INDEX(NOTA[SUPPLIER],MATCH(,INDIRECT(ADDRESS(ROW(NOTA[ID]),COLUMN(NOTA[ID]))&amp;":"&amp;ADDRESS(ROW(),COLUMN(NOTA[ID]))),-1)))</f>
        <v/>
      </c>
      <c r="AM349" s="28" t="str">
        <f ca="1">IF(NOTA[[#This Row],[ID_H]]="","",IF(NOTA[[#This Row],[FAKTUR]]="",INDIRECT(ADDRESS(ROW()-1,COLUMN())),NOTA[[#This Row],[FAKTUR]]))</f>
        <v/>
      </c>
      <c r="AN349" s="25" t="str">
        <f ca="1">IF(NOTA[[#This Row],[ID]]="","",COUNTIF(NOTA[ID_H],NOTA[[#This Row],[ID_H]]))</f>
        <v/>
      </c>
      <c r="AO349" s="25" t="str">
        <f ca="1">IF(NOTA[[#This Row],[TGL.NOTA]]="",IF(NOTA[[#This Row],[SUPPLIER_H]]="","",AO348),MONTH(NOTA[[#This Row],[TGL.NOTA]]))</f>
        <v/>
      </c>
      <c r="AP3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9" s="25"/>
      <c r="AU349" s="25" t="str">
        <f>IF(NOTA[[#This Row],[CONCAT1]]="","",MATCH(NOTA[[#This Row],[CONCAT1]],[3]!db[NB NOTA_C],0))</f>
        <v/>
      </c>
      <c r="AV349" s="25" t="str">
        <f>IF(NOTA[[#This Row],[QTY/ CTN]]="","",TRUE)</f>
        <v/>
      </c>
      <c r="AW349" s="25" t="str">
        <f ca="1">IF(NOTA[[#This Row],[ID_H]]="","",IF(NOTA[[#This Row],[Column3]]=TRUE,NOTA[[#This Row],[QTY/ CTN]],INDEX([3]!db[QTY/ CTN],NOTA[[#This Row],[//DB]])))</f>
        <v/>
      </c>
      <c r="AX3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9" s="25" t="str">
        <f ca="1">IF(NOTA[[#This Row],[ID_H]]="","",MATCH(NOTA[[#This Row],[NB NOTA_C_QTY]],[3]!db[NB NOTA_C_QTY+F],0))</f>
        <v/>
      </c>
      <c r="AZ349" s="38" t="str">
        <f ca="1">IF(NOTA[[#This Row],[NB NOTA_C_QTY]]="","",ROW()-2)</f>
        <v/>
      </c>
    </row>
    <row r="350" spans="1:52" ht="20.100000000000001" customHeight="1">
      <c r="A3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0" s="25" t="str">
        <f ca="1">IF(NOTA[[#This Row],[NAMA BARANG]]="","",INDEX(NOTA[ID],MATCH(,INDIRECT(ADDRESS(ROW(NOTA[ID]),COLUMN(NOTA[ID]))&amp;":"&amp;ADDRESS(ROW(),COLUMN(NOTA[ID]))),-1)))</f>
        <v/>
      </c>
      <c r="E350" s="33"/>
      <c r="H350" s="34"/>
      <c r="Q350" s="29"/>
      <c r="R350" s="35"/>
      <c r="S350" s="36"/>
      <c r="V350" s="37"/>
      <c r="W350" s="32"/>
      <c r="X350" s="37" t="str">
        <f>IF(NOTA[[#This Row],[HARGA/ CTN]]="",NOTA[[#This Row],[JUMLAH_H]],NOTA[[#This Row],[HARGA/ CTN]]*IF(NOTA[[#This Row],[C]]="",0,NOTA[[#This Row],[C]]))</f>
        <v/>
      </c>
      <c r="Y350" s="37" t="str">
        <f>IF(NOTA[[#This Row],[JUMLAH]]="","",NOTA[[#This Row],[JUMLAH]]*NOTA[[#This Row],[DISC 1]])</f>
        <v/>
      </c>
      <c r="Z350" s="37" t="str">
        <f>IF(NOTA[[#This Row],[JUMLAH]]="","",(NOTA[[#This Row],[JUMLAH]]-NOTA[[#This Row],[DISC 1-]])*NOTA[[#This Row],[DISC 2]])</f>
        <v/>
      </c>
      <c r="AA350" s="37" t="str">
        <f>IF(NOTA[[#This Row],[JUMLAH]]="","",(NOTA[[#This Row],[JUMLAH]]-NOTA[[#This Row],[DISC 1-]]-NOTA[[#This Row],[DISC 2-]])*NOTA[[#This Row],[DISC 3]])</f>
        <v/>
      </c>
      <c r="AB350" s="37" t="str">
        <f>IF(NOTA[[#This Row],[JUMLAH]]="","",NOTA[[#This Row],[DISC 1-]]+NOTA[[#This Row],[DISC 2-]]+NOTA[[#This Row],[DISC 3-]])</f>
        <v/>
      </c>
      <c r="AC350" s="37" t="str">
        <f>IF(NOTA[[#This Row],[JUMLAH]]="","",NOTA[[#This Row],[JUMLAH]]-NOTA[[#This Row],[DISC]])</f>
        <v/>
      </c>
      <c r="AD350" s="37"/>
      <c r="AE3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0" s="37" t="str">
        <f>IF(OR(NOTA[[#This Row],[QTY]]="",NOTA[[#This Row],[HARGA SATUAN]]="",),"",NOTA[[#This Row],[QTY]]*NOTA[[#This Row],[HARGA SATUAN]])</f>
        <v/>
      </c>
      <c r="AI350" s="26" t="str">
        <f ca="1">IF(NOTA[[#This Row],[ID_H]]="","",INDEX(NOTA[TANGGAL],MATCH(,INDIRECT(ADDRESS(ROW(NOTA[TANGGAL]),COLUMN(NOTA[TANGGAL]))&amp;":"&amp;ADDRESS(ROW(),COLUMN(NOTA[TANGGAL]))),-1)))</f>
        <v/>
      </c>
      <c r="AJ350" s="26" t="str">
        <f ca="1">IF(NOTA[[#This Row],[ID_H]]="","",INDEX(NOTA[TGL.NOTA],MATCH(,INDIRECT(ADDRESS(ROW(NOTA[TGL.NOTA]),COLUMN(NOTA[TGL.NOTA]))&amp;":"&amp;ADDRESS(ROW(),COLUMN(NOTA[TGL.NOTA]))),-1)))</f>
        <v/>
      </c>
      <c r="AK350" s="26" t="str">
        <f ca="1">IF(NOTA[[#This Row],[ID_H]]="","",INDEX(NOTA[NO.NOTA],MATCH(NOTA[[#This Row],[ID_H]],NOTA[ID_H],0)))</f>
        <v/>
      </c>
      <c r="AL350" s="28" t="str">
        <f ca="1">IF(NOTA[[#This Row],[NAMA BARANG]]="","",INDEX(NOTA[SUPPLIER],MATCH(,INDIRECT(ADDRESS(ROW(NOTA[ID]),COLUMN(NOTA[ID]))&amp;":"&amp;ADDRESS(ROW(),COLUMN(NOTA[ID]))),-1)))</f>
        <v/>
      </c>
      <c r="AM350" s="28" t="str">
        <f ca="1">IF(NOTA[[#This Row],[ID_H]]="","",IF(NOTA[[#This Row],[FAKTUR]]="",INDIRECT(ADDRESS(ROW()-1,COLUMN())),NOTA[[#This Row],[FAKTUR]]))</f>
        <v/>
      </c>
      <c r="AN350" s="25" t="str">
        <f ca="1">IF(NOTA[[#This Row],[ID]]="","",COUNTIF(NOTA[ID_H],NOTA[[#This Row],[ID_H]]))</f>
        <v/>
      </c>
      <c r="AO350" s="25" t="str">
        <f ca="1">IF(NOTA[[#This Row],[TGL.NOTA]]="",IF(NOTA[[#This Row],[SUPPLIER_H]]="","",AO349),MONTH(NOTA[[#This Row],[TGL.NOTA]]))</f>
        <v/>
      </c>
      <c r="AP3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0" s="25"/>
      <c r="AU350" s="25" t="str">
        <f>IF(NOTA[[#This Row],[CONCAT1]]="","",MATCH(NOTA[[#This Row],[CONCAT1]],[3]!db[NB NOTA_C],0))</f>
        <v/>
      </c>
      <c r="AV350" s="25" t="str">
        <f>IF(NOTA[[#This Row],[QTY/ CTN]]="","",TRUE)</f>
        <v/>
      </c>
      <c r="AW350" s="25" t="str">
        <f ca="1">IF(NOTA[[#This Row],[ID_H]]="","",IF(NOTA[[#This Row],[Column3]]=TRUE,NOTA[[#This Row],[QTY/ CTN]],INDEX([3]!db[QTY/ CTN],NOTA[[#This Row],[//DB]])))</f>
        <v/>
      </c>
      <c r="AX3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0" s="25" t="str">
        <f ca="1">IF(NOTA[[#This Row],[ID_H]]="","",MATCH(NOTA[[#This Row],[NB NOTA_C_QTY]],[3]!db[NB NOTA_C_QTY+F],0))</f>
        <v/>
      </c>
      <c r="AZ350" s="38" t="str">
        <f ca="1">IF(NOTA[[#This Row],[NB NOTA_C_QTY]]="","",ROW()-2)</f>
        <v/>
      </c>
    </row>
    <row r="351" spans="1:52" ht="20.100000000000001" customHeight="1">
      <c r="A3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1" s="25" t="str">
        <f ca="1">IF(NOTA[[#This Row],[NAMA BARANG]]="","",INDEX(NOTA[ID],MATCH(,INDIRECT(ADDRESS(ROW(NOTA[ID]),COLUMN(NOTA[ID]))&amp;":"&amp;ADDRESS(ROW(),COLUMN(NOTA[ID]))),-1)))</f>
        <v/>
      </c>
      <c r="E351" s="33"/>
      <c r="H351" s="34"/>
      <c r="Q351" s="29"/>
      <c r="R351" s="35"/>
      <c r="S351" s="36"/>
      <c r="V351" s="37"/>
      <c r="W351" s="32"/>
      <c r="X351" s="37" t="str">
        <f>IF(NOTA[[#This Row],[HARGA/ CTN]]="",NOTA[[#This Row],[JUMLAH_H]],NOTA[[#This Row],[HARGA/ CTN]]*IF(NOTA[[#This Row],[C]]="",0,NOTA[[#This Row],[C]]))</f>
        <v/>
      </c>
      <c r="Y351" s="37" t="str">
        <f>IF(NOTA[[#This Row],[JUMLAH]]="","",NOTA[[#This Row],[JUMLAH]]*NOTA[[#This Row],[DISC 1]])</f>
        <v/>
      </c>
      <c r="Z351" s="37" t="str">
        <f>IF(NOTA[[#This Row],[JUMLAH]]="","",(NOTA[[#This Row],[JUMLAH]]-NOTA[[#This Row],[DISC 1-]])*NOTA[[#This Row],[DISC 2]])</f>
        <v/>
      </c>
      <c r="AA351" s="37" t="str">
        <f>IF(NOTA[[#This Row],[JUMLAH]]="","",(NOTA[[#This Row],[JUMLAH]]-NOTA[[#This Row],[DISC 1-]]-NOTA[[#This Row],[DISC 2-]])*NOTA[[#This Row],[DISC 3]])</f>
        <v/>
      </c>
      <c r="AB351" s="37" t="str">
        <f>IF(NOTA[[#This Row],[JUMLAH]]="","",NOTA[[#This Row],[DISC 1-]]+NOTA[[#This Row],[DISC 2-]]+NOTA[[#This Row],[DISC 3-]])</f>
        <v/>
      </c>
      <c r="AC351" s="37" t="str">
        <f>IF(NOTA[[#This Row],[JUMLAH]]="","",NOTA[[#This Row],[JUMLAH]]-NOTA[[#This Row],[DISC]])</f>
        <v/>
      </c>
      <c r="AD351" s="37"/>
      <c r="AE3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1" s="37" t="str">
        <f>IF(OR(NOTA[[#This Row],[QTY]]="",NOTA[[#This Row],[HARGA SATUAN]]="",),"",NOTA[[#This Row],[QTY]]*NOTA[[#This Row],[HARGA SATUAN]])</f>
        <v/>
      </c>
      <c r="AI351" s="26" t="str">
        <f ca="1">IF(NOTA[[#This Row],[ID_H]]="","",INDEX(NOTA[TANGGAL],MATCH(,INDIRECT(ADDRESS(ROW(NOTA[TANGGAL]),COLUMN(NOTA[TANGGAL]))&amp;":"&amp;ADDRESS(ROW(),COLUMN(NOTA[TANGGAL]))),-1)))</f>
        <v/>
      </c>
      <c r="AJ351" s="26" t="str">
        <f ca="1">IF(NOTA[[#This Row],[ID_H]]="","",INDEX(NOTA[TGL.NOTA],MATCH(,INDIRECT(ADDRESS(ROW(NOTA[TGL.NOTA]),COLUMN(NOTA[TGL.NOTA]))&amp;":"&amp;ADDRESS(ROW(),COLUMN(NOTA[TGL.NOTA]))),-1)))</f>
        <v/>
      </c>
      <c r="AK351" s="26" t="str">
        <f ca="1">IF(NOTA[[#This Row],[ID_H]]="","",INDEX(NOTA[NO.NOTA],MATCH(NOTA[[#This Row],[ID_H]],NOTA[ID_H],0)))</f>
        <v/>
      </c>
      <c r="AL351" s="28" t="str">
        <f ca="1">IF(NOTA[[#This Row],[NAMA BARANG]]="","",INDEX(NOTA[SUPPLIER],MATCH(,INDIRECT(ADDRESS(ROW(NOTA[ID]),COLUMN(NOTA[ID]))&amp;":"&amp;ADDRESS(ROW(),COLUMN(NOTA[ID]))),-1)))</f>
        <v/>
      </c>
      <c r="AM351" s="28" t="str">
        <f ca="1">IF(NOTA[[#This Row],[ID_H]]="","",IF(NOTA[[#This Row],[FAKTUR]]="",INDIRECT(ADDRESS(ROW()-1,COLUMN())),NOTA[[#This Row],[FAKTUR]]))</f>
        <v/>
      </c>
      <c r="AN351" s="25" t="str">
        <f ca="1">IF(NOTA[[#This Row],[ID]]="","",COUNTIF(NOTA[ID_H],NOTA[[#This Row],[ID_H]]))</f>
        <v/>
      </c>
      <c r="AO351" s="25" t="str">
        <f ca="1">IF(NOTA[[#This Row],[TGL.NOTA]]="",IF(NOTA[[#This Row],[SUPPLIER_H]]="","",AO350),MONTH(NOTA[[#This Row],[TGL.NOTA]]))</f>
        <v/>
      </c>
      <c r="AP3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1" s="25"/>
      <c r="AU351" s="25" t="str">
        <f>IF(NOTA[[#This Row],[CONCAT1]]="","",MATCH(NOTA[[#This Row],[CONCAT1]],[3]!db[NB NOTA_C],0))</f>
        <v/>
      </c>
      <c r="AV351" s="25" t="str">
        <f>IF(NOTA[[#This Row],[QTY/ CTN]]="","",TRUE)</f>
        <v/>
      </c>
      <c r="AW351" s="25" t="str">
        <f ca="1">IF(NOTA[[#This Row],[ID_H]]="","",IF(NOTA[[#This Row],[Column3]]=TRUE,NOTA[[#This Row],[QTY/ CTN]],INDEX([3]!db[QTY/ CTN],NOTA[[#This Row],[//DB]])))</f>
        <v/>
      </c>
      <c r="AX3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1" s="25" t="str">
        <f ca="1">IF(NOTA[[#This Row],[ID_H]]="","",MATCH(NOTA[[#This Row],[NB NOTA_C_QTY]],[3]!db[NB NOTA_C_QTY+F],0))</f>
        <v/>
      </c>
      <c r="AZ351" s="38" t="str">
        <f ca="1">IF(NOTA[[#This Row],[NB NOTA_C_QTY]]="","",ROW()-2)</f>
        <v/>
      </c>
    </row>
    <row r="352" spans="1:52" ht="20.100000000000001" customHeight="1">
      <c r="A3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2" s="25" t="str">
        <f ca="1">IF(NOTA[[#This Row],[NAMA BARANG]]="","",INDEX(NOTA[ID],MATCH(,INDIRECT(ADDRESS(ROW(NOTA[ID]),COLUMN(NOTA[ID]))&amp;":"&amp;ADDRESS(ROW(),COLUMN(NOTA[ID]))),-1)))</f>
        <v/>
      </c>
      <c r="E352" s="33"/>
      <c r="H352" s="34"/>
      <c r="Q352" s="29"/>
      <c r="R352" s="35"/>
      <c r="S352" s="36"/>
      <c r="V352" s="37"/>
      <c r="W352" s="32"/>
      <c r="X352" s="37" t="str">
        <f>IF(NOTA[[#This Row],[HARGA/ CTN]]="",NOTA[[#This Row],[JUMLAH_H]],NOTA[[#This Row],[HARGA/ CTN]]*IF(NOTA[[#This Row],[C]]="",0,NOTA[[#This Row],[C]]))</f>
        <v/>
      </c>
      <c r="Y352" s="37" t="str">
        <f>IF(NOTA[[#This Row],[JUMLAH]]="","",NOTA[[#This Row],[JUMLAH]]*NOTA[[#This Row],[DISC 1]])</f>
        <v/>
      </c>
      <c r="Z352" s="37" t="str">
        <f>IF(NOTA[[#This Row],[JUMLAH]]="","",(NOTA[[#This Row],[JUMLAH]]-NOTA[[#This Row],[DISC 1-]])*NOTA[[#This Row],[DISC 2]])</f>
        <v/>
      </c>
      <c r="AA352" s="37" t="str">
        <f>IF(NOTA[[#This Row],[JUMLAH]]="","",(NOTA[[#This Row],[JUMLAH]]-NOTA[[#This Row],[DISC 1-]]-NOTA[[#This Row],[DISC 2-]])*NOTA[[#This Row],[DISC 3]])</f>
        <v/>
      </c>
      <c r="AB352" s="37" t="str">
        <f>IF(NOTA[[#This Row],[JUMLAH]]="","",NOTA[[#This Row],[DISC 1-]]+NOTA[[#This Row],[DISC 2-]]+NOTA[[#This Row],[DISC 3-]])</f>
        <v/>
      </c>
      <c r="AC352" s="37" t="str">
        <f>IF(NOTA[[#This Row],[JUMLAH]]="","",NOTA[[#This Row],[JUMLAH]]-NOTA[[#This Row],[DISC]])</f>
        <v/>
      </c>
      <c r="AD352" s="37"/>
      <c r="AE3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2" s="37" t="str">
        <f>IF(OR(NOTA[[#This Row],[QTY]]="",NOTA[[#This Row],[HARGA SATUAN]]="",),"",NOTA[[#This Row],[QTY]]*NOTA[[#This Row],[HARGA SATUAN]])</f>
        <v/>
      </c>
      <c r="AI352" s="26" t="str">
        <f ca="1">IF(NOTA[[#This Row],[ID_H]]="","",INDEX(NOTA[TANGGAL],MATCH(,INDIRECT(ADDRESS(ROW(NOTA[TANGGAL]),COLUMN(NOTA[TANGGAL]))&amp;":"&amp;ADDRESS(ROW(),COLUMN(NOTA[TANGGAL]))),-1)))</f>
        <v/>
      </c>
      <c r="AJ352" s="26" t="str">
        <f ca="1">IF(NOTA[[#This Row],[ID_H]]="","",INDEX(NOTA[TGL.NOTA],MATCH(,INDIRECT(ADDRESS(ROW(NOTA[TGL.NOTA]),COLUMN(NOTA[TGL.NOTA]))&amp;":"&amp;ADDRESS(ROW(),COLUMN(NOTA[TGL.NOTA]))),-1)))</f>
        <v/>
      </c>
      <c r="AK352" s="26" t="str">
        <f ca="1">IF(NOTA[[#This Row],[ID_H]]="","",INDEX(NOTA[NO.NOTA],MATCH(NOTA[[#This Row],[ID_H]],NOTA[ID_H],0)))</f>
        <v/>
      </c>
      <c r="AL352" s="28" t="str">
        <f ca="1">IF(NOTA[[#This Row],[NAMA BARANG]]="","",INDEX(NOTA[SUPPLIER],MATCH(,INDIRECT(ADDRESS(ROW(NOTA[ID]),COLUMN(NOTA[ID]))&amp;":"&amp;ADDRESS(ROW(),COLUMN(NOTA[ID]))),-1)))</f>
        <v/>
      </c>
      <c r="AM352" s="28" t="str">
        <f ca="1">IF(NOTA[[#This Row],[ID_H]]="","",IF(NOTA[[#This Row],[FAKTUR]]="",INDIRECT(ADDRESS(ROW()-1,COLUMN())),NOTA[[#This Row],[FAKTUR]]))</f>
        <v/>
      </c>
      <c r="AN352" s="25" t="str">
        <f ca="1">IF(NOTA[[#This Row],[ID]]="","",COUNTIF(NOTA[ID_H],NOTA[[#This Row],[ID_H]]))</f>
        <v/>
      </c>
      <c r="AO352" s="25" t="str">
        <f ca="1">IF(NOTA[[#This Row],[TGL.NOTA]]="",IF(NOTA[[#This Row],[SUPPLIER_H]]="","",AO351),MONTH(NOTA[[#This Row],[TGL.NOTA]]))</f>
        <v/>
      </c>
      <c r="AP3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2" s="25"/>
      <c r="AU352" s="25" t="str">
        <f>IF(NOTA[[#This Row],[CONCAT1]]="","",MATCH(NOTA[[#This Row],[CONCAT1]],[3]!db[NB NOTA_C],0))</f>
        <v/>
      </c>
      <c r="AV352" s="25" t="str">
        <f>IF(NOTA[[#This Row],[QTY/ CTN]]="","",TRUE)</f>
        <v/>
      </c>
      <c r="AW352" s="25" t="str">
        <f ca="1">IF(NOTA[[#This Row],[ID_H]]="","",IF(NOTA[[#This Row],[Column3]]=TRUE,NOTA[[#This Row],[QTY/ CTN]],INDEX([3]!db[QTY/ CTN],NOTA[[#This Row],[//DB]])))</f>
        <v/>
      </c>
      <c r="AX3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2" s="25" t="str">
        <f ca="1">IF(NOTA[[#This Row],[ID_H]]="","",MATCH(NOTA[[#This Row],[NB NOTA_C_QTY]],[3]!db[NB NOTA_C_QTY+F],0))</f>
        <v/>
      </c>
      <c r="AZ352" s="38" t="str">
        <f ca="1">IF(NOTA[[#This Row],[NB NOTA_C_QTY]]="","",ROW()-2)</f>
        <v/>
      </c>
    </row>
    <row r="353" spans="1:52" ht="20.100000000000001" customHeight="1">
      <c r="A3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3" s="25" t="str">
        <f ca="1">IF(NOTA[[#This Row],[NAMA BARANG]]="","",INDEX(NOTA[ID],MATCH(,INDIRECT(ADDRESS(ROW(NOTA[ID]),COLUMN(NOTA[ID]))&amp;":"&amp;ADDRESS(ROW(),COLUMN(NOTA[ID]))),-1)))</f>
        <v/>
      </c>
      <c r="E353" s="33"/>
      <c r="H353" s="34"/>
      <c r="Q353" s="29"/>
      <c r="R353" s="35"/>
      <c r="S353" s="36"/>
      <c r="V353" s="37"/>
      <c r="W353" s="32"/>
      <c r="X353" s="37" t="str">
        <f>IF(NOTA[[#This Row],[HARGA/ CTN]]="",NOTA[[#This Row],[JUMLAH_H]],NOTA[[#This Row],[HARGA/ CTN]]*IF(NOTA[[#This Row],[C]]="",0,NOTA[[#This Row],[C]]))</f>
        <v/>
      </c>
      <c r="Y353" s="37" t="str">
        <f>IF(NOTA[[#This Row],[JUMLAH]]="","",NOTA[[#This Row],[JUMLAH]]*NOTA[[#This Row],[DISC 1]])</f>
        <v/>
      </c>
      <c r="Z353" s="37" t="str">
        <f>IF(NOTA[[#This Row],[JUMLAH]]="","",(NOTA[[#This Row],[JUMLAH]]-NOTA[[#This Row],[DISC 1-]])*NOTA[[#This Row],[DISC 2]])</f>
        <v/>
      </c>
      <c r="AA353" s="37" t="str">
        <f>IF(NOTA[[#This Row],[JUMLAH]]="","",(NOTA[[#This Row],[JUMLAH]]-NOTA[[#This Row],[DISC 1-]]-NOTA[[#This Row],[DISC 2-]])*NOTA[[#This Row],[DISC 3]])</f>
        <v/>
      </c>
      <c r="AB353" s="37" t="str">
        <f>IF(NOTA[[#This Row],[JUMLAH]]="","",NOTA[[#This Row],[DISC 1-]]+NOTA[[#This Row],[DISC 2-]]+NOTA[[#This Row],[DISC 3-]])</f>
        <v/>
      </c>
      <c r="AC353" s="37" t="str">
        <f>IF(NOTA[[#This Row],[JUMLAH]]="","",NOTA[[#This Row],[JUMLAH]]-NOTA[[#This Row],[DISC]])</f>
        <v/>
      </c>
      <c r="AD353" s="37"/>
      <c r="AE3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3" s="37" t="str">
        <f>IF(OR(NOTA[[#This Row],[QTY]]="",NOTA[[#This Row],[HARGA SATUAN]]="",),"",NOTA[[#This Row],[QTY]]*NOTA[[#This Row],[HARGA SATUAN]])</f>
        <v/>
      </c>
      <c r="AI353" s="26" t="str">
        <f ca="1">IF(NOTA[[#This Row],[ID_H]]="","",INDEX(NOTA[TANGGAL],MATCH(,INDIRECT(ADDRESS(ROW(NOTA[TANGGAL]),COLUMN(NOTA[TANGGAL]))&amp;":"&amp;ADDRESS(ROW(),COLUMN(NOTA[TANGGAL]))),-1)))</f>
        <v/>
      </c>
      <c r="AJ353" s="26" t="str">
        <f ca="1">IF(NOTA[[#This Row],[ID_H]]="","",INDEX(NOTA[TGL.NOTA],MATCH(,INDIRECT(ADDRESS(ROW(NOTA[TGL.NOTA]),COLUMN(NOTA[TGL.NOTA]))&amp;":"&amp;ADDRESS(ROW(),COLUMN(NOTA[TGL.NOTA]))),-1)))</f>
        <v/>
      </c>
      <c r="AK353" s="26" t="str">
        <f ca="1">IF(NOTA[[#This Row],[ID_H]]="","",INDEX(NOTA[NO.NOTA],MATCH(NOTA[[#This Row],[ID_H]],NOTA[ID_H],0)))</f>
        <v/>
      </c>
      <c r="AL353" s="28" t="str">
        <f ca="1">IF(NOTA[[#This Row],[NAMA BARANG]]="","",INDEX(NOTA[SUPPLIER],MATCH(,INDIRECT(ADDRESS(ROW(NOTA[ID]),COLUMN(NOTA[ID]))&amp;":"&amp;ADDRESS(ROW(),COLUMN(NOTA[ID]))),-1)))</f>
        <v/>
      </c>
      <c r="AM353" s="28" t="str">
        <f ca="1">IF(NOTA[[#This Row],[ID_H]]="","",IF(NOTA[[#This Row],[FAKTUR]]="",INDIRECT(ADDRESS(ROW()-1,COLUMN())),NOTA[[#This Row],[FAKTUR]]))</f>
        <v/>
      </c>
      <c r="AN353" s="25" t="str">
        <f ca="1">IF(NOTA[[#This Row],[ID]]="","",COUNTIF(NOTA[ID_H],NOTA[[#This Row],[ID_H]]))</f>
        <v/>
      </c>
      <c r="AO353" s="25" t="str">
        <f ca="1">IF(NOTA[[#This Row],[TGL.NOTA]]="",IF(NOTA[[#This Row],[SUPPLIER_H]]="","",AO352),MONTH(NOTA[[#This Row],[TGL.NOTA]]))</f>
        <v/>
      </c>
      <c r="AP3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3" s="25"/>
      <c r="AU353" s="25" t="str">
        <f>IF(NOTA[[#This Row],[CONCAT1]]="","",MATCH(NOTA[[#This Row],[CONCAT1]],[3]!db[NB NOTA_C],0))</f>
        <v/>
      </c>
      <c r="AV353" s="25" t="str">
        <f>IF(NOTA[[#This Row],[QTY/ CTN]]="","",TRUE)</f>
        <v/>
      </c>
      <c r="AW353" s="25" t="str">
        <f ca="1">IF(NOTA[[#This Row],[ID_H]]="","",IF(NOTA[[#This Row],[Column3]]=TRUE,NOTA[[#This Row],[QTY/ CTN]],INDEX([3]!db[QTY/ CTN],NOTA[[#This Row],[//DB]])))</f>
        <v/>
      </c>
      <c r="AX3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3" s="25" t="str">
        <f ca="1">IF(NOTA[[#This Row],[ID_H]]="","",MATCH(NOTA[[#This Row],[NB NOTA_C_QTY]],[3]!db[NB NOTA_C_QTY+F],0))</f>
        <v/>
      </c>
      <c r="AZ353" s="38" t="str">
        <f ca="1">IF(NOTA[[#This Row],[NB NOTA_C_QTY]]="","",ROW()-2)</f>
        <v/>
      </c>
    </row>
    <row r="354" spans="1:52" ht="20.100000000000001" customHeight="1">
      <c r="A3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4" s="25" t="str">
        <f ca="1">IF(NOTA[[#This Row],[NAMA BARANG]]="","",INDEX(NOTA[ID],MATCH(,INDIRECT(ADDRESS(ROW(NOTA[ID]),COLUMN(NOTA[ID]))&amp;":"&amp;ADDRESS(ROW(),COLUMN(NOTA[ID]))),-1)))</f>
        <v/>
      </c>
      <c r="E354" s="33"/>
      <c r="H354" s="34"/>
      <c r="Q354" s="29"/>
      <c r="R354" s="35"/>
      <c r="S354" s="36"/>
      <c r="V354" s="37"/>
      <c r="W354" s="32"/>
      <c r="X354" s="37" t="str">
        <f>IF(NOTA[[#This Row],[HARGA/ CTN]]="",NOTA[[#This Row],[JUMLAH_H]],NOTA[[#This Row],[HARGA/ CTN]]*IF(NOTA[[#This Row],[C]]="",0,NOTA[[#This Row],[C]]))</f>
        <v/>
      </c>
      <c r="Y354" s="37" t="str">
        <f>IF(NOTA[[#This Row],[JUMLAH]]="","",NOTA[[#This Row],[JUMLAH]]*NOTA[[#This Row],[DISC 1]])</f>
        <v/>
      </c>
      <c r="Z354" s="37" t="str">
        <f>IF(NOTA[[#This Row],[JUMLAH]]="","",(NOTA[[#This Row],[JUMLAH]]-NOTA[[#This Row],[DISC 1-]])*NOTA[[#This Row],[DISC 2]])</f>
        <v/>
      </c>
      <c r="AA354" s="37" t="str">
        <f>IF(NOTA[[#This Row],[JUMLAH]]="","",(NOTA[[#This Row],[JUMLAH]]-NOTA[[#This Row],[DISC 1-]]-NOTA[[#This Row],[DISC 2-]])*NOTA[[#This Row],[DISC 3]])</f>
        <v/>
      </c>
      <c r="AB354" s="37" t="str">
        <f>IF(NOTA[[#This Row],[JUMLAH]]="","",NOTA[[#This Row],[DISC 1-]]+NOTA[[#This Row],[DISC 2-]]+NOTA[[#This Row],[DISC 3-]])</f>
        <v/>
      </c>
      <c r="AC354" s="37" t="str">
        <f>IF(NOTA[[#This Row],[JUMLAH]]="","",NOTA[[#This Row],[JUMLAH]]-NOTA[[#This Row],[DISC]])</f>
        <v/>
      </c>
      <c r="AD354" s="37"/>
      <c r="AE3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4" s="37" t="str">
        <f>IF(OR(NOTA[[#This Row],[QTY]]="",NOTA[[#This Row],[HARGA SATUAN]]="",),"",NOTA[[#This Row],[QTY]]*NOTA[[#This Row],[HARGA SATUAN]])</f>
        <v/>
      </c>
      <c r="AI354" s="26" t="str">
        <f ca="1">IF(NOTA[[#This Row],[ID_H]]="","",INDEX(NOTA[TANGGAL],MATCH(,INDIRECT(ADDRESS(ROW(NOTA[TANGGAL]),COLUMN(NOTA[TANGGAL]))&amp;":"&amp;ADDRESS(ROW(),COLUMN(NOTA[TANGGAL]))),-1)))</f>
        <v/>
      </c>
      <c r="AJ354" s="26" t="str">
        <f ca="1">IF(NOTA[[#This Row],[ID_H]]="","",INDEX(NOTA[TGL.NOTA],MATCH(,INDIRECT(ADDRESS(ROW(NOTA[TGL.NOTA]),COLUMN(NOTA[TGL.NOTA]))&amp;":"&amp;ADDRESS(ROW(),COLUMN(NOTA[TGL.NOTA]))),-1)))</f>
        <v/>
      </c>
      <c r="AK354" s="26" t="str">
        <f ca="1">IF(NOTA[[#This Row],[ID_H]]="","",INDEX(NOTA[NO.NOTA],MATCH(NOTA[[#This Row],[ID_H]],NOTA[ID_H],0)))</f>
        <v/>
      </c>
      <c r="AL354" s="28" t="str">
        <f ca="1">IF(NOTA[[#This Row],[NAMA BARANG]]="","",INDEX(NOTA[SUPPLIER],MATCH(,INDIRECT(ADDRESS(ROW(NOTA[ID]),COLUMN(NOTA[ID]))&amp;":"&amp;ADDRESS(ROW(),COLUMN(NOTA[ID]))),-1)))</f>
        <v/>
      </c>
      <c r="AM354" s="28" t="str">
        <f ca="1">IF(NOTA[[#This Row],[ID_H]]="","",IF(NOTA[[#This Row],[FAKTUR]]="",INDIRECT(ADDRESS(ROW()-1,COLUMN())),NOTA[[#This Row],[FAKTUR]]))</f>
        <v/>
      </c>
      <c r="AN354" s="25" t="str">
        <f ca="1">IF(NOTA[[#This Row],[ID]]="","",COUNTIF(NOTA[ID_H],NOTA[[#This Row],[ID_H]]))</f>
        <v/>
      </c>
      <c r="AO354" s="25" t="str">
        <f ca="1">IF(NOTA[[#This Row],[TGL.NOTA]]="",IF(NOTA[[#This Row],[SUPPLIER_H]]="","",AO353),MONTH(NOTA[[#This Row],[TGL.NOTA]]))</f>
        <v/>
      </c>
      <c r="AP3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4" s="25"/>
      <c r="AU354" s="25" t="str">
        <f>IF(NOTA[[#This Row],[CONCAT1]]="","",MATCH(NOTA[[#This Row],[CONCAT1]],[3]!db[NB NOTA_C],0))</f>
        <v/>
      </c>
      <c r="AV354" s="25" t="str">
        <f>IF(NOTA[[#This Row],[QTY/ CTN]]="","",TRUE)</f>
        <v/>
      </c>
      <c r="AW354" s="25" t="str">
        <f ca="1">IF(NOTA[[#This Row],[ID_H]]="","",IF(NOTA[[#This Row],[Column3]]=TRUE,NOTA[[#This Row],[QTY/ CTN]],INDEX([3]!db[QTY/ CTN],NOTA[[#This Row],[//DB]])))</f>
        <v/>
      </c>
      <c r="AX3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4" s="25" t="str">
        <f ca="1">IF(NOTA[[#This Row],[ID_H]]="","",MATCH(NOTA[[#This Row],[NB NOTA_C_QTY]],[3]!db[NB NOTA_C_QTY+F],0))</f>
        <v/>
      </c>
      <c r="AZ354" s="38" t="str">
        <f ca="1">IF(NOTA[[#This Row],[NB NOTA_C_QTY]]="","",ROW()-2)</f>
        <v/>
      </c>
    </row>
    <row r="355" spans="1:52" ht="20.100000000000001" customHeight="1">
      <c r="A3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5" s="25" t="str">
        <f ca="1">IF(NOTA[[#This Row],[NAMA BARANG]]="","",INDEX(NOTA[ID],MATCH(,INDIRECT(ADDRESS(ROW(NOTA[ID]),COLUMN(NOTA[ID]))&amp;":"&amp;ADDRESS(ROW(),COLUMN(NOTA[ID]))),-1)))</f>
        <v/>
      </c>
      <c r="E355" s="33"/>
      <c r="H355" s="34"/>
      <c r="Q355" s="29"/>
      <c r="R355" s="35"/>
      <c r="S355" s="36"/>
      <c r="V355" s="37"/>
      <c r="W355" s="32"/>
      <c r="X355" s="37" t="str">
        <f>IF(NOTA[[#This Row],[HARGA/ CTN]]="",NOTA[[#This Row],[JUMLAH_H]],NOTA[[#This Row],[HARGA/ CTN]]*IF(NOTA[[#This Row],[C]]="",0,NOTA[[#This Row],[C]]))</f>
        <v/>
      </c>
      <c r="Y355" s="37" t="str">
        <f>IF(NOTA[[#This Row],[JUMLAH]]="","",NOTA[[#This Row],[JUMLAH]]*NOTA[[#This Row],[DISC 1]])</f>
        <v/>
      </c>
      <c r="Z355" s="37" t="str">
        <f>IF(NOTA[[#This Row],[JUMLAH]]="","",(NOTA[[#This Row],[JUMLAH]]-NOTA[[#This Row],[DISC 1-]])*NOTA[[#This Row],[DISC 2]])</f>
        <v/>
      </c>
      <c r="AA355" s="37" t="str">
        <f>IF(NOTA[[#This Row],[JUMLAH]]="","",(NOTA[[#This Row],[JUMLAH]]-NOTA[[#This Row],[DISC 1-]]-NOTA[[#This Row],[DISC 2-]])*NOTA[[#This Row],[DISC 3]])</f>
        <v/>
      </c>
      <c r="AB355" s="37" t="str">
        <f>IF(NOTA[[#This Row],[JUMLAH]]="","",NOTA[[#This Row],[DISC 1-]]+NOTA[[#This Row],[DISC 2-]]+NOTA[[#This Row],[DISC 3-]])</f>
        <v/>
      </c>
      <c r="AC355" s="37" t="str">
        <f>IF(NOTA[[#This Row],[JUMLAH]]="","",NOTA[[#This Row],[JUMLAH]]-NOTA[[#This Row],[DISC]])</f>
        <v/>
      </c>
      <c r="AD355" s="37"/>
      <c r="AE3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5" s="37" t="str">
        <f>IF(OR(NOTA[[#This Row],[QTY]]="",NOTA[[#This Row],[HARGA SATUAN]]="",),"",NOTA[[#This Row],[QTY]]*NOTA[[#This Row],[HARGA SATUAN]])</f>
        <v/>
      </c>
      <c r="AI355" s="26" t="str">
        <f ca="1">IF(NOTA[[#This Row],[ID_H]]="","",INDEX(NOTA[TANGGAL],MATCH(,INDIRECT(ADDRESS(ROW(NOTA[TANGGAL]),COLUMN(NOTA[TANGGAL]))&amp;":"&amp;ADDRESS(ROW(),COLUMN(NOTA[TANGGAL]))),-1)))</f>
        <v/>
      </c>
      <c r="AJ355" s="26" t="str">
        <f ca="1">IF(NOTA[[#This Row],[ID_H]]="","",INDEX(NOTA[TGL.NOTA],MATCH(,INDIRECT(ADDRESS(ROW(NOTA[TGL.NOTA]),COLUMN(NOTA[TGL.NOTA]))&amp;":"&amp;ADDRESS(ROW(),COLUMN(NOTA[TGL.NOTA]))),-1)))</f>
        <v/>
      </c>
      <c r="AK355" s="26" t="str">
        <f ca="1">IF(NOTA[[#This Row],[ID_H]]="","",INDEX(NOTA[NO.NOTA],MATCH(NOTA[[#This Row],[ID_H]],NOTA[ID_H],0)))</f>
        <v/>
      </c>
      <c r="AL355" s="28" t="str">
        <f ca="1">IF(NOTA[[#This Row],[NAMA BARANG]]="","",INDEX(NOTA[SUPPLIER],MATCH(,INDIRECT(ADDRESS(ROW(NOTA[ID]),COLUMN(NOTA[ID]))&amp;":"&amp;ADDRESS(ROW(),COLUMN(NOTA[ID]))),-1)))</f>
        <v/>
      </c>
      <c r="AM355" s="28" t="str">
        <f ca="1">IF(NOTA[[#This Row],[ID_H]]="","",IF(NOTA[[#This Row],[FAKTUR]]="",INDIRECT(ADDRESS(ROW()-1,COLUMN())),NOTA[[#This Row],[FAKTUR]]))</f>
        <v/>
      </c>
      <c r="AN355" s="25" t="str">
        <f ca="1">IF(NOTA[[#This Row],[ID]]="","",COUNTIF(NOTA[ID_H],NOTA[[#This Row],[ID_H]]))</f>
        <v/>
      </c>
      <c r="AO355" s="25" t="str">
        <f ca="1">IF(NOTA[[#This Row],[TGL.NOTA]]="",IF(NOTA[[#This Row],[SUPPLIER_H]]="","",AO354),MONTH(NOTA[[#This Row],[TGL.NOTA]]))</f>
        <v/>
      </c>
      <c r="AP3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5" s="25"/>
      <c r="AU355" s="25" t="str">
        <f>IF(NOTA[[#This Row],[CONCAT1]]="","",MATCH(NOTA[[#This Row],[CONCAT1]],[3]!db[NB NOTA_C],0))</f>
        <v/>
      </c>
      <c r="AV355" s="25" t="str">
        <f>IF(NOTA[[#This Row],[QTY/ CTN]]="","",TRUE)</f>
        <v/>
      </c>
      <c r="AW355" s="25" t="str">
        <f ca="1">IF(NOTA[[#This Row],[ID_H]]="","",IF(NOTA[[#This Row],[Column3]]=TRUE,NOTA[[#This Row],[QTY/ CTN]],INDEX([3]!db[QTY/ CTN],NOTA[[#This Row],[//DB]])))</f>
        <v/>
      </c>
      <c r="AX3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5" s="25" t="str">
        <f ca="1">IF(NOTA[[#This Row],[ID_H]]="","",MATCH(NOTA[[#This Row],[NB NOTA_C_QTY]],[3]!db[NB NOTA_C_QTY+F],0))</f>
        <v/>
      </c>
      <c r="AZ355" s="38" t="str">
        <f ca="1">IF(NOTA[[#This Row],[NB NOTA_C_QTY]]="","",ROW()-2)</f>
        <v/>
      </c>
    </row>
    <row r="356" spans="1:52" ht="20.100000000000001" customHeight="1">
      <c r="A3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6" s="25" t="str">
        <f ca="1">IF(NOTA[[#This Row],[NAMA BARANG]]="","",INDEX(NOTA[ID],MATCH(,INDIRECT(ADDRESS(ROW(NOTA[ID]),COLUMN(NOTA[ID]))&amp;":"&amp;ADDRESS(ROW(),COLUMN(NOTA[ID]))),-1)))</f>
        <v/>
      </c>
      <c r="E356" s="33"/>
      <c r="H356" s="34"/>
      <c r="Q356" s="29"/>
      <c r="R356" s="35"/>
      <c r="S356" s="36"/>
      <c r="V356" s="37"/>
      <c r="W356" s="32"/>
      <c r="X356" s="37" t="str">
        <f>IF(NOTA[[#This Row],[HARGA/ CTN]]="",NOTA[[#This Row],[JUMLAH_H]],NOTA[[#This Row],[HARGA/ CTN]]*IF(NOTA[[#This Row],[C]]="",0,NOTA[[#This Row],[C]]))</f>
        <v/>
      </c>
      <c r="Y356" s="37" t="str">
        <f>IF(NOTA[[#This Row],[JUMLAH]]="","",NOTA[[#This Row],[JUMLAH]]*NOTA[[#This Row],[DISC 1]])</f>
        <v/>
      </c>
      <c r="Z356" s="37" t="str">
        <f>IF(NOTA[[#This Row],[JUMLAH]]="","",(NOTA[[#This Row],[JUMLAH]]-NOTA[[#This Row],[DISC 1-]])*NOTA[[#This Row],[DISC 2]])</f>
        <v/>
      </c>
      <c r="AA356" s="37" t="str">
        <f>IF(NOTA[[#This Row],[JUMLAH]]="","",(NOTA[[#This Row],[JUMLAH]]-NOTA[[#This Row],[DISC 1-]]-NOTA[[#This Row],[DISC 2-]])*NOTA[[#This Row],[DISC 3]])</f>
        <v/>
      </c>
      <c r="AB356" s="37" t="str">
        <f>IF(NOTA[[#This Row],[JUMLAH]]="","",NOTA[[#This Row],[DISC 1-]]+NOTA[[#This Row],[DISC 2-]]+NOTA[[#This Row],[DISC 3-]])</f>
        <v/>
      </c>
      <c r="AC356" s="37" t="str">
        <f>IF(NOTA[[#This Row],[JUMLAH]]="","",NOTA[[#This Row],[JUMLAH]]-NOTA[[#This Row],[DISC]])</f>
        <v/>
      </c>
      <c r="AD356" s="37"/>
      <c r="AE3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6" s="37" t="str">
        <f>IF(OR(NOTA[[#This Row],[QTY]]="",NOTA[[#This Row],[HARGA SATUAN]]="",),"",NOTA[[#This Row],[QTY]]*NOTA[[#This Row],[HARGA SATUAN]])</f>
        <v/>
      </c>
      <c r="AI356" s="26" t="str">
        <f ca="1">IF(NOTA[[#This Row],[ID_H]]="","",INDEX(NOTA[TANGGAL],MATCH(,INDIRECT(ADDRESS(ROW(NOTA[TANGGAL]),COLUMN(NOTA[TANGGAL]))&amp;":"&amp;ADDRESS(ROW(),COLUMN(NOTA[TANGGAL]))),-1)))</f>
        <v/>
      </c>
      <c r="AJ356" s="26" t="str">
        <f ca="1">IF(NOTA[[#This Row],[ID_H]]="","",INDEX(NOTA[TGL.NOTA],MATCH(,INDIRECT(ADDRESS(ROW(NOTA[TGL.NOTA]),COLUMN(NOTA[TGL.NOTA]))&amp;":"&amp;ADDRESS(ROW(),COLUMN(NOTA[TGL.NOTA]))),-1)))</f>
        <v/>
      </c>
      <c r="AK356" s="26" t="str">
        <f ca="1">IF(NOTA[[#This Row],[ID_H]]="","",INDEX(NOTA[NO.NOTA],MATCH(NOTA[[#This Row],[ID_H]],NOTA[ID_H],0)))</f>
        <v/>
      </c>
      <c r="AL356" s="28" t="str">
        <f ca="1">IF(NOTA[[#This Row],[NAMA BARANG]]="","",INDEX(NOTA[SUPPLIER],MATCH(,INDIRECT(ADDRESS(ROW(NOTA[ID]),COLUMN(NOTA[ID]))&amp;":"&amp;ADDRESS(ROW(),COLUMN(NOTA[ID]))),-1)))</f>
        <v/>
      </c>
      <c r="AM356" s="28" t="str">
        <f ca="1">IF(NOTA[[#This Row],[ID_H]]="","",IF(NOTA[[#This Row],[FAKTUR]]="",INDIRECT(ADDRESS(ROW()-1,COLUMN())),NOTA[[#This Row],[FAKTUR]]))</f>
        <v/>
      </c>
      <c r="AN356" s="25" t="str">
        <f ca="1">IF(NOTA[[#This Row],[ID]]="","",COUNTIF(NOTA[ID_H],NOTA[[#This Row],[ID_H]]))</f>
        <v/>
      </c>
      <c r="AO356" s="25" t="str">
        <f ca="1">IF(NOTA[[#This Row],[TGL.NOTA]]="",IF(NOTA[[#This Row],[SUPPLIER_H]]="","",AO355),MONTH(NOTA[[#This Row],[TGL.NOTA]]))</f>
        <v/>
      </c>
      <c r="AP3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6" s="25"/>
      <c r="AU356" s="25" t="str">
        <f>IF(NOTA[[#This Row],[CONCAT1]]="","",MATCH(NOTA[[#This Row],[CONCAT1]],[3]!db[NB NOTA_C],0))</f>
        <v/>
      </c>
      <c r="AV356" s="25" t="str">
        <f>IF(NOTA[[#This Row],[QTY/ CTN]]="","",TRUE)</f>
        <v/>
      </c>
      <c r="AW356" s="25" t="str">
        <f ca="1">IF(NOTA[[#This Row],[ID_H]]="","",IF(NOTA[[#This Row],[Column3]]=TRUE,NOTA[[#This Row],[QTY/ CTN]],INDEX([3]!db[QTY/ CTN],NOTA[[#This Row],[//DB]])))</f>
        <v/>
      </c>
      <c r="AX3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6" s="25" t="str">
        <f ca="1">IF(NOTA[[#This Row],[ID_H]]="","",MATCH(NOTA[[#This Row],[NB NOTA_C_QTY]],[3]!db[NB NOTA_C_QTY+F],0))</f>
        <v/>
      </c>
      <c r="AZ356" s="38" t="str">
        <f ca="1">IF(NOTA[[#This Row],[NB NOTA_C_QTY]]="","",ROW()-2)</f>
        <v/>
      </c>
    </row>
    <row r="357" spans="1:52" ht="20.100000000000001" customHeight="1">
      <c r="A3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7" s="25" t="str">
        <f ca="1">IF(NOTA[[#This Row],[NAMA BARANG]]="","",INDEX(NOTA[ID],MATCH(,INDIRECT(ADDRESS(ROW(NOTA[ID]),COLUMN(NOTA[ID]))&amp;":"&amp;ADDRESS(ROW(),COLUMN(NOTA[ID]))),-1)))</f>
        <v/>
      </c>
      <c r="E357" s="33"/>
      <c r="H357" s="34"/>
      <c r="Q357" s="29"/>
      <c r="R357" s="35"/>
      <c r="S357" s="36"/>
      <c r="V357" s="37"/>
      <c r="W357" s="32"/>
      <c r="X357" s="37" t="str">
        <f>IF(NOTA[[#This Row],[HARGA/ CTN]]="",NOTA[[#This Row],[JUMLAH_H]],NOTA[[#This Row],[HARGA/ CTN]]*IF(NOTA[[#This Row],[C]]="",0,NOTA[[#This Row],[C]]))</f>
        <v/>
      </c>
      <c r="Y357" s="37" t="str">
        <f>IF(NOTA[[#This Row],[JUMLAH]]="","",NOTA[[#This Row],[JUMLAH]]*NOTA[[#This Row],[DISC 1]])</f>
        <v/>
      </c>
      <c r="Z357" s="37" t="str">
        <f>IF(NOTA[[#This Row],[JUMLAH]]="","",(NOTA[[#This Row],[JUMLAH]]-NOTA[[#This Row],[DISC 1-]])*NOTA[[#This Row],[DISC 2]])</f>
        <v/>
      </c>
      <c r="AA357" s="37" t="str">
        <f>IF(NOTA[[#This Row],[JUMLAH]]="","",(NOTA[[#This Row],[JUMLAH]]-NOTA[[#This Row],[DISC 1-]]-NOTA[[#This Row],[DISC 2-]])*NOTA[[#This Row],[DISC 3]])</f>
        <v/>
      </c>
      <c r="AB357" s="37" t="str">
        <f>IF(NOTA[[#This Row],[JUMLAH]]="","",NOTA[[#This Row],[DISC 1-]]+NOTA[[#This Row],[DISC 2-]]+NOTA[[#This Row],[DISC 3-]])</f>
        <v/>
      </c>
      <c r="AC357" s="37" t="str">
        <f>IF(NOTA[[#This Row],[JUMLAH]]="","",NOTA[[#This Row],[JUMLAH]]-NOTA[[#This Row],[DISC]])</f>
        <v/>
      </c>
      <c r="AD357" s="37"/>
      <c r="AE3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7" s="37" t="str">
        <f>IF(OR(NOTA[[#This Row],[QTY]]="",NOTA[[#This Row],[HARGA SATUAN]]="",),"",NOTA[[#This Row],[QTY]]*NOTA[[#This Row],[HARGA SATUAN]])</f>
        <v/>
      </c>
      <c r="AI357" s="26" t="str">
        <f ca="1">IF(NOTA[[#This Row],[ID_H]]="","",INDEX(NOTA[TANGGAL],MATCH(,INDIRECT(ADDRESS(ROW(NOTA[TANGGAL]),COLUMN(NOTA[TANGGAL]))&amp;":"&amp;ADDRESS(ROW(),COLUMN(NOTA[TANGGAL]))),-1)))</f>
        <v/>
      </c>
      <c r="AJ357" s="26" t="str">
        <f ca="1">IF(NOTA[[#This Row],[ID_H]]="","",INDEX(NOTA[TGL.NOTA],MATCH(,INDIRECT(ADDRESS(ROW(NOTA[TGL.NOTA]),COLUMN(NOTA[TGL.NOTA]))&amp;":"&amp;ADDRESS(ROW(),COLUMN(NOTA[TGL.NOTA]))),-1)))</f>
        <v/>
      </c>
      <c r="AK357" s="26" t="str">
        <f ca="1">IF(NOTA[[#This Row],[ID_H]]="","",INDEX(NOTA[NO.NOTA],MATCH(NOTA[[#This Row],[ID_H]],NOTA[ID_H],0)))</f>
        <v/>
      </c>
      <c r="AL357" s="28" t="str">
        <f ca="1">IF(NOTA[[#This Row],[NAMA BARANG]]="","",INDEX(NOTA[SUPPLIER],MATCH(,INDIRECT(ADDRESS(ROW(NOTA[ID]),COLUMN(NOTA[ID]))&amp;":"&amp;ADDRESS(ROW(),COLUMN(NOTA[ID]))),-1)))</f>
        <v/>
      </c>
      <c r="AM357" s="28" t="str">
        <f ca="1">IF(NOTA[[#This Row],[ID_H]]="","",IF(NOTA[[#This Row],[FAKTUR]]="",INDIRECT(ADDRESS(ROW()-1,COLUMN())),NOTA[[#This Row],[FAKTUR]]))</f>
        <v/>
      </c>
      <c r="AN357" s="25" t="str">
        <f ca="1">IF(NOTA[[#This Row],[ID]]="","",COUNTIF(NOTA[ID_H],NOTA[[#This Row],[ID_H]]))</f>
        <v/>
      </c>
      <c r="AO357" s="25" t="str">
        <f ca="1">IF(NOTA[[#This Row],[TGL.NOTA]]="",IF(NOTA[[#This Row],[SUPPLIER_H]]="","",AO356),MONTH(NOTA[[#This Row],[TGL.NOTA]]))</f>
        <v/>
      </c>
      <c r="AP3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7" s="25"/>
      <c r="AU357" s="25" t="str">
        <f>IF(NOTA[[#This Row],[CONCAT1]]="","",MATCH(NOTA[[#This Row],[CONCAT1]],[3]!db[NB NOTA_C],0))</f>
        <v/>
      </c>
      <c r="AV357" s="25" t="str">
        <f>IF(NOTA[[#This Row],[QTY/ CTN]]="","",TRUE)</f>
        <v/>
      </c>
      <c r="AW357" s="25" t="str">
        <f ca="1">IF(NOTA[[#This Row],[ID_H]]="","",IF(NOTA[[#This Row],[Column3]]=TRUE,NOTA[[#This Row],[QTY/ CTN]],INDEX([3]!db[QTY/ CTN],NOTA[[#This Row],[//DB]])))</f>
        <v/>
      </c>
      <c r="AX3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7" s="25" t="str">
        <f ca="1">IF(NOTA[[#This Row],[ID_H]]="","",MATCH(NOTA[[#This Row],[NB NOTA_C_QTY]],[3]!db[NB NOTA_C_QTY+F],0))</f>
        <v/>
      </c>
      <c r="AZ357" s="38" t="str">
        <f ca="1">IF(NOTA[[#This Row],[NB NOTA_C_QTY]]="","",ROW()-2)</f>
        <v/>
      </c>
    </row>
    <row r="358" spans="1:52" ht="20.100000000000001" customHeight="1">
      <c r="A3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8" s="25" t="str">
        <f ca="1">IF(NOTA[[#This Row],[NAMA BARANG]]="","",INDEX(NOTA[ID],MATCH(,INDIRECT(ADDRESS(ROW(NOTA[ID]),COLUMN(NOTA[ID]))&amp;":"&amp;ADDRESS(ROW(),COLUMN(NOTA[ID]))),-1)))</f>
        <v/>
      </c>
      <c r="E358" s="33"/>
      <c r="H358" s="34"/>
      <c r="Q358" s="29"/>
      <c r="R358" s="35"/>
      <c r="S358" s="36"/>
      <c r="V358" s="37"/>
      <c r="W358" s="32"/>
      <c r="X358" s="37" t="str">
        <f>IF(NOTA[[#This Row],[HARGA/ CTN]]="",NOTA[[#This Row],[JUMLAH_H]],NOTA[[#This Row],[HARGA/ CTN]]*IF(NOTA[[#This Row],[C]]="",0,NOTA[[#This Row],[C]]))</f>
        <v/>
      </c>
      <c r="Y358" s="37" t="str">
        <f>IF(NOTA[[#This Row],[JUMLAH]]="","",NOTA[[#This Row],[JUMLAH]]*NOTA[[#This Row],[DISC 1]])</f>
        <v/>
      </c>
      <c r="Z358" s="37" t="str">
        <f>IF(NOTA[[#This Row],[JUMLAH]]="","",(NOTA[[#This Row],[JUMLAH]]-NOTA[[#This Row],[DISC 1-]])*NOTA[[#This Row],[DISC 2]])</f>
        <v/>
      </c>
      <c r="AA358" s="37" t="str">
        <f>IF(NOTA[[#This Row],[JUMLAH]]="","",(NOTA[[#This Row],[JUMLAH]]-NOTA[[#This Row],[DISC 1-]]-NOTA[[#This Row],[DISC 2-]])*NOTA[[#This Row],[DISC 3]])</f>
        <v/>
      </c>
      <c r="AB358" s="37" t="str">
        <f>IF(NOTA[[#This Row],[JUMLAH]]="","",NOTA[[#This Row],[DISC 1-]]+NOTA[[#This Row],[DISC 2-]]+NOTA[[#This Row],[DISC 3-]])</f>
        <v/>
      </c>
      <c r="AC358" s="37" t="str">
        <f>IF(NOTA[[#This Row],[JUMLAH]]="","",NOTA[[#This Row],[JUMLAH]]-NOTA[[#This Row],[DISC]])</f>
        <v/>
      </c>
      <c r="AD358" s="37"/>
      <c r="AE3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8" s="37" t="str">
        <f>IF(OR(NOTA[[#This Row],[QTY]]="",NOTA[[#This Row],[HARGA SATUAN]]="",),"",NOTA[[#This Row],[QTY]]*NOTA[[#This Row],[HARGA SATUAN]])</f>
        <v/>
      </c>
      <c r="AI358" s="26" t="str">
        <f ca="1">IF(NOTA[[#This Row],[ID_H]]="","",INDEX(NOTA[TANGGAL],MATCH(,INDIRECT(ADDRESS(ROW(NOTA[TANGGAL]),COLUMN(NOTA[TANGGAL]))&amp;":"&amp;ADDRESS(ROW(),COLUMN(NOTA[TANGGAL]))),-1)))</f>
        <v/>
      </c>
      <c r="AJ358" s="26" t="str">
        <f ca="1">IF(NOTA[[#This Row],[ID_H]]="","",INDEX(NOTA[TGL.NOTA],MATCH(,INDIRECT(ADDRESS(ROW(NOTA[TGL.NOTA]),COLUMN(NOTA[TGL.NOTA]))&amp;":"&amp;ADDRESS(ROW(),COLUMN(NOTA[TGL.NOTA]))),-1)))</f>
        <v/>
      </c>
      <c r="AK358" s="26" t="str">
        <f ca="1">IF(NOTA[[#This Row],[ID_H]]="","",INDEX(NOTA[NO.NOTA],MATCH(NOTA[[#This Row],[ID_H]],NOTA[ID_H],0)))</f>
        <v/>
      </c>
      <c r="AL358" s="28" t="str">
        <f ca="1">IF(NOTA[[#This Row],[NAMA BARANG]]="","",INDEX(NOTA[SUPPLIER],MATCH(,INDIRECT(ADDRESS(ROW(NOTA[ID]),COLUMN(NOTA[ID]))&amp;":"&amp;ADDRESS(ROW(),COLUMN(NOTA[ID]))),-1)))</f>
        <v/>
      </c>
      <c r="AM358" s="28" t="str">
        <f ca="1">IF(NOTA[[#This Row],[ID_H]]="","",IF(NOTA[[#This Row],[FAKTUR]]="",INDIRECT(ADDRESS(ROW()-1,COLUMN())),NOTA[[#This Row],[FAKTUR]]))</f>
        <v/>
      </c>
      <c r="AN358" s="25" t="str">
        <f ca="1">IF(NOTA[[#This Row],[ID]]="","",COUNTIF(NOTA[ID_H],NOTA[[#This Row],[ID_H]]))</f>
        <v/>
      </c>
      <c r="AO358" s="25" t="str">
        <f ca="1">IF(NOTA[[#This Row],[TGL.NOTA]]="",IF(NOTA[[#This Row],[SUPPLIER_H]]="","",AO357),MONTH(NOTA[[#This Row],[TGL.NOTA]]))</f>
        <v/>
      </c>
      <c r="AP3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8" s="25"/>
      <c r="AU358" s="25" t="str">
        <f>IF(NOTA[[#This Row],[CONCAT1]]="","",MATCH(NOTA[[#This Row],[CONCAT1]],[3]!db[NB NOTA_C],0))</f>
        <v/>
      </c>
      <c r="AV358" s="25" t="str">
        <f>IF(NOTA[[#This Row],[QTY/ CTN]]="","",TRUE)</f>
        <v/>
      </c>
      <c r="AW358" s="25" t="str">
        <f ca="1">IF(NOTA[[#This Row],[ID_H]]="","",IF(NOTA[[#This Row],[Column3]]=TRUE,NOTA[[#This Row],[QTY/ CTN]],INDEX([3]!db[QTY/ CTN],NOTA[[#This Row],[//DB]])))</f>
        <v/>
      </c>
      <c r="AX3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8" s="25" t="str">
        <f ca="1">IF(NOTA[[#This Row],[ID_H]]="","",MATCH(NOTA[[#This Row],[NB NOTA_C_QTY]],[3]!db[NB NOTA_C_QTY+F],0))</f>
        <v/>
      </c>
      <c r="AZ358" s="38" t="str">
        <f ca="1">IF(NOTA[[#This Row],[NB NOTA_C_QTY]]="","",ROW()-2)</f>
        <v/>
      </c>
    </row>
    <row r="359" spans="1:52" ht="20.100000000000001" customHeight="1">
      <c r="A3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9" s="25" t="str">
        <f ca="1">IF(NOTA[[#This Row],[NAMA BARANG]]="","",INDEX(NOTA[ID],MATCH(,INDIRECT(ADDRESS(ROW(NOTA[ID]),COLUMN(NOTA[ID]))&amp;":"&amp;ADDRESS(ROW(),COLUMN(NOTA[ID]))),-1)))</f>
        <v/>
      </c>
      <c r="E359" s="33"/>
      <c r="H359" s="34"/>
      <c r="Q359" s="29"/>
      <c r="R359" s="35"/>
      <c r="S359" s="36"/>
      <c r="V359" s="37"/>
      <c r="W359" s="32"/>
      <c r="X359" s="37" t="str">
        <f>IF(NOTA[[#This Row],[HARGA/ CTN]]="",NOTA[[#This Row],[JUMLAH_H]],NOTA[[#This Row],[HARGA/ CTN]]*IF(NOTA[[#This Row],[C]]="",0,NOTA[[#This Row],[C]]))</f>
        <v/>
      </c>
      <c r="Y359" s="37" t="str">
        <f>IF(NOTA[[#This Row],[JUMLAH]]="","",NOTA[[#This Row],[JUMLAH]]*NOTA[[#This Row],[DISC 1]])</f>
        <v/>
      </c>
      <c r="Z359" s="37" t="str">
        <f>IF(NOTA[[#This Row],[JUMLAH]]="","",(NOTA[[#This Row],[JUMLAH]]-NOTA[[#This Row],[DISC 1-]])*NOTA[[#This Row],[DISC 2]])</f>
        <v/>
      </c>
      <c r="AA359" s="37" t="str">
        <f>IF(NOTA[[#This Row],[JUMLAH]]="","",(NOTA[[#This Row],[JUMLAH]]-NOTA[[#This Row],[DISC 1-]]-NOTA[[#This Row],[DISC 2-]])*NOTA[[#This Row],[DISC 3]])</f>
        <v/>
      </c>
      <c r="AB359" s="37" t="str">
        <f>IF(NOTA[[#This Row],[JUMLAH]]="","",NOTA[[#This Row],[DISC 1-]]+NOTA[[#This Row],[DISC 2-]]+NOTA[[#This Row],[DISC 3-]])</f>
        <v/>
      </c>
      <c r="AC359" s="37" t="str">
        <f>IF(NOTA[[#This Row],[JUMLAH]]="","",NOTA[[#This Row],[JUMLAH]]-NOTA[[#This Row],[DISC]])</f>
        <v/>
      </c>
      <c r="AD359" s="37"/>
      <c r="AE3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9" s="37" t="str">
        <f>IF(OR(NOTA[[#This Row],[QTY]]="",NOTA[[#This Row],[HARGA SATUAN]]="",),"",NOTA[[#This Row],[QTY]]*NOTA[[#This Row],[HARGA SATUAN]])</f>
        <v/>
      </c>
      <c r="AI359" s="26" t="str">
        <f ca="1">IF(NOTA[[#This Row],[ID_H]]="","",INDEX(NOTA[TANGGAL],MATCH(,INDIRECT(ADDRESS(ROW(NOTA[TANGGAL]),COLUMN(NOTA[TANGGAL]))&amp;":"&amp;ADDRESS(ROW(),COLUMN(NOTA[TANGGAL]))),-1)))</f>
        <v/>
      </c>
      <c r="AJ359" s="26" t="str">
        <f ca="1">IF(NOTA[[#This Row],[ID_H]]="","",INDEX(NOTA[TGL.NOTA],MATCH(,INDIRECT(ADDRESS(ROW(NOTA[TGL.NOTA]),COLUMN(NOTA[TGL.NOTA]))&amp;":"&amp;ADDRESS(ROW(),COLUMN(NOTA[TGL.NOTA]))),-1)))</f>
        <v/>
      </c>
      <c r="AK359" s="26" t="str">
        <f ca="1">IF(NOTA[[#This Row],[ID_H]]="","",INDEX(NOTA[NO.NOTA],MATCH(NOTA[[#This Row],[ID_H]],NOTA[ID_H],0)))</f>
        <v/>
      </c>
      <c r="AL359" s="28" t="str">
        <f ca="1">IF(NOTA[[#This Row],[NAMA BARANG]]="","",INDEX(NOTA[SUPPLIER],MATCH(,INDIRECT(ADDRESS(ROW(NOTA[ID]),COLUMN(NOTA[ID]))&amp;":"&amp;ADDRESS(ROW(),COLUMN(NOTA[ID]))),-1)))</f>
        <v/>
      </c>
      <c r="AM359" s="28" t="str">
        <f ca="1">IF(NOTA[[#This Row],[ID_H]]="","",IF(NOTA[[#This Row],[FAKTUR]]="",INDIRECT(ADDRESS(ROW()-1,COLUMN())),NOTA[[#This Row],[FAKTUR]]))</f>
        <v/>
      </c>
      <c r="AN359" s="25" t="str">
        <f ca="1">IF(NOTA[[#This Row],[ID]]="","",COUNTIF(NOTA[ID_H],NOTA[[#This Row],[ID_H]]))</f>
        <v/>
      </c>
      <c r="AO359" s="25" t="str">
        <f ca="1">IF(NOTA[[#This Row],[TGL.NOTA]]="",IF(NOTA[[#This Row],[SUPPLIER_H]]="","",AO358),MONTH(NOTA[[#This Row],[TGL.NOTA]]))</f>
        <v/>
      </c>
      <c r="AP3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9" s="25"/>
      <c r="AU359" s="25" t="str">
        <f>IF(NOTA[[#This Row],[CONCAT1]]="","",MATCH(NOTA[[#This Row],[CONCAT1]],[3]!db[NB NOTA_C],0))</f>
        <v/>
      </c>
      <c r="AV359" s="25" t="str">
        <f>IF(NOTA[[#This Row],[QTY/ CTN]]="","",TRUE)</f>
        <v/>
      </c>
      <c r="AW359" s="25" t="str">
        <f ca="1">IF(NOTA[[#This Row],[ID_H]]="","",IF(NOTA[[#This Row],[Column3]]=TRUE,NOTA[[#This Row],[QTY/ CTN]],INDEX([3]!db[QTY/ CTN],NOTA[[#This Row],[//DB]])))</f>
        <v/>
      </c>
      <c r="AX3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9" s="25" t="str">
        <f ca="1">IF(NOTA[[#This Row],[ID_H]]="","",MATCH(NOTA[[#This Row],[NB NOTA_C_QTY]],[3]!db[NB NOTA_C_QTY+F],0))</f>
        <v/>
      </c>
      <c r="AZ359" s="38" t="str">
        <f ca="1">IF(NOTA[[#This Row],[NB NOTA_C_QTY]]="","",ROW()-2)</f>
        <v/>
      </c>
    </row>
    <row r="360" spans="1:52" ht="20.100000000000001" customHeight="1">
      <c r="A3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0" s="25" t="str">
        <f ca="1">IF(NOTA[[#This Row],[NAMA BARANG]]="","",INDEX(NOTA[ID],MATCH(,INDIRECT(ADDRESS(ROW(NOTA[ID]),COLUMN(NOTA[ID]))&amp;":"&amp;ADDRESS(ROW(),COLUMN(NOTA[ID]))),-1)))</f>
        <v/>
      </c>
      <c r="E360" s="33"/>
      <c r="H360" s="34"/>
      <c r="Q360" s="29"/>
      <c r="R360" s="35"/>
      <c r="S360" s="36"/>
      <c r="V360" s="37"/>
      <c r="W360" s="32"/>
      <c r="X360" s="37" t="str">
        <f>IF(NOTA[[#This Row],[HARGA/ CTN]]="",NOTA[[#This Row],[JUMLAH_H]],NOTA[[#This Row],[HARGA/ CTN]]*IF(NOTA[[#This Row],[C]]="",0,NOTA[[#This Row],[C]]))</f>
        <v/>
      </c>
      <c r="Y360" s="37" t="str">
        <f>IF(NOTA[[#This Row],[JUMLAH]]="","",NOTA[[#This Row],[JUMLAH]]*NOTA[[#This Row],[DISC 1]])</f>
        <v/>
      </c>
      <c r="Z360" s="37" t="str">
        <f>IF(NOTA[[#This Row],[JUMLAH]]="","",(NOTA[[#This Row],[JUMLAH]]-NOTA[[#This Row],[DISC 1-]])*NOTA[[#This Row],[DISC 2]])</f>
        <v/>
      </c>
      <c r="AA360" s="37" t="str">
        <f>IF(NOTA[[#This Row],[JUMLAH]]="","",(NOTA[[#This Row],[JUMLAH]]-NOTA[[#This Row],[DISC 1-]]-NOTA[[#This Row],[DISC 2-]])*NOTA[[#This Row],[DISC 3]])</f>
        <v/>
      </c>
      <c r="AB360" s="37" t="str">
        <f>IF(NOTA[[#This Row],[JUMLAH]]="","",NOTA[[#This Row],[DISC 1-]]+NOTA[[#This Row],[DISC 2-]]+NOTA[[#This Row],[DISC 3-]])</f>
        <v/>
      </c>
      <c r="AC360" s="37" t="str">
        <f>IF(NOTA[[#This Row],[JUMLAH]]="","",NOTA[[#This Row],[JUMLAH]]-NOTA[[#This Row],[DISC]])</f>
        <v/>
      </c>
      <c r="AD360" s="37"/>
      <c r="AE3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0" s="37" t="str">
        <f>IF(OR(NOTA[[#This Row],[QTY]]="",NOTA[[#This Row],[HARGA SATUAN]]="",),"",NOTA[[#This Row],[QTY]]*NOTA[[#This Row],[HARGA SATUAN]])</f>
        <v/>
      </c>
      <c r="AI360" s="26" t="str">
        <f ca="1">IF(NOTA[[#This Row],[ID_H]]="","",INDEX(NOTA[TANGGAL],MATCH(,INDIRECT(ADDRESS(ROW(NOTA[TANGGAL]),COLUMN(NOTA[TANGGAL]))&amp;":"&amp;ADDRESS(ROW(),COLUMN(NOTA[TANGGAL]))),-1)))</f>
        <v/>
      </c>
      <c r="AJ360" s="26" t="str">
        <f ca="1">IF(NOTA[[#This Row],[ID_H]]="","",INDEX(NOTA[TGL.NOTA],MATCH(,INDIRECT(ADDRESS(ROW(NOTA[TGL.NOTA]),COLUMN(NOTA[TGL.NOTA]))&amp;":"&amp;ADDRESS(ROW(),COLUMN(NOTA[TGL.NOTA]))),-1)))</f>
        <v/>
      </c>
      <c r="AK360" s="26" t="str">
        <f ca="1">IF(NOTA[[#This Row],[ID_H]]="","",INDEX(NOTA[NO.NOTA],MATCH(NOTA[[#This Row],[ID_H]],NOTA[ID_H],0)))</f>
        <v/>
      </c>
      <c r="AL360" s="28" t="str">
        <f ca="1">IF(NOTA[[#This Row],[NAMA BARANG]]="","",INDEX(NOTA[SUPPLIER],MATCH(,INDIRECT(ADDRESS(ROW(NOTA[ID]),COLUMN(NOTA[ID]))&amp;":"&amp;ADDRESS(ROW(),COLUMN(NOTA[ID]))),-1)))</f>
        <v/>
      </c>
      <c r="AM360" s="28" t="str">
        <f ca="1">IF(NOTA[[#This Row],[ID_H]]="","",IF(NOTA[[#This Row],[FAKTUR]]="",INDIRECT(ADDRESS(ROW()-1,COLUMN())),NOTA[[#This Row],[FAKTUR]]))</f>
        <v/>
      </c>
      <c r="AN360" s="25" t="str">
        <f ca="1">IF(NOTA[[#This Row],[ID]]="","",COUNTIF(NOTA[ID_H],NOTA[[#This Row],[ID_H]]))</f>
        <v/>
      </c>
      <c r="AO360" s="25" t="str">
        <f ca="1">IF(NOTA[[#This Row],[TGL.NOTA]]="",IF(NOTA[[#This Row],[SUPPLIER_H]]="","",AO359),MONTH(NOTA[[#This Row],[TGL.NOTA]]))</f>
        <v/>
      </c>
      <c r="AP3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0" s="25"/>
      <c r="AU360" s="25" t="str">
        <f>IF(NOTA[[#This Row],[CONCAT1]]="","",MATCH(NOTA[[#This Row],[CONCAT1]],[3]!db[NB NOTA_C],0))</f>
        <v/>
      </c>
      <c r="AV360" s="25" t="str">
        <f>IF(NOTA[[#This Row],[QTY/ CTN]]="","",TRUE)</f>
        <v/>
      </c>
      <c r="AW360" s="25" t="str">
        <f ca="1">IF(NOTA[[#This Row],[ID_H]]="","",IF(NOTA[[#This Row],[Column3]]=TRUE,NOTA[[#This Row],[QTY/ CTN]],INDEX([3]!db[QTY/ CTN],NOTA[[#This Row],[//DB]])))</f>
        <v/>
      </c>
      <c r="AX3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0" s="25" t="str">
        <f ca="1">IF(NOTA[[#This Row],[ID_H]]="","",MATCH(NOTA[[#This Row],[NB NOTA_C_QTY]],[3]!db[NB NOTA_C_QTY+F],0))</f>
        <v/>
      </c>
      <c r="AZ360" s="38" t="str">
        <f ca="1">IF(NOTA[[#This Row],[NB NOTA_C_QTY]]="","",ROW()-2)</f>
        <v/>
      </c>
    </row>
    <row r="361" spans="1:52" ht="20.100000000000001" customHeight="1">
      <c r="A3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1" s="25" t="str">
        <f ca="1">IF(NOTA[[#This Row],[NAMA BARANG]]="","",INDEX(NOTA[ID],MATCH(,INDIRECT(ADDRESS(ROW(NOTA[ID]),COLUMN(NOTA[ID]))&amp;":"&amp;ADDRESS(ROW(),COLUMN(NOTA[ID]))),-1)))</f>
        <v/>
      </c>
      <c r="E361" s="33"/>
      <c r="H361" s="34"/>
      <c r="Q361" s="29"/>
      <c r="R361" s="35"/>
      <c r="S361" s="36"/>
      <c r="V361" s="37"/>
      <c r="W361" s="32"/>
      <c r="X361" s="37" t="str">
        <f>IF(NOTA[[#This Row],[HARGA/ CTN]]="",NOTA[[#This Row],[JUMLAH_H]],NOTA[[#This Row],[HARGA/ CTN]]*IF(NOTA[[#This Row],[C]]="",0,NOTA[[#This Row],[C]]))</f>
        <v/>
      </c>
      <c r="Y361" s="37" t="str">
        <f>IF(NOTA[[#This Row],[JUMLAH]]="","",NOTA[[#This Row],[JUMLAH]]*NOTA[[#This Row],[DISC 1]])</f>
        <v/>
      </c>
      <c r="Z361" s="37" t="str">
        <f>IF(NOTA[[#This Row],[JUMLAH]]="","",(NOTA[[#This Row],[JUMLAH]]-NOTA[[#This Row],[DISC 1-]])*NOTA[[#This Row],[DISC 2]])</f>
        <v/>
      </c>
      <c r="AA361" s="37" t="str">
        <f>IF(NOTA[[#This Row],[JUMLAH]]="","",(NOTA[[#This Row],[JUMLAH]]-NOTA[[#This Row],[DISC 1-]]-NOTA[[#This Row],[DISC 2-]])*NOTA[[#This Row],[DISC 3]])</f>
        <v/>
      </c>
      <c r="AB361" s="37" t="str">
        <f>IF(NOTA[[#This Row],[JUMLAH]]="","",NOTA[[#This Row],[DISC 1-]]+NOTA[[#This Row],[DISC 2-]]+NOTA[[#This Row],[DISC 3-]])</f>
        <v/>
      </c>
      <c r="AC361" s="37" t="str">
        <f>IF(NOTA[[#This Row],[JUMLAH]]="","",NOTA[[#This Row],[JUMLAH]]-NOTA[[#This Row],[DISC]])</f>
        <v/>
      </c>
      <c r="AD361" s="37"/>
      <c r="AE3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1" s="37" t="str">
        <f>IF(OR(NOTA[[#This Row],[QTY]]="",NOTA[[#This Row],[HARGA SATUAN]]="",),"",NOTA[[#This Row],[QTY]]*NOTA[[#This Row],[HARGA SATUAN]])</f>
        <v/>
      </c>
      <c r="AI361" s="26" t="str">
        <f ca="1">IF(NOTA[[#This Row],[ID_H]]="","",INDEX(NOTA[TANGGAL],MATCH(,INDIRECT(ADDRESS(ROW(NOTA[TANGGAL]),COLUMN(NOTA[TANGGAL]))&amp;":"&amp;ADDRESS(ROW(),COLUMN(NOTA[TANGGAL]))),-1)))</f>
        <v/>
      </c>
      <c r="AJ361" s="26" t="str">
        <f ca="1">IF(NOTA[[#This Row],[ID_H]]="","",INDEX(NOTA[TGL.NOTA],MATCH(,INDIRECT(ADDRESS(ROW(NOTA[TGL.NOTA]),COLUMN(NOTA[TGL.NOTA]))&amp;":"&amp;ADDRESS(ROW(),COLUMN(NOTA[TGL.NOTA]))),-1)))</f>
        <v/>
      </c>
      <c r="AK361" s="26" t="str">
        <f ca="1">IF(NOTA[[#This Row],[ID_H]]="","",INDEX(NOTA[NO.NOTA],MATCH(NOTA[[#This Row],[ID_H]],NOTA[ID_H],0)))</f>
        <v/>
      </c>
      <c r="AL361" s="28" t="str">
        <f ca="1">IF(NOTA[[#This Row],[NAMA BARANG]]="","",INDEX(NOTA[SUPPLIER],MATCH(,INDIRECT(ADDRESS(ROW(NOTA[ID]),COLUMN(NOTA[ID]))&amp;":"&amp;ADDRESS(ROW(),COLUMN(NOTA[ID]))),-1)))</f>
        <v/>
      </c>
      <c r="AM361" s="28" t="str">
        <f ca="1">IF(NOTA[[#This Row],[ID_H]]="","",IF(NOTA[[#This Row],[FAKTUR]]="",INDIRECT(ADDRESS(ROW()-1,COLUMN())),NOTA[[#This Row],[FAKTUR]]))</f>
        <v/>
      </c>
      <c r="AN361" s="25" t="str">
        <f ca="1">IF(NOTA[[#This Row],[ID]]="","",COUNTIF(NOTA[ID_H],NOTA[[#This Row],[ID_H]]))</f>
        <v/>
      </c>
      <c r="AO361" s="25" t="str">
        <f ca="1">IF(NOTA[[#This Row],[TGL.NOTA]]="",IF(NOTA[[#This Row],[SUPPLIER_H]]="","",AO360),MONTH(NOTA[[#This Row],[TGL.NOTA]]))</f>
        <v/>
      </c>
      <c r="AP3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1" s="25"/>
      <c r="AU361" s="25" t="str">
        <f>IF(NOTA[[#This Row],[CONCAT1]]="","",MATCH(NOTA[[#This Row],[CONCAT1]],[3]!db[NB NOTA_C],0))</f>
        <v/>
      </c>
      <c r="AV361" s="25" t="str">
        <f>IF(NOTA[[#This Row],[QTY/ CTN]]="","",TRUE)</f>
        <v/>
      </c>
      <c r="AW361" s="25" t="str">
        <f ca="1">IF(NOTA[[#This Row],[ID_H]]="","",IF(NOTA[[#This Row],[Column3]]=TRUE,NOTA[[#This Row],[QTY/ CTN]],INDEX([3]!db[QTY/ CTN],NOTA[[#This Row],[//DB]])))</f>
        <v/>
      </c>
      <c r="AX3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1" s="25" t="str">
        <f ca="1">IF(NOTA[[#This Row],[ID_H]]="","",MATCH(NOTA[[#This Row],[NB NOTA_C_QTY]],[3]!db[NB NOTA_C_QTY+F],0))</f>
        <v/>
      </c>
      <c r="AZ361" s="38" t="str">
        <f ca="1">IF(NOTA[[#This Row],[NB NOTA_C_QTY]]="","",ROW()-2)</f>
        <v/>
      </c>
    </row>
    <row r="362" spans="1:52" ht="20.100000000000001" customHeight="1">
      <c r="A3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2" s="25" t="str">
        <f ca="1">IF(NOTA[[#This Row],[NAMA BARANG]]="","",INDEX(NOTA[ID],MATCH(,INDIRECT(ADDRESS(ROW(NOTA[ID]),COLUMN(NOTA[ID]))&amp;":"&amp;ADDRESS(ROW(),COLUMN(NOTA[ID]))),-1)))</f>
        <v/>
      </c>
      <c r="E362" s="33"/>
      <c r="H362" s="34"/>
      <c r="Q362" s="29"/>
      <c r="R362" s="35"/>
      <c r="S362" s="36"/>
      <c r="V362" s="37"/>
      <c r="W362" s="32"/>
      <c r="X362" s="37" t="str">
        <f>IF(NOTA[[#This Row],[HARGA/ CTN]]="",NOTA[[#This Row],[JUMLAH_H]],NOTA[[#This Row],[HARGA/ CTN]]*IF(NOTA[[#This Row],[C]]="",0,NOTA[[#This Row],[C]]))</f>
        <v/>
      </c>
      <c r="Y362" s="37" t="str">
        <f>IF(NOTA[[#This Row],[JUMLAH]]="","",NOTA[[#This Row],[JUMLAH]]*NOTA[[#This Row],[DISC 1]])</f>
        <v/>
      </c>
      <c r="Z362" s="37" t="str">
        <f>IF(NOTA[[#This Row],[JUMLAH]]="","",(NOTA[[#This Row],[JUMLAH]]-NOTA[[#This Row],[DISC 1-]])*NOTA[[#This Row],[DISC 2]])</f>
        <v/>
      </c>
      <c r="AA362" s="37" t="str">
        <f>IF(NOTA[[#This Row],[JUMLAH]]="","",(NOTA[[#This Row],[JUMLAH]]-NOTA[[#This Row],[DISC 1-]]-NOTA[[#This Row],[DISC 2-]])*NOTA[[#This Row],[DISC 3]])</f>
        <v/>
      </c>
      <c r="AB362" s="37" t="str">
        <f>IF(NOTA[[#This Row],[JUMLAH]]="","",NOTA[[#This Row],[DISC 1-]]+NOTA[[#This Row],[DISC 2-]]+NOTA[[#This Row],[DISC 3-]])</f>
        <v/>
      </c>
      <c r="AC362" s="37" t="str">
        <f>IF(NOTA[[#This Row],[JUMLAH]]="","",NOTA[[#This Row],[JUMLAH]]-NOTA[[#This Row],[DISC]])</f>
        <v/>
      </c>
      <c r="AD362" s="37"/>
      <c r="AE3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2" s="37" t="str">
        <f>IF(OR(NOTA[[#This Row],[QTY]]="",NOTA[[#This Row],[HARGA SATUAN]]="",),"",NOTA[[#This Row],[QTY]]*NOTA[[#This Row],[HARGA SATUAN]])</f>
        <v/>
      </c>
      <c r="AI362" s="26" t="str">
        <f ca="1">IF(NOTA[[#This Row],[ID_H]]="","",INDEX(NOTA[TANGGAL],MATCH(,INDIRECT(ADDRESS(ROW(NOTA[TANGGAL]),COLUMN(NOTA[TANGGAL]))&amp;":"&amp;ADDRESS(ROW(),COLUMN(NOTA[TANGGAL]))),-1)))</f>
        <v/>
      </c>
      <c r="AJ362" s="26" t="str">
        <f ca="1">IF(NOTA[[#This Row],[ID_H]]="","",INDEX(NOTA[TGL.NOTA],MATCH(,INDIRECT(ADDRESS(ROW(NOTA[TGL.NOTA]),COLUMN(NOTA[TGL.NOTA]))&amp;":"&amp;ADDRESS(ROW(),COLUMN(NOTA[TGL.NOTA]))),-1)))</f>
        <v/>
      </c>
      <c r="AK362" s="26" t="str">
        <f ca="1">IF(NOTA[[#This Row],[ID_H]]="","",INDEX(NOTA[NO.NOTA],MATCH(NOTA[[#This Row],[ID_H]],NOTA[ID_H],0)))</f>
        <v/>
      </c>
      <c r="AL362" s="28" t="str">
        <f ca="1">IF(NOTA[[#This Row],[NAMA BARANG]]="","",INDEX(NOTA[SUPPLIER],MATCH(,INDIRECT(ADDRESS(ROW(NOTA[ID]),COLUMN(NOTA[ID]))&amp;":"&amp;ADDRESS(ROW(),COLUMN(NOTA[ID]))),-1)))</f>
        <v/>
      </c>
      <c r="AM362" s="28" t="str">
        <f ca="1">IF(NOTA[[#This Row],[ID_H]]="","",IF(NOTA[[#This Row],[FAKTUR]]="",INDIRECT(ADDRESS(ROW()-1,COLUMN())),NOTA[[#This Row],[FAKTUR]]))</f>
        <v/>
      </c>
      <c r="AN362" s="25" t="str">
        <f ca="1">IF(NOTA[[#This Row],[ID]]="","",COUNTIF(NOTA[ID_H],NOTA[[#This Row],[ID_H]]))</f>
        <v/>
      </c>
      <c r="AO362" s="25" t="str">
        <f ca="1">IF(NOTA[[#This Row],[TGL.NOTA]]="",IF(NOTA[[#This Row],[SUPPLIER_H]]="","",AO361),MONTH(NOTA[[#This Row],[TGL.NOTA]]))</f>
        <v/>
      </c>
      <c r="AP3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2" s="25"/>
      <c r="AU362" s="25" t="str">
        <f>IF(NOTA[[#This Row],[CONCAT1]]="","",MATCH(NOTA[[#This Row],[CONCAT1]],[3]!db[NB NOTA_C],0))</f>
        <v/>
      </c>
      <c r="AV362" s="25" t="str">
        <f>IF(NOTA[[#This Row],[QTY/ CTN]]="","",TRUE)</f>
        <v/>
      </c>
      <c r="AW362" s="25" t="str">
        <f ca="1">IF(NOTA[[#This Row],[ID_H]]="","",IF(NOTA[[#This Row],[Column3]]=TRUE,NOTA[[#This Row],[QTY/ CTN]],INDEX([3]!db[QTY/ CTN],NOTA[[#This Row],[//DB]])))</f>
        <v/>
      </c>
      <c r="AX3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2" s="25" t="str">
        <f ca="1">IF(NOTA[[#This Row],[ID_H]]="","",MATCH(NOTA[[#This Row],[NB NOTA_C_QTY]],[3]!db[NB NOTA_C_QTY+F],0))</f>
        <v/>
      </c>
      <c r="AZ362" s="38" t="str">
        <f ca="1">IF(NOTA[[#This Row],[NB NOTA_C_QTY]]="","",ROW()-2)</f>
        <v/>
      </c>
    </row>
    <row r="363" spans="1:52" ht="20.100000000000001" customHeight="1">
      <c r="A3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3" s="25" t="str">
        <f ca="1">IF(NOTA[[#This Row],[NAMA BARANG]]="","",INDEX(NOTA[ID],MATCH(,INDIRECT(ADDRESS(ROW(NOTA[ID]),COLUMN(NOTA[ID]))&amp;":"&amp;ADDRESS(ROW(),COLUMN(NOTA[ID]))),-1)))</f>
        <v/>
      </c>
      <c r="E363" s="33"/>
      <c r="H363" s="34"/>
      <c r="Q363" s="29"/>
      <c r="R363" s="35"/>
      <c r="S363" s="36"/>
      <c r="V363" s="37"/>
      <c r="W363" s="32"/>
      <c r="X363" s="37" t="str">
        <f>IF(NOTA[[#This Row],[HARGA/ CTN]]="",NOTA[[#This Row],[JUMLAH_H]],NOTA[[#This Row],[HARGA/ CTN]]*IF(NOTA[[#This Row],[C]]="",0,NOTA[[#This Row],[C]]))</f>
        <v/>
      </c>
      <c r="Y363" s="37" t="str">
        <f>IF(NOTA[[#This Row],[JUMLAH]]="","",NOTA[[#This Row],[JUMLAH]]*NOTA[[#This Row],[DISC 1]])</f>
        <v/>
      </c>
      <c r="Z363" s="37" t="str">
        <f>IF(NOTA[[#This Row],[JUMLAH]]="","",(NOTA[[#This Row],[JUMLAH]]-NOTA[[#This Row],[DISC 1-]])*NOTA[[#This Row],[DISC 2]])</f>
        <v/>
      </c>
      <c r="AA363" s="37" t="str">
        <f>IF(NOTA[[#This Row],[JUMLAH]]="","",(NOTA[[#This Row],[JUMLAH]]-NOTA[[#This Row],[DISC 1-]]-NOTA[[#This Row],[DISC 2-]])*NOTA[[#This Row],[DISC 3]])</f>
        <v/>
      </c>
      <c r="AB363" s="37" t="str">
        <f>IF(NOTA[[#This Row],[JUMLAH]]="","",NOTA[[#This Row],[DISC 1-]]+NOTA[[#This Row],[DISC 2-]]+NOTA[[#This Row],[DISC 3-]])</f>
        <v/>
      </c>
      <c r="AC363" s="37" t="str">
        <f>IF(NOTA[[#This Row],[JUMLAH]]="","",NOTA[[#This Row],[JUMLAH]]-NOTA[[#This Row],[DISC]])</f>
        <v/>
      </c>
      <c r="AD363" s="37"/>
      <c r="AE3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3" s="37" t="str">
        <f>IF(OR(NOTA[[#This Row],[QTY]]="",NOTA[[#This Row],[HARGA SATUAN]]="",),"",NOTA[[#This Row],[QTY]]*NOTA[[#This Row],[HARGA SATUAN]])</f>
        <v/>
      </c>
      <c r="AI363" s="26" t="str">
        <f ca="1">IF(NOTA[[#This Row],[ID_H]]="","",INDEX(NOTA[TANGGAL],MATCH(,INDIRECT(ADDRESS(ROW(NOTA[TANGGAL]),COLUMN(NOTA[TANGGAL]))&amp;":"&amp;ADDRESS(ROW(),COLUMN(NOTA[TANGGAL]))),-1)))</f>
        <v/>
      </c>
      <c r="AJ363" s="26" t="str">
        <f ca="1">IF(NOTA[[#This Row],[ID_H]]="","",INDEX(NOTA[TGL.NOTA],MATCH(,INDIRECT(ADDRESS(ROW(NOTA[TGL.NOTA]),COLUMN(NOTA[TGL.NOTA]))&amp;":"&amp;ADDRESS(ROW(),COLUMN(NOTA[TGL.NOTA]))),-1)))</f>
        <v/>
      </c>
      <c r="AK363" s="26" t="str">
        <f ca="1">IF(NOTA[[#This Row],[ID_H]]="","",INDEX(NOTA[NO.NOTA],MATCH(NOTA[[#This Row],[ID_H]],NOTA[ID_H],0)))</f>
        <v/>
      </c>
      <c r="AL363" s="28" t="str">
        <f ca="1">IF(NOTA[[#This Row],[NAMA BARANG]]="","",INDEX(NOTA[SUPPLIER],MATCH(,INDIRECT(ADDRESS(ROW(NOTA[ID]),COLUMN(NOTA[ID]))&amp;":"&amp;ADDRESS(ROW(),COLUMN(NOTA[ID]))),-1)))</f>
        <v/>
      </c>
      <c r="AM363" s="28" t="str">
        <f ca="1">IF(NOTA[[#This Row],[ID_H]]="","",IF(NOTA[[#This Row],[FAKTUR]]="",INDIRECT(ADDRESS(ROW()-1,COLUMN())),NOTA[[#This Row],[FAKTUR]]))</f>
        <v/>
      </c>
      <c r="AN363" s="25" t="str">
        <f ca="1">IF(NOTA[[#This Row],[ID]]="","",COUNTIF(NOTA[ID_H],NOTA[[#This Row],[ID_H]]))</f>
        <v/>
      </c>
      <c r="AO363" s="25" t="str">
        <f ca="1">IF(NOTA[[#This Row],[TGL.NOTA]]="",IF(NOTA[[#This Row],[SUPPLIER_H]]="","",AO362),MONTH(NOTA[[#This Row],[TGL.NOTA]]))</f>
        <v/>
      </c>
      <c r="AP3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3" s="25"/>
      <c r="AU363" s="25" t="str">
        <f>IF(NOTA[[#This Row],[CONCAT1]]="","",MATCH(NOTA[[#This Row],[CONCAT1]],[3]!db[NB NOTA_C],0))</f>
        <v/>
      </c>
      <c r="AV363" s="25" t="str">
        <f>IF(NOTA[[#This Row],[QTY/ CTN]]="","",TRUE)</f>
        <v/>
      </c>
      <c r="AW363" s="25" t="str">
        <f ca="1">IF(NOTA[[#This Row],[ID_H]]="","",IF(NOTA[[#This Row],[Column3]]=TRUE,NOTA[[#This Row],[QTY/ CTN]],INDEX([3]!db[QTY/ CTN],NOTA[[#This Row],[//DB]])))</f>
        <v/>
      </c>
      <c r="AX3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3" s="25" t="str">
        <f ca="1">IF(NOTA[[#This Row],[ID_H]]="","",MATCH(NOTA[[#This Row],[NB NOTA_C_QTY]],[3]!db[NB NOTA_C_QTY+F],0))</f>
        <v/>
      </c>
      <c r="AZ363" s="38" t="str">
        <f ca="1">IF(NOTA[[#This Row],[NB NOTA_C_QTY]]="","",ROW()-2)</f>
        <v/>
      </c>
    </row>
    <row r="364" spans="1:52" ht="20.100000000000001" customHeight="1">
      <c r="A3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4" s="25" t="str">
        <f ca="1">IF(NOTA[[#This Row],[NAMA BARANG]]="","",INDEX(NOTA[ID],MATCH(,INDIRECT(ADDRESS(ROW(NOTA[ID]),COLUMN(NOTA[ID]))&amp;":"&amp;ADDRESS(ROW(),COLUMN(NOTA[ID]))),-1)))</f>
        <v/>
      </c>
      <c r="E364" s="33"/>
      <c r="H364" s="34"/>
      <c r="Q364" s="29"/>
      <c r="R364" s="35"/>
      <c r="S364" s="36"/>
      <c r="V364" s="37"/>
      <c r="W364" s="32"/>
      <c r="X364" s="37" t="str">
        <f>IF(NOTA[[#This Row],[HARGA/ CTN]]="",NOTA[[#This Row],[JUMLAH_H]],NOTA[[#This Row],[HARGA/ CTN]]*IF(NOTA[[#This Row],[C]]="",0,NOTA[[#This Row],[C]]))</f>
        <v/>
      </c>
      <c r="Y364" s="37" t="str">
        <f>IF(NOTA[[#This Row],[JUMLAH]]="","",NOTA[[#This Row],[JUMLAH]]*NOTA[[#This Row],[DISC 1]])</f>
        <v/>
      </c>
      <c r="Z364" s="37" t="str">
        <f>IF(NOTA[[#This Row],[JUMLAH]]="","",(NOTA[[#This Row],[JUMLAH]]-NOTA[[#This Row],[DISC 1-]])*NOTA[[#This Row],[DISC 2]])</f>
        <v/>
      </c>
      <c r="AA364" s="37" t="str">
        <f>IF(NOTA[[#This Row],[JUMLAH]]="","",(NOTA[[#This Row],[JUMLAH]]-NOTA[[#This Row],[DISC 1-]]-NOTA[[#This Row],[DISC 2-]])*NOTA[[#This Row],[DISC 3]])</f>
        <v/>
      </c>
      <c r="AB364" s="37" t="str">
        <f>IF(NOTA[[#This Row],[JUMLAH]]="","",NOTA[[#This Row],[DISC 1-]]+NOTA[[#This Row],[DISC 2-]]+NOTA[[#This Row],[DISC 3-]])</f>
        <v/>
      </c>
      <c r="AC364" s="37" t="str">
        <f>IF(NOTA[[#This Row],[JUMLAH]]="","",NOTA[[#This Row],[JUMLAH]]-NOTA[[#This Row],[DISC]])</f>
        <v/>
      </c>
      <c r="AD364" s="37"/>
      <c r="AE3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4" s="37" t="str">
        <f>IF(OR(NOTA[[#This Row],[QTY]]="",NOTA[[#This Row],[HARGA SATUAN]]="",),"",NOTA[[#This Row],[QTY]]*NOTA[[#This Row],[HARGA SATUAN]])</f>
        <v/>
      </c>
      <c r="AI364" s="26" t="str">
        <f ca="1">IF(NOTA[[#This Row],[ID_H]]="","",INDEX(NOTA[TANGGAL],MATCH(,INDIRECT(ADDRESS(ROW(NOTA[TANGGAL]),COLUMN(NOTA[TANGGAL]))&amp;":"&amp;ADDRESS(ROW(),COLUMN(NOTA[TANGGAL]))),-1)))</f>
        <v/>
      </c>
      <c r="AJ364" s="26" t="str">
        <f ca="1">IF(NOTA[[#This Row],[ID_H]]="","",INDEX(NOTA[TGL.NOTA],MATCH(,INDIRECT(ADDRESS(ROW(NOTA[TGL.NOTA]),COLUMN(NOTA[TGL.NOTA]))&amp;":"&amp;ADDRESS(ROW(),COLUMN(NOTA[TGL.NOTA]))),-1)))</f>
        <v/>
      </c>
      <c r="AK364" s="26" t="str">
        <f ca="1">IF(NOTA[[#This Row],[ID_H]]="","",INDEX(NOTA[NO.NOTA],MATCH(NOTA[[#This Row],[ID_H]],NOTA[ID_H],0)))</f>
        <v/>
      </c>
      <c r="AL364" s="28" t="str">
        <f ca="1">IF(NOTA[[#This Row],[NAMA BARANG]]="","",INDEX(NOTA[SUPPLIER],MATCH(,INDIRECT(ADDRESS(ROW(NOTA[ID]),COLUMN(NOTA[ID]))&amp;":"&amp;ADDRESS(ROW(),COLUMN(NOTA[ID]))),-1)))</f>
        <v/>
      </c>
      <c r="AM364" s="28" t="str">
        <f ca="1">IF(NOTA[[#This Row],[ID_H]]="","",IF(NOTA[[#This Row],[FAKTUR]]="",INDIRECT(ADDRESS(ROW()-1,COLUMN())),NOTA[[#This Row],[FAKTUR]]))</f>
        <v/>
      </c>
      <c r="AN364" s="25" t="str">
        <f ca="1">IF(NOTA[[#This Row],[ID]]="","",COUNTIF(NOTA[ID_H],NOTA[[#This Row],[ID_H]]))</f>
        <v/>
      </c>
      <c r="AO364" s="25" t="str">
        <f ca="1">IF(NOTA[[#This Row],[TGL.NOTA]]="",IF(NOTA[[#This Row],[SUPPLIER_H]]="","",AO363),MONTH(NOTA[[#This Row],[TGL.NOTA]]))</f>
        <v/>
      </c>
      <c r="AP3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4" s="25"/>
      <c r="AU364" s="25" t="str">
        <f>IF(NOTA[[#This Row],[CONCAT1]]="","",MATCH(NOTA[[#This Row],[CONCAT1]],[3]!db[NB NOTA_C],0))</f>
        <v/>
      </c>
      <c r="AV364" s="25" t="str">
        <f>IF(NOTA[[#This Row],[QTY/ CTN]]="","",TRUE)</f>
        <v/>
      </c>
      <c r="AW364" s="25" t="str">
        <f ca="1">IF(NOTA[[#This Row],[ID_H]]="","",IF(NOTA[[#This Row],[Column3]]=TRUE,NOTA[[#This Row],[QTY/ CTN]],INDEX([3]!db[QTY/ CTN],NOTA[[#This Row],[//DB]])))</f>
        <v/>
      </c>
      <c r="AX3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4" s="25" t="str">
        <f ca="1">IF(NOTA[[#This Row],[ID_H]]="","",MATCH(NOTA[[#This Row],[NB NOTA_C_QTY]],[3]!db[NB NOTA_C_QTY+F],0))</f>
        <v/>
      </c>
      <c r="AZ364" s="38" t="str">
        <f ca="1">IF(NOTA[[#This Row],[NB NOTA_C_QTY]]="","",ROW()-2)</f>
        <v/>
      </c>
    </row>
    <row r="365" spans="1:52" ht="20.100000000000001" customHeight="1">
      <c r="A3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5" s="25" t="str">
        <f ca="1">IF(NOTA[[#This Row],[NAMA BARANG]]="","",INDEX(NOTA[ID],MATCH(,INDIRECT(ADDRESS(ROW(NOTA[ID]),COLUMN(NOTA[ID]))&amp;":"&amp;ADDRESS(ROW(),COLUMN(NOTA[ID]))),-1)))</f>
        <v/>
      </c>
      <c r="E365" s="33"/>
      <c r="H365" s="34"/>
      <c r="Q365" s="29"/>
      <c r="R365" s="35"/>
      <c r="S365" s="36"/>
      <c r="V365" s="37"/>
      <c r="W365" s="32"/>
      <c r="X365" s="37" t="str">
        <f>IF(NOTA[[#This Row],[HARGA/ CTN]]="",NOTA[[#This Row],[JUMLAH_H]],NOTA[[#This Row],[HARGA/ CTN]]*IF(NOTA[[#This Row],[C]]="",0,NOTA[[#This Row],[C]]))</f>
        <v/>
      </c>
      <c r="Y365" s="37" t="str">
        <f>IF(NOTA[[#This Row],[JUMLAH]]="","",NOTA[[#This Row],[JUMLAH]]*NOTA[[#This Row],[DISC 1]])</f>
        <v/>
      </c>
      <c r="Z365" s="37" t="str">
        <f>IF(NOTA[[#This Row],[JUMLAH]]="","",(NOTA[[#This Row],[JUMLAH]]-NOTA[[#This Row],[DISC 1-]])*NOTA[[#This Row],[DISC 2]])</f>
        <v/>
      </c>
      <c r="AA365" s="37" t="str">
        <f>IF(NOTA[[#This Row],[JUMLAH]]="","",(NOTA[[#This Row],[JUMLAH]]-NOTA[[#This Row],[DISC 1-]]-NOTA[[#This Row],[DISC 2-]])*NOTA[[#This Row],[DISC 3]])</f>
        <v/>
      </c>
      <c r="AB365" s="37" t="str">
        <f>IF(NOTA[[#This Row],[JUMLAH]]="","",NOTA[[#This Row],[DISC 1-]]+NOTA[[#This Row],[DISC 2-]]+NOTA[[#This Row],[DISC 3-]])</f>
        <v/>
      </c>
      <c r="AC365" s="37" t="str">
        <f>IF(NOTA[[#This Row],[JUMLAH]]="","",NOTA[[#This Row],[JUMLAH]]-NOTA[[#This Row],[DISC]])</f>
        <v/>
      </c>
      <c r="AD365" s="37"/>
      <c r="AE3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5" s="37" t="str">
        <f>IF(OR(NOTA[[#This Row],[QTY]]="",NOTA[[#This Row],[HARGA SATUAN]]="",),"",NOTA[[#This Row],[QTY]]*NOTA[[#This Row],[HARGA SATUAN]])</f>
        <v/>
      </c>
      <c r="AI365" s="26" t="str">
        <f ca="1">IF(NOTA[[#This Row],[ID_H]]="","",INDEX(NOTA[TANGGAL],MATCH(,INDIRECT(ADDRESS(ROW(NOTA[TANGGAL]),COLUMN(NOTA[TANGGAL]))&amp;":"&amp;ADDRESS(ROW(),COLUMN(NOTA[TANGGAL]))),-1)))</f>
        <v/>
      </c>
      <c r="AJ365" s="26" t="str">
        <f ca="1">IF(NOTA[[#This Row],[ID_H]]="","",INDEX(NOTA[TGL.NOTA],MATCH(,INDIRECT(ADDRESS(ROW(NOTA[TGL.NOTA]),COLUMN(NOTA[TGL.NOTA]))&amp;":"&amp;ADDRESS(ROW(),COLUMN(NOTA[TGL.NOTA]))),-1)))</f>
        <v/>
      </c>
      <c r="AK365" s="26" t="str">
        <f ca="1">IF(NOTA[[#This Row],[ID_H]]="","",INDEX(NOTA[NO.NOTA],MATCH(NOTA[[#This Row],[ID_H]],NOTA[ID_H],0)))</f>
        <v/>
      </c>
      <c r="AL365" s="28" t="str">
        <f ca="1">IF(NOTA[[#This Row],[NAMA BARANG]]="","",INDEX(NOTA[SUPPLIER],MATCH(,INDIRECT(ADDRESS(ROW(NOTA[ID]),COLUMN(NOTA[ID]))&amp;":"&amp;ADDRESS(ROW(),COLUMN(NOTA[ID]))),-1)))</f>
        <v/>
      </c>
      <c r="AM365" s="28" t="str">
        <f ca="1">IF(NOTA[[#This Row],[ID_H]]="","",IF(NOTA[[#This Row],[FAKTUR]]="",INDIRECT(ADDRESS(ROW()-1,COLUMN())),NOTA[[#This Row],[FAKTUR]]))</f>
        <v/>
      </c>
      <c r="AN365" s="25" t="str">
        <f ca="1">IF(NOTA[[#This Row],[ID]]="","",COUNTIF(NOTA[ID_H],NOTA[[#This Row],[ID_H]]))</f>
        <v/>
      </c>
      <c r="AO365" s="25" t="str">
        <f ca="1">IF(NOTA[[#This Row],[TGL.NOTA]]="",IF(NOTA[[#This Row],[SUPPLIER_H]]="","",AO364),MONTH(NOTA[[#This Row],[TGL.NOTA]]))</f>
        <v/>
      </c>
      <c r="AP3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5" s="25"/>
      <c r="AU365" s="25" t="str">
        <f>IF(NOTA[[#This Row],[CONCAT1]]="","",MATCH(NOTA[[#This Row],[CONCAT1]],[3]!db[NB NOTA_C],0))</f>
        <v/>
      </c>
      <c r="AV365" s="25" t="str">
        <f>IF(NOTA[[#This Row],[QTY/ CTN]]="","",TRUE)</f>
        <v/>
      </c>
      <c r="AW365" s="25" t="str">
        <f ca="1">IF(NOTA[[#This Row],[ID_H]]="","",IF(NOTA[[#This Row],[Column3]]=TRUE,NOTA[[#This Row],[QTY/ CTN]],INDEX([3]!db[QTY/ CTN],NOTA[[#This Row],[//DB]])))</f>
        <v/>
      </c>
      <c r="AX3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5" s="25" t="str">
        <f ca="1">IF(NOTA[[#This Row],[ID_H]]="","",MATCH(NOTA[[#This Row],[NB NOTA_C_QTY]],[3]!db[NB NOTA_C_QTY+F],0))</f>
        <v/>
      </c>
      <c r="AZ365" s="38" t="str">
        <f ca="1">IF(NOTA[[#This Row],[NB NOTA_C_QTY]]="","",ROW()-2)</f>
        <v/>
      </c>
    </row>
    <row r="366" spans="1:52" ht="20.100000000000001" customHeight="1">
      <c r="A3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6" s="25" t="str">
        <f ca="1">IF(NOTA[[#This Row],[NAMA BARANG]]="","",INDEX(NOTA[ID],MATCH(,INDIRECT(ADDRESS(ROW(NOTA[ID]),COLUMN(NOTA[ID]))&amp;":"&amp;ADDRESS(ROW(),COLUMN(NOTA[ID]))),-1)))</f>
        <v/>
      </c>
      <c r="E366" s="33"/>
      <c r="H366" s="34"/>
      <c r="Q366" s="29"/>
      <c r="R366" s="35"/>
      <c r="S366" s="36"/>
      <c r="V366" s="37"/>
      <c r="W366" s="32"/>
      <c r="X366" s="37" t="str">
        <f>IF(NOTA[[#This Row],[HARGA/ CTN]]="",NOTA[[#This Row],[JUMLAH_H]],NOTA[[#This Row],[HARGA/ CTN]]*IF(NOTA[[#This Row],[C]]="",0,NOTA[[#This Row],[C]]))</f>
        <v/>
      </c>
      <c r="Y366" s="37" t="str">
        <f>IF(NOTA[[#This Row],[JUMLAH]]="","",NOTA[[#This Row],[JUMLAH]]*NOTA[[#This Row],[DISC 1]])</f>
        <v/>
      </c>
      <c r="Z366" s="37" t="str">
        <f>IF(NOTA[[#This Row],[JUMLAH]]="","",(NOTA[[#This Row],[JUMLAH]]-NOTA[[#This Row],[DISC 1-]])*NOTA[[#This Row],[DISC 2]])</f>
        <v/>
      </c>
      <c r="AA366" s="37" t="str">
        <f>IF(NOTA[[#This Row],[JUMLAH]]="","",(NOTA[[#This Row],[JUMLAH]]-NOTA[[#This Row],[DISC 1-]]-NOTA[[#This Row],[DISC 2-]])*NOTA[[#This Row],[DISC 3]])</f>
        <v/>
      </c>
      <c r="AB366" s="37" t="str">
        <f>IF(NOTA[[#This Row],[JUMLAH]]="","",NOTA[[#This Row],[DISC 1-]]+NOTA[[#This Row],[DISC 2-]]+NOTA[[#This Row],[DISC 3-]])</f>
        <v/>
      </c>
      <c r="AC366" s="37" t="str">
        <f>IF(NOTA[[#This Row],[JUMLAH]]="","",NOTA[[#This Row],[JUMLAH]]-NOTA[[#This Row],[DISC]])</f>
        <v/>
      </c>
      <c r="AD366" s="37"/>
      <c r="AE3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6" s="37" t="str">
        <f>IF(OR(NOTA[[#This Row],[QTY]]="",NOTA[[#This Row],[HARGA SATUAN]]="",),"",NOTA[[#This Row],[QTY]]*NOTA[[#This Row],[HARGA SATUAN]])</f>
        <v/>
      </c>
      <c r="AI366" s="26" t="str">
        <f ca="1">IF(NOTA[[#This Row],[ID_H]]="","",INDEX(NOTA[TANGGAL],MATCH(,INDIRECT(ADDRESS(ROW(NOTA[TANGGAL]),COLUMN(NOTA[TANGGAL]))&amp;":"&amp;ADDRESS(ROW(),COLUMN(NOTA[TANGGAL]))),-1)))</f>
        <v/>
      </c>
      <c r="AJ366" s="26" t="str">
        <f ca="1">IF(NOTA[[#This Row],[ID_H]]="","",INDEX(NOTA[TGL.NOTA],MATCH(,INDIRECT(ADDRESS(ROW(NOTA[TGL.NOTA]),COLUMN(NOTA[TGL.NOTA]))&amp;":"&amp;ADDRESS(ROW(),COLUMN(NOTA[TGL.NOTA]))),-1)))</f>
        <v/>
      </c>
      <c r="AK366" s="26" t="str">
        <f ca="1">IF(NOTA[[#This Row],[ID_H]]="","",INDEX(NOTA[NO.NOTA],MATCH(NOTA[[#This Row],[ID_H]],NOTA[ID_H],0)))</f>
        <v/>
      </c>
      <c r="AL366" s="28" t="str">
        <f ca="1">IF(NOTA[[#This Row],[NAMA BARANG]]="","",INDEX(NOTA[SUPPLIER],MATCH(,INDIRECT(ADDRESS(ROW(NOTA[ID]),COLUMN(NOTA[ID]))&amp;":"&amp;ADDRESS(ROW(),COLUMN(NOTA[ID]))),-1)))</f>
        <v/>
      </c>
      <c r="AM366" s="28" t="str">
        <f ca="1">IF(NOTA[[#This Row],[ID_H]]="","",IF(NOTA[[#This Row],[FAKTUR]]="",INDIRECT(ADDRESS(ROW()-1,COLUMN())),NOTA[[#This Row],[FAKTUR]]))</f>
        <v/>
      </c>
      <c r="AN366" s="25" t="str">
        <f ca="1">IF(NOTA[[#This Row],[ID]]="","",COUNTIF(NOTA[ID_H],NOTA[[#This Row],[ID_H]]))</f>
        <v/>
      </c>
      <c r="AO366" s="25" t="str">
        <f ca="1">IF(NOTA[[#This Row],[TGL.NOTA]]="",IF(NOTA[[#This Row],[SUPPLIER_H]]="","",AO365),MONTH(NOTA[[#This Row],[TGL.NOTA]]))</f>
        <v/>
      </c>
      <c r="AP3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6" s="25"/>
      <c r="AU366" s="25" t="str">
        <f>IF(NOTA[[#This Row],[CONCAT1]]="","",MATCH(NOTA[[#This Row],[CONCAT1]],[3]!db[NB NOTA_C],0))</f>
        <v/>
      </c>
      <c r="AV366" s="25" t="str">
        <f>IF(NOTA[[#This Row],[QTY/ CTN]]="","",TRUE)</f>
        <v/>
      </c>
      <c r="AW366" s="25" t="str">
        <f ca="1">IF(NOTA[[#This Row],[ID_H]]="","",IF(NOTA[[#This Row],[Column3]]=TRUE,NOTA[[#This Row],[QTY/ CTN]],INDEX([3]!db[QTY/ CTN],NOTA[[#This Row],[//DB]])))</f>
        <v/>
      </c>
      <c r="AX3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6" s="25" t="str">
        <f ca="1">IF(NOTA[[#This Row],[ID_H]]="","",MATCH(NOTA[[#This Row],[NB NOTA_C_QTY]],[3]!db[NB NOTA_C_QTY+F],0))</f>
        <v/>
      </c>
      <c r="AZ366" s="38" t="str">
        <f ca="1">IF(NOTA[[#This Row],[NB NOTA_C_QTY]]="","",ROW()-2)</f>
        <v/>
      </c>
    </row>
    <row r="367" spans="1:52" ht="20.100000000000001" customHeight="1">
      <c r="A3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7" s="25" t="str">
        <f ca="1">IF(NOTA[[#This Row],[NAMA BARANG]]="","",INDEX(NOTA[ID],MATCH(,INDIRECT(ADDRESS(ROW(NOTA[ID]),COLUMN(NOTA[ID]))&amp;":"&amp;ADDRESS(ROW(),COLUMN(NOTA[ID]))),-1)))</f>
        <v/>
      </c>
      <c r="E367" s="33"/>
      <c r="H367" s="34"/>
      <c r="Q367" s="29"/>
      <c r="R367" s="35"/>
      <c r="S367" s="36"/>
      <c r="V367" s="37"/>
      <c r="W367" s="32"/>
      <c r="X367" s="37" t="str">
        <f>IF(NOTA[[#This Row],[HARGA/ CTN]]="",NOTA[[#This Row],[JUMLAH_H]],NOTA[[#This Row],[HARGA/ CTN]]*IF(NOTA[[#This Row],[C]]="",0,NOTA[[#This Row],[C]]))</f>
        <v/>
      </c>
      <c r="Y367" s="37" t="str">
        <f>IF(NOTA[[#This Row],[JUMLAH]]="","",NOTA[[#This Row],[JUMLAH]]*NOTA[[#This Row],[DISC 1]])</f>
        <v/>
      </c>
      <c r="Z367" s="37" t="str">
        <f>IF(NOTA[[#This Row],[JUMLAH]]="","",(NOTA[[#This Row],[JUMLAH]]-NOTA[[#This Row],[DISC 1-]])*NOTA[[#This Row],[DISC 2]])</f>
        <v/>
      </c>
      <c r="AA367" s="37" t="str">
        <f>IF(NOTA[[#This Row],[JUMLAH]]="","",(NOTA[[#This Row],[JUMLAH]]-NOTA[[#This Row],[DISC 1-]]-NOTA[[#This Row],[DISC 2-]])*NOTA[[#This Row],[DISC 3]])</f>
        <v/>
      </c>
      <c r="AB367" s="37" t="str">
        <f>IF(NOTA[[#This Row],[JUMLAH]]="","",NOTA[[#This Row],[DISC 1-]]+NOTA[[#This Row],[DISC 2-]]+NOTA[[#This Row],[DISC 3-]])</f>
        <v/>
      </c>
      <c r="AC367" s="37" t="str">
        <f>IF(NOTA[[#This Row],[JUMLAH]]="","",NOTA[[#This Row],[JUMLAH]]-NOTA[[#This Row],[DISC]])</f>
        <v/>
      </c>
      <c r="AD367" s="37"/>
      <c r="AE3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7" s="37" t="str">
        <f>IF(OR(NOTA[[#This Row],[QTY]]="",NOTA[[#This Row],[HARGA SATUAN]]="",),"",NOTA[[#This Row],[QTY]]*NOTA[[#This Row],[HARGA SATUAN]])</f>
        <v/>
      </c>
      <c r="AI367" s="26" t="str">
        <f ca="1">IF(NOTA[[#This Row],[ID_H]]="","",INDEX(NOTA[TANGGAL],MATCH(,INDIRECT(ADDRESS(ROW(NOTA[TANGGAL]),COLUMN(NOTA[TANGGAL]))&amp;":"&amp;ADDRESS(ROW(),COLUMN(NOTA[TANGGAL]))),-1)))</f>
        <v/>
      </c>
      <c r="AJ367" s="26" t="str">
        <f ca="1">IF(NOTA[[#This Row],[ID_H]]="","",INDEX(NOTA[TGL.NOTA],MATCH(,INDIRECT(ADDRESS(ROW(NOTA[TGL.NOTA]),COLUMN(NOTA[TGL.NOTA]))&amp;":"&amp;ADDRESS(ROW(),COLUMN(NOTA[TGL.NOTA]))),-1)))</f>
        <v/>
      </c>
      <c r="AK367" s="26" t="str">
        <f ca="1">IF(NOTA[[#This Row],[ID_H]]="","",INDEX(NOTA[NO.NOTA],MATCH(NOTA[[#This Row],[ID_H]],NOTA[ID_H],0)))</f>
        <v/>
      </c>
      <c r="AL367" s="28" t="str">
        <f ca="1">IF(NOTA[[#This Row],[NAMA BARANG]]="","",INDEX(NOTA[SUPPLIER],MATCH(,INDIRECT(ADDRESS(ROW(NOTA[ID]),COLUMN(NOTA[ID]))&amp;":"&amp;ADDRESS(ROW(),COLUMN(NOTA[ID]))),-1)))</f>
        <v/>
      </c>
      <c r="AM367" s="28" t="str">
        <f ca="1">IF(NOTA[[#This Row],[ID_H]]="","",IF(NOTA[[#This Row],[FAKTUR]]="",INDIRECT(ADDRESS(ROW()-1,COLUMN())),NOTA[[#This Row],[FAKTUR]]))</f>
        <v/>
      </c>
      <c r="AN367" s="25" t="str">
        <f ca="1">IF(NOTA[[#This Row],[ID]]="","",COUNTIF(NOTA[ID_H],NOTA[[#This Row],[ID_H]]))</f>
        <v/>
      </c>
      <c r="AO367" s="25" t="str">
        <f ca="1">IF(NOTA[[#This Row],[TGL.NOTA]]="",IF(NOTA[[#This Row],[SUPPLIER_H]]="","",AO366),MONTH(NOTA[[#This Row],[TGL.NOTA]]))</f>
        <v/>
      </c>
      <c r="AP3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7" s="25"/>
      <c r="AU367" s="25" t="str">
        <f>IF(NOTA[[#This Row],[CONCAT1]]="","",MATCH(NOTA[[#This Row],[CONCAT1]],[3]!db[NB NOTA_C],0))</f>
        <v/>
      </c>
      <c r="AV367" s="25" t="str">
        <f>IF(NOTA[[#This Row],[QTY/ CTN]]="","",TRUE)</f>
        <v/>
      </c>
      <c r="AW367" s="25" t="str">
        <f ca="1">IF(NOTA[[#This Row],[ID_H]]="","",IF(NOTA[[#This Row],[Column3]]=TRUE,NOTA[[#This Row],[QTY/ CTN]],INDEX([3]!db[QTY/ CTN],NOTA[[#This Row],[//DB]])))</f>
        <v/>
      </c>
      <c r="AX3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7" s="25" t="str">
        <f ca="1">IF(NOTA[[#This Row],[ID_H]]="","",MATCH(NOTA[[#This Row],[NB NOTA_C_QTY]],[3]!db[NB NOTA_C_QTY+F],0))</f>
        <v/>
      </c>
      <c r="AZ367" s="38" t="str">
        <f ca="1">IF(NOTA[[#This Row],[NB NOTA_C_QTY]]="","",ROW()-2)</f>
        <v/>
      </c>
    </row>
    <row r="368" spans="1:52" ht="20.100000000000001" customHeight="1">
      <c r="A3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8" s="25" t="str">
        <f ca="1">IF(NOTA[[#This Row],[NAMA BARANG]]="","",INDEX(NOTA[ID],MATCH(,INDIRECT(ADDRESS(ROW(NOTA[ID]),COLUMN(NOTA[ID]))&amp;":"&amp;ADDRESS(ROW(),COLUMN(NOTA[ID]))),-1)))</f>
        <v/>
      </c>
      <c r="E368" s="33"/>
      <c r="H368" s="34"/>
      <c r="Q368" s="29"/>
      <c r="R368" s="35"/>
      <c r="S368" s="36"/>
      <c r="V368" s="37"/>
      <c r="W368" s="32"/>
      <c r="X368" s="37" t="str">
        <f>IF(NOTA[[#This Row],[HARGA/ CTN]]="",NOTA[[#This Row],[JUMLAH_H]],NOTA[[#This Row],[HARGA/ CTN]]*IF(NOTA[[#This Row],[C]]="",0,NOTA[[#This Row],[C]]))</f>
        <v/>
      </c>
      <c r="Y368" s="37" t="str">
        <f>IF(NOTA[[#This Row],[JUMLAH]]="","",NOTA[[#This Row],[JUMLAH]]*NOTA[[#This Row],[DISC 1]])</f>
        <v/>
      </c>
      <c r="Z368" s="37" t="str">
        <f>IF(NOTA[[#This Row],[JUMLAH]]="","",(NOTA[[#This Row],[JUMLAH]]-NOTA[[#This Row],[DISC 1-]])*NOTA[[#This Row],[DISC 2]])</f>
        <v/>
      </c>
      <c r="AA368" s="37" t="str">
        <f>IF(NOTA[[#This Row],[JUMLAH]]="","",(NOTA[[#This Row],[JUMLAH]]-NOTA[[#This Row],[DISC 1-]]-NOTA[[#This Row],[DISC 2-]])*NOTA[[#This Row],[DISC 3]])</f>
        <v/>
      </c>
      <c r="AB368" s="37" t="str">
        <f>IF(NOTA[[#This Row],[JUMLAH]]="","",NOTA[[#This Row],[DISC 1-]]+NOTA[[#This Row],[DISC 2-]]+NOTA[[#This Row],[DISC 3-]])</f>
        <v/>
      </c>
      <c r="AC368" s="37" t="str">
        <f>IF(NOTA[[#This Row],[JUMLAH]]="","",NOTA[[#This Row],[JUMLAH]]-NOTA[[#This Row],[DISC]])</f>
        <v/>
      </c>
      <c r="AD368" s="37"/>
      <c r="AE3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8" s="37" t="str">
        <f>IF(OR(NOTA[[#This Row],[QTY]]="",NOTA[[#This Row],[HARGA SATUAN]]="",),"",NOTA[[#This Row],[QTY]]*NOTA[[#This Row],[HARGA SATUAN]])</f>
        <v/>
      </c>
      <c r="AI368" s="26" t="str">
        <f ca="1">IF(NOTA[[#This Row],[ID_H]]="","",INDEX(NOTA[TANGGAL],MATCH(,INDIRECT(ADDRESS(ROW(NOTA[TANGGAL]),COLUMN(NOTA[TANGGAL]))&amp;":"&amp;ADDRESS(ROW(),COLUMN(NOTA[TANGGAL]))),-1)))</f>
        <v/>
      </c>
      <c r="AJ368" s="26" t="str">
        <f ca="1">IF(NOTA[[#This Row],[ID_H]]="","",INDEX(NOTA[TGL.NOTA],MATCH(,INDIRECT(ADDRESS(ROW(NOTA[TGL.NOTA]),COLUMN(NOTA[TGL.NOTA]))&amp;":"&amp;ADDRESS(ROW(),COLUMN(NOTA[TGL.NOTA]))),-1)))</f>
        <v/>
      </c>
      <c r="AK368" s="26" t="str">
        <f ca="1">IF(NOTA[[#This Row],[ID_H]]="","",INDEX(NOTA[NO.NOTA],MATCH(NOTA[[#This Row],[ID_H]],NOTA[ID_H],0)))</f>
        <v/>
      </c>
      <c r="AL368" s="28" t="str">
        <f ca="1">IF(NOTA[[#This Row],[NAMA BARANG]]="","",INDEX(NOTA[SUPPLIER],MATCH(,INDIRECT(ADDRESS(ROW(NOTA[ID]),COLUMN(NOTA[ID]))&amp;":"&amp;ADDRESS(ROW(),COLUMN(NOTA[ID]))),-1)))</f>
        <v/>
      </c>
      <c r="AM368" s="28" t="str">
        <f ca="1">IF(NOTA[[#This Row],[ID_H]]="","",IF(NOTA[[#This Row],[FAKTUR]]="",INDIRECT(ADDRESS(ROW()-1,COLUMN())),NOTA[[#This Row],[FAKTUR]]))</f>
        <v/>
      </c>
      <c r="AN368" s="25" t="str">
        <f ca="1">IF(NOTA[[#This Row],[ID]]="","",COUNTIF(NOTA[ID_H],NOTA[[#This Row],[ID_H]]))</f>
        <v/>
      </c>
      <c r="AO368" s="25" t="str">
        <f ca="1">IF(NOTA[[#This Row],[TGL.NOTA]]="",IF(NOTA[[#This Row],[SUPPLIER_H]]="","",AO367),MONTH(NOTA[[#This Row],[TGL.NOTA]]))</f>
        <v/>
      </c>
      <c r="AP3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8" s="25"/>
      <c r="AU368" s="25" t="str">
        <f>IF(NOTA[[#This Row],[CONCAT1]]="","",MATCH(NOTA[[#This Row],[CONCAT1]],[3]!db[NB NOTA_C],0))</f>
        <v/>
      </c>
      <c r="AV368" s="25" t="str">
        <f>IF(NOTA[[#This Row],[QTY/ CTN]]="","",TRUE)</f>
        <v/>
      </c>
      <c r="AW368" s="25" t="str">
        <f ca="1">IF(NOTA[[#This Row],[ID_H]]="","",IF(NOTA[[#This Row],[Column3]]=TRUE,NOTA[[#This Row],[QTY/ CTN]],INDEX([3]!db[QTY/ CTN],NOTA[[#This Row],[//DB]])))</f>
        <v/>
      </c>
      <c r="AX3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8" s="25" t="str">
        <f ca="1">IF(NOTA[[#This Row],[ID_H]]="","",MATCH(NOTA[[#This Row],[NB NOTA_C_QTY]],[3]!db[NB NOTA_C_QTY+F],0))</f>
        <v/>
      </c>
      <c r="AZ368" s="38" t="str">
        <f ca="1">IF(NOTA[[#This Row],[NB NOTA_C_QTY]]="","",ROW()-2)</f>
        <v/>
      </c>
    </row>
    <row r="369" spans="1:52" ht="20.100000000000001" customHeight="1">
      <c r="A3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9" s="25" t="str">
        <f ca="1">IF(NOTA[[#This Row],[NAMA BARANG]]="","",INDEX(NOTA[ID],MATCH(,INDIRECT(ADDRESS(ROW(NOTA[ID]),COLUMN(NOTA[ID]))&amp;":"&amp;ADDRESS(ROW(),COLUMN(NOTA[ID]))),-1)))</f>
        <v/>
      </c>
      <c r="E369" s="33"/>
      <c r="H369" s="34"/>
      <c r="Q369" s="29"/>
      <c r="R369" s="35"/>
      <c r="S369" s="36"/>
      <c r="V369" s="37"/>
      <c r="W369" s="32"/>
      <c r="X369" s="37" t="str">
        <f>IF(NOTA[[#This Row],[HARGA/ CTN]]="",NOTA[[#This Row],[JUMLAH_H]],NOTA[[#This Row],[HARGA/ CTN]]*IF(NOTA[[#This Row],[C]]="",0,NOTA[[#This Row],[C]]))</f>
        <v/>
      </c>
      <c r="Y369" s="37" t="str">
        <f>IF(NOTA[[#This Row],[JUMLAH]]="","",NOTA[[#This Row],[JUMLAH]]*NOTA[[#This Row],[DISC 1]])</f>
        <v/>
      </c>
      <c r="Z369" s="37" t="str">
        <f>IF(NOTA[[#This Row],[JUMLAH]]="","",(NOTA[[#This Row],[JUMLAH]]-NOTA[[#This Row],[DISC 1-]])*NOTA[[#This Row],[DISC 2]])</f>
        <v/>
      </c>
      <c r="AA369" s="37" t="str">
        <f>IF(NOTA[[#This Row],[JUMLAH]]="","",(NOTA[[#This Row],[JUMLAH]]-NOTA[[#This Row],[DISC 1-]]-NOTA[[#This Row],[DISC 2-]])*NOTA[[#This Row],[DISC 3]])</f>
        <v/>
      </c>
      <c r="AB369" s="37" t="str">
        <f>IF(NOTA[[#This Row],[JUMLAH]]="","",NOTA[[#This Row],[DISC 1-]]+NOTA[[#This Row],[DISC 2-]]+NOTA[[#This Row],[DISC 3-]])</f>
        <v/>
      </c>
      <c r="AC369" s="37" t="str">
        <f>IF(NOTA[[#This Row],[JUMLAH]]="","",NOTA[[#This Row],[JUMLAH]]-NOTA[[#This Row],[DISC]])</f>
        <v/>
      </c>
      <c r="AD369" s="37"/>
      <c r="AE3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9" s="37" t="str">
        <f>IF(OR(NOTA[[#This Row],[QTY]]="",NOTA[[#This Row],[HARGA SATUAN]]="",),"",NOTA[[#This Row],[QTY]]*NOTA[[#This Row],[HARGA SATUAN]])</f>
        <v/>
      </c>
      <c r="AI369" s="26" t="str">
        <f ca="1">IF(NOTA[[#This Row],[ID_H]]="","",INDEX(NOTA[TANGGAL],MATCH(,INDIRECT(ADDRESS(ROW(NOTA[TANGGAL]),COLUMN(NOTA[TANGGAL]))&amp;":"&amp;ADDRESS(ROW(),COLUMN(NOTA[TANGGAL]))),-1)))</f>
        <v/>
      </c>
      <c r="AJ369" s="26" t="str">
        <f ca="1">IF(NOTA[[#This Row],[ID_H]]="","",INDEX(NOTA[TGL.NOTA],MATCH(,INDIRECT(ADDRESS(ROW(NOTA[TGL.NOTA]),COLUMN(NOTA[TGL.NOTA]))&amp;":"&amp;ADDRESS(ROW(),COLUMN(NOTA[TGL.NOTA]))),-1)))</f>
        <v/>
      </c>
      <c r="AK369" s="26" t="str">
        <f ca="1">IF(NOTA[[#This Row],[ID_H]]="","",INDEX(NOTA[NO.NOTA],MATCH(NOTA[[#This Row],[ID_H]],NOTA[ID_H],0)))</f>
        <v/>
      </c>
      <c r="AL369" s="28" t="str">
        <f ca="1">IF(NOTA[[#This Row],[NAMA BARANG]]="","",INDEX(NOTA[SUPPLIER],MATCH(,INDIRECT(ADDRESS(ROW(NOTA[ID]),COLUMN(NOTA[ID]))&amp;":"&amp;ADDRESS(ROW(),COLUMN(NOTA[ID]))),-1)))</f>
        <v/>
      </c>
      <c r="AM369" s="28" t="str">
        <f ca="1">IF(NOTA[[#This Row],[ID_H]]="","",IF(NOTA[[#This Row],[FAKTUR]]="",INDIRECT(ADDRESS(ROW()-1,COLUMN())),NOTA[[#This Row],[FAKTUR]]))</f>
        <v/>
      </c>
      <c r="AN369" s="25" t="str">
        <f ca="1">IF(NOTA[[#This Row],[ID]]="","",COUNTIF(NOTA[ID_H],NOTA[[#This Row],[ID_H]]))</f>
        <v/>
      </c>
      <c r="AO369" s="25" t="str">
        <f ca="1">IF(NOTA[[#This Row],[TGL.NOTA]]="",IF(NOTA[[#This Row],[SUPPLIER_H]]="","",AO368),MONTH(NOTA[[#This Row],[TGL.NOTA]]))</f>
        <v/>
      </c>
      <c r="AP3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9" s="25"/>
      <c r="AU369" s="25" t="str">
        <f>IF(NOTA[[#This Row],[CONCAT1]]="","",MATCH(NOTA[[#This Row],[CONCAT1]],[3]!db[NB NOTA_C],0))</f>
        <v/>
      </c>
      <c r="AV369" s="25" t="str">
        <f>IF(NOTA[[#This Row],[QTY/ CTN]]="","",TRUE)</f>
        <v/>
      </c>
      <c r="AW369" s="25" t="str">
        <f ca="1">IF(NOTA[[#This Row],[ID_H]]="","",IF(NOTA[[#This Row],[Column3]]=TRUE,NOTA[[#This Row],[QTY/ CTN]],INDEX([3]!db[QTY/ CTN],NOTA[[#This Row],[//DB]])))</f>
        <v/>
      </c>
      <c r="AX3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9" s="25" t="str">
        <f ca="1">IF(NOTA[[#This Row],[ID_H]]="","",MATCH(NOTA[[#This Row],[NB NOTA_C_QTY]],[3]!db[NB NOTA_C_QTY+F],0))</f>
        <v/>
      </c>
      <c r="AZ369" s="38" t="str">
        <f ca="1">IF(NOTA[[#This Row],[NB NOTA_C_QTY]]="","",ROW()-2)</f>
        <v/>
      </c>
    </row>
    <row r="370" spans="1:52" ht="20.100000000000001" customHeight="1">
      <c r="A3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0" s="25" t="str">
        <f ca="1">IF(NOTA[[#This Row],[NAMA BARANG]]="","",INDEX(NOTA[ID],MATCH(,INDIRECT(ADDRESS(ROW(NOTA[ID]),COLUMN(NOTA[ID]))&amp;":"&amp;ADDRESS(ROW(),COLUMN(NOTA[ID]))),-1)))</f>
        <v/>
      </c>
      <c r="E370" s="33"/>
      <c r="H370" s="34"/>
      <c r="Q370" s="29"/>
      <c r="R370" s="35"/>
      <c r="S370" s="36"/>
      <c r="V370" s="37"/>
      <c r="W370" s="32"/>
      <c r="X370" s="37" t="str">
        <f>IF(NOTA[[#This Row],[HARGA/ CTN]]="",NOTA[[#This Row],[JUMLAH_H]],NOTA[[#This Row],[HARGA/ CTN]]*IF(NOTA[[#This Row],[C]]="",0,NOTA[[#This Row],[C]]))</f>
        <v/>
      </c>
      <c r="Y370" s="37" t="str">
        <f>IF(NOTA[[#This Row],[JUMLAH]]="","",NOTA[[#This Row],[JUMLAH]]*NOTA[[#This Row],[DISC 1]])</f>
        <v/>
      </c>
      <c r="Z370" s="37" t="str">
        <f>IF(NOTA[[#This Row],[JUMLAH]]="","",(NOTA[[#This Row],[JUMLAH]]-NOTA[[#This Row],[DISC 1-]])*NOTA[[#This Row],[DISC 2]])</f>
        <v/>
      </c>
      <c r="AA370" s="37" t="str">
        <f>IF(NOTA[[#This Row],[JUMLAH]]="","",(NOTA[[#This Row],[JUMLAH]]-NOTA[[#This Row],[DISC 1-]]-NOTA[[#This Row],[DISC 2-]])*NOTA[[#This Row],[DISC 3]])</f>
        <v/>
      </c>
      <c r="AB370" s="37" t="str">
        <f>IF(NOTA[[#This Row],[JUMLAH]]="","",NOTA[[#This Row],[DISC 1-]]+NOTA[[#This Row],[DISC 2-]]+NOTA[[#This Row],[DISC 3-]])</f>
        <v/>
      </c>
      <c r="AC370" s="37" t="str">
        <f>IF(NOTA[[#This Row],[JUMLAH]]="","",NOTA[[#This Row],[JUMLAH]]-NOTA[[#This Row],[DISC]])</f>
        <v/>
      </c>
      <c r="AD370" s="37"/>
      <c r="AE3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0" s="37" t="str">
        <f>IF(OR(NOTA[[#This Row],[QTY]]="",NOTA[[#This Row],[HARGA SATUAN]]="",),"",NOTA[[#This Row],[QTY]]*NOTA[[#This Row],[HARGA SATUAN]])</f>
        <v/>
      </c>
      <c r="AI370" s="26" t="str">
        <f ca="1">IF(NOTA[[#This Row],[ID_H]]="","",INDEX(NOTA[TANGGAL],MATCH(,INDIRECT(ADDRESS(ROW(NOTA[TANGGAL]),COLUMN(NOTA[TANGGAL]))&amp;":"&amp;ADDRESS(ROW(),COLUMN(NOTA[TANGGAL]))),-1)))</f>
        <v/>
      </c>
      <c r="AJ370" s="26" t="str">
        <f ca="1">IF(NOTA[[#This Row],[ID_H]]="","",INDEX(NOTA[TGL.NOTA],MATCH(,INDIRECT(ADDRESS(ROW(NOTA[TGL.NOTA]),COLUMN(NOTA[TGL.NOTA]))&amp;":"&amp;ADDRESS(ROW(),COLUMN(NOTA[TGL.NOTA]))),-1)))</f>
        <v/>
      </c>
      <c r="AK370" s="26" t="str">
        <f ca="1">IF(NOTA[[#This Row],[ID_H]]="","",INDEX(NOTA[NO.NOTA],MATCH(NOTA[[#This Row],[ID_H]],NOTA[ID_H],0)))</f>
        <v/>
      </c>
      <c r="AL370" s="28" t="str">
        <f ca="1">IF(NOTA[[#This Row],[NAMA BARANG]]="","",INDEX(NOTA[SUPPLIER],MATCH(,INDIRECT(ADDRESS(ROW(NOTA[ID]),COLUMN(NOTA[ID]))&amp;":"&amp;ADDRESS(ROW(),COLUMN(NOTA[ID]))),-1)))</f>
        <v/>
      </c>
      <c r="AM370" s="28" t="str">
        <f ca="1">IF(NOTA[[#This Row],[ID_H]]="","",IF(NOTA[[#This Row],[FAKTUR]]="",INDIRECT(ADDRESS(ROW()-1,COLUMN())),NOTA[[#This Row],[FAKTUR]]))</f>
        <v/>
      </c>
      <c r="AN370" s="25" t="str">
        <f ca="1">IF(NOTA[[#This Row],[ID]]="","",COUNTIF(NOTA[ID_H],NOTA[[#This Row],[ID_H]]))</f>
        <v/>
      </c>
      <c r="AO370" s="25" t="str">
        <f ca="1">IF(NOTA[[#This Row],[TGL.NOTA]]="",IF(NOTA[[#This Row],[SUPPLIER_H]]="","",AO369),MONTH(NOTA[[#This Row],[TGL.NOTA]]))</f>
        <v/>
      </c>
      <c r="AP3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0" s="25"/>
      <c r="AU370" s="25" t="str">
        <f>IF(NOTA[[#This Row],[CONCAT1]]="","",MATCH(NOTA[[#This Row],[CONCAT1]],[3]!db[NB NOTA_C],0))</f>
        <v/>
      </c>
      <c r="AV370" s="25" t="str">
        <f>IF(NOTA[[#This Row],[QTY/ CTN]]="","",TRUE)</f>
        <v/>
      </c>
      <c r="AW370" s="25" t="str">
        <f ca="1">IF(NOTA[[#This Row],[ID_H]]="","",IF(NOTA[[#This Row],[Column3]]=TRUE,NOTA[[#This Row],[QTY/ CTN]],INDEX([3]!db[QTY/ CTN],NOTA[[#This Row],[//DB]])))</f>
        <v/>
      </c>
      <c r="AX3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0" s="25" t="str">
        <f ca="1">IF(NOTA[[#This Row],[ID_H]]="","",MATCH(NOTA[[#This Row],[NB NOTA_C_QTY]],[3]!db[NB NOTA_C_QTY+F],0))</f>
        <v/>
      </c>
      <c r="AZ370" s="38" t="str">
        <f ca="1">IF(NOTA[[#This Row],[NB NOTA_C_QTY]]="","",ROW()-2)</f>
        <v/>
      </c>
    </row>
    <row r="371" spans="1:52" ht="20.100000000000001" customHeight="1">
      <c r="A3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1" s="25" t="str">
        <f ca="1">IF(NOTA[[#This Row],[NAMA BARANG]]="","",INDEX(NOTA[ID],MATCH(,INDIRECT(ADDRESS(ROW(NOTA[ID]),COLUMN(NOTA[ID]))&amp;":"&amp;ADDRESS(ROW(),COLUMN(NOTA[ID]))),-1)))</f>
        <v/>
      </c>
      <c r="E371" s="33"/>
      <c r="H371" s="34"/>
      <c r="Q371" s="29"/>
      <c r="R371" s="35"/>
      <c r="S371" s="36"/>
      <c r="V371" s="37"/>
      <c r="W371" s="32"/>
      <c r="X371" s="37" t="str">
        <f>IF(NOTA[[#This Row],[HARGA/ CTN]]="",NOTA[[#This Row],[JUMLAH_H]],NOTA[[#This Row],[HARGA/ CTN]]*IF(NOTA[[#This Row],[C]]="",0,NOTA[[#This Row],[C]]))</f>
        <v/>
      </c>
      <c r="Y371" s="37" t="str">
        <f>IF(NOTA[[#This Row],[JUMLAH]]="","",NOTA[[#This Row],[JUMLAH]]*NOTA[[#This Row],[DISC 1]])</f>
        <v/>
      </c>
      <c r="Z371" s="37" t="str">
        <f>IF(NOTA[[#This Row],[JUMLAH]]="","",(NOTA[[#This Row],[JUMLAH]]-NOTA[[#This Row],[DISC 1-]])*NOTA[[#This Row],[DISC 2]])</f>
        <v/>
      </c>
      <c r="AA371" s="37" t="str">
        <f>IF(NOTA[[#This Row],[JUMLAH]]="","",(NOTA[[#This Row],[JUMLAH]]-NOTA[[#This Row],[DISC 1-]]-NOTA[[#This Row],[DISC 2-]])*NOTA[[#This Row],[DISC 3]])</f>
        <v/>
      </c>
      <c r="AB371" s="37" t="str">
        <f>IF(NOTA[[#This Row],[JUMLAH]]="","",NOTA[[#This Row],[DISC 1-]]+NOTA[[#This Row],[DISC 2-]]+NOTA[[#This Row],[DISC 3-]])</f>
        <v/>
      </c>
      <c r="AC371" s="37" t="str">
        <f>IF(NOTA[[#This Row],[JUMLAH]]="","",NOTA[[#This Row],[JUMLAH]]-NOTA[[#This Row],[DISC]])</f>
        <v/>
      </c>
      <c r="AD371" s="37"/>
      <c r="AE3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1" s="37" t="str">
        <f>IF(OR(NOTA[[#This Row],[QTY]]="",NOTA[[#This Row],[HARGA SATUAN]]="",),"",NOTA[[#This Row],[QTY]]*NOTA[[#This Row],[HARGA SATUAN]])</f>
        <v/>
      </c>
      <c r="AI371" s="26" t="str">
        <f ca="1">IF(NOTA[[#This Row],[ID_H]]="","",INDEX(NOTA[TANGGAL],MATCH(,INDIRECT(ADDRESS(ROW(NOTA[TANGGAL]),COLUMN(NOTA[TANGGAL]))&amp;":"&amp;ADDRESS(ROW(),COLUMN(NOTA[TANGGAL]))),-1)))</f>
        <v/>
      </c>
      <c r="AJ371" s="26" t="str">
        <f ca="1">IF(NOTA[[#This Row],[ID_H]]="","",INDEX(NOTA[TGL.NOTA],MATCH(,INDIRECT(ADDRESS(ROW(NOTA[TGL.NOTA]),COLUMN(NOTA[TGL.NOTA]))&amp;":"&amp;ADDRESS(ROW(),COLUMN(NOTA[TGL.NOTA]))),-1)))</f>
        <v/>
      </c>
      <c r="AK371" s="26" t="str">
        <f ca="1">IF(NOTA[[#This Row],[ID_H]]="","",INDEX(NOTA[NO.NOTA],MATCH(NOTA[[#This Row],[ID_H]],NOTA[ID_H],0)))</f>
        <v/>
      </c>
      <c r="AL371" s="28" t="str">
        <f ca="1">IF(NOTA[[#This Row],[NAMA BARANG]]="","",INDEX(NOTA[SUPPLIER],MATCH(,INDIRECT(ADDRESS(ROW(NOTA[ID]),COLUMN(NOTA[ID]))&amp;":"&amp;ADDRESS(ROW(),COLUMN(NOTA[ID]))),-1)))</f>
        <v/>
      </c>
      <c r="AM371" s="28" t="str">
        <f ca="1">IF(NOTA[[#This Row],[ID_H]]="","",IF(NOTA[[#This Row],[FAKTUR]]="",INDIRECT(ADDRESS(ROW()-1,COLUMN())),NOTA[[#This Row],[FAKTUR]]))</f>
        <v/>
      </c>
      <c r="AN371" s="25" t="str">
        <f ca="1">IF(NOTA[[#This Row],[ID]]="","",COUNTIF(NOTA[ID_H],NOTA[[#This Row],[ID_H]]))</f>
        <v/>
      </c>
      <c r="AO371" s="25" t="str">
        <f ca="1">IF(NOTA[[#This Row],[TGL.NOTA]]="",IF(NOTA[[#This Row],[SUPPLIER_H]]="","",AO370),MONTH(NOTA[[#This Row],[TGL.NOTA]]))</f>
        <v/>
      </c>
      <c r="AP3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1" s="25"/>
      <c r="AU371" s="25" t="str">
        <f>IF(NOTA[[#This Row],[CONCAT1]]="","",MATCH(NOTA[[#This Row],[CONCAT1]],[3]!db[NB NOTA_C],0))</f>
        <v/>
      </c>
      <c r="AV371" s="25" t="str">
        <f>IF(NOTA[[#This Row],[QTY/ CTN]]="","",TRUE)</f>
        <v/>
      </c>
      <c r="AW371" s="25" t="str">
        <f ca="1">IF(NOTA[[#This Row],[ID_H]]="","",IF(NOTA[[#This Row],[Column3]]=TRUE,NOTA[[#This Row],[QTY/ CTN]],INDEX([3]!db[QTY/ CTN],NOTA[[#This Row],[//DB]])))</f>
        <v/>
      </c>
      <c r="AX3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1" s="25" t="str">
        <f ca="1">IF(NOTA[[#This Row],[ID_H]]="","",MATCH(NOTA[[#This Row],[NB NOTA_C_QTY]],[3]!db[NB NOTA_C_QTY+F],0))</f>
        <v/>
      </c>
      <c r="AZ371" s="38" t="str">
        <f ca="1">IF(NOTA[[#This Row],[NB NOTA_C_QTY]]="","",ROW()-2)</f>
        <v/>
      </c>
    </row>
    <row r="372" spans="1:52" ht="20.100000000000001" customHeight="1">
      <c r="A3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2" s="25" t="str">
        <f ca="1">IF(NOTA[[#This Row],[NAMA BARANG]]="","",INDEX(NOTA[ID],MATCH(,INDIRECT(ADDRESS(ROW(NOTA[ID]),COLUMN(NOTA[ID]))&amp;":"&amp;ADDRESS(ROW(),COLUMN(NOTA[ID]))),-1)))</f>
        <v/>
      </c>
      <c r="E372" s="33"/>
      <c r="H372" s="34"/>
      <c r="Q372" s="29"/>
      <c r="R372" s="35"/>
      <c r="S372" s="36"/>
      <c r="V372" s="37"/>
      <c r="W372" s="32"/>
      <c r="X372" s="37" t="str">
        <f>IF(NOTA[[#This Row],[HARGA/ CTN]]="",NOTA[[#This Row],[JUMLAH_H]],NOTA[[#This Row],[HARGA/ CTN]]*IF(NOTA[[#This Row],[C]]="",0,NOTA[[#This Row],[C]]))</f>
        <v/>
      </c>
      <c r="Y372" s="37" t="str">
        <f>IF(NOTA[[#This Row],[JUMLAH]]="","",NOTA[[#This Row],[JUMLAH]]*NOTA[[#This Row],[DISC 1]])</f>
        <v/>
      </c>
      <c r="Z372" s="37" t="str">
        <f>IF(NOTA[[#This Row],[JUMLAH]]="","",(NOTA[[#This Row],[JUMLAH]]-NOTA[[#This Row],[DISC 1-]])*NOTA[[#This Row],[DISC 2]])</f>
        <v/>
      </c>
      <c r="AA372" s="37" t="str">
        <f>IF(NOTA[[#This Row],[JUMLAH]]="","",(NOTA[[#This Row],[JUMLAH]]-NOTA[[#This Row],[DISC 1-]]-NOTA[[#This Row],[DISC 2-]])*NOTA[[#This Row],[DISC 3]])</f>
        <v/>
      </c>
      <c r="AB372" s="37" t="str">
        <f>IF(NOTA[[#This Row],[JUMLAH]]="","",NOTA[[#This Row],[DISC 1-]]+NOTA[[#This Row],[DISC 2-]]+NOTA[[#This Row],[DISC 3-]])</f>
        <v/>
      </c>
      <c r="AC372" s="37" t="str">
        <f>IF(NOTA[[#This Row],[JUMLAH]]="","",NOTA[[#This Row],[JUMLAH]]-NOTA[[#This Row],[DISC]])</f>
        <v/>
      </c>
      <c r="AD372" s="37"/>
      <c r="AE3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2" s="37" t="str">
        <f>IF(OR(NOTA[[#This Row],[QTY]]="",NOTA[[#This Row],[HARGA SATUAN]]="",),"",NOTA[[#This Row],[QTY]]*NOTA[[#This Row],[HARGA SATUAN]])</f>
        <v/>
      </c>
      <c r="AI372" s="26" t="str">
        <f ca="1">IF(NOTA[[#This Row],[ID_H]]="","",INDEX(NOTA[TANGGAL],MATCH(,INDIRECT(ADDRESS(ROW(NOTA[TANGGAL]),COLUMN(NOTA[TANGGAL]))&amp;":"&amp;ADDRESS(ROW(),COLUMN(NOTA[TANGGAL]))),-1)))</f>
        <v/>
      </c>
      <c r="AJ372" s="26" t="str">
        <f ca="1">IF(NOTA[[#This Row],[ID_H]]="","",INDEX(NOTA[TGL.NOTA],MATCH(,INDIRECT(ADDRESS(ROW(NOTA[TGL.NOTA]),COLUMN(NOTA[TGL.NOTA]))&amp;":"&amp;ADDRESS(ROW(),COLUMN(NOTA[TGL.NOTA]))),-1)))</f>
        <v/>
      </c>
      <c r="AK372" s="26" t="str">
        <f ca="1">IF(NOTA[[#This Row],[ID_H]]="","",INDEX(NOTA[NO.NOTA],MATCH(NOTA[[#This Row],[ID_H]],NOTA[ID_H],0)))</f>
        <v/>
      </c>
      <c r="AL372" s="28" t="str">
        <f ca="1">IF(NOTA[[#This Row],[NAMA BARANG]]="","",INDEX(NOTA[SUPPLIER],MATCH(,INDIRECT(ADDRESS(ROW(NOTA[ID]),COLUMN(NOTA[ID]))&amp;":"&amp;ADDRESS(ROW(),COLUMN(NOTA[ID]))),-1)))</f>
        <v/>
      </c>
      <c r="AM372" s="28" t="str">
        <f ca="1">IF(NOTA[[#This Row],[ID_H]]="","",IF(NOTA[[#This Row],[FAKTUR]]="",INDIRECT(ADDRESS(ROW()-1,COLUMN())),NOTA[[#This Row],[FAKTUR]]))</f>
        <v/>
      </c>
      <c r="AN372" s="25" t="str">
        <f ca="1">IF(NOTA[[#This Row],[ID]]="","",COUNTIF(NOTA[ID_H],NOTA[[#This Row],[ID_H]]))</f>
        <v/>
      </c>
      <c r="AO372" s="25" t="str">
        <f ca="1">IF(NOTA[[#This Row],[TGL.NOTA]]="",IF(NOTA[[#This Row],[SUPPLIER_H]]="","",AO371),MONTH(NOTA[[#This Row],[TGL.NOTA]]))</f>
        <v/>
      </c>
      <c r="AP3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2" s="25"/>
      <c r="AU372" s="25" t="str">
        <f>IF(NOTA[[#This Row],[CONCAT1]]="","",MATCH(NOTA[[#This Row],[CONCAT1]],[3]!db[NB NOTA_C],0))</f>
        <v/>
      </c>
      <c r="AV372" s="25" t="str">
        <f>IF(NOTA[[#This Row],[QTY/ CTN]]="","",TRUE)</f>
        <v/>
      </c>
      <c r="AW372" s="25" t="str">
        <f ca="1">IF(NOTA[[#This Row],[ID_H]]="","",IF(NOTA[[#This Row],[Column3]]=TRUE,NOTA[[#This Row],[QTY/ CTN]],INDEX([3]!db[QTY/ CTN],NOTA[[#This Row],[//DB]])))</f>
        <v/>
      </c>
      <c r="AX3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2" s="25" t="str">
        <f ca="1">IF(NOTA[[#This Row],[ID_H]]="","",MATCH(NOTA[[#This Row],[NB NOTA_C_QTY]],[3]!db[NB NOTA_C_QTY+F],0))</f>
        <v/>
      </c>
      <c r="AZ372" s="38" t="str">
        <f ca="1">IF(NOTA[[#This Row],[NB NOTA_C_QTY]]="","",ROW()-2)</f>
        <v/>
      </c>
    </row>
    <row r="373" spans="1:52" ht="20.100000000000001" customHeight="1">
      <c r="A3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3" s="25" t="str">
        <f ca="1">IF(NOTA[[#This Row],[NAMA BARANG]]="","",INDEX(NOTA[ID],MATCH(,INDIRECT(ADDRESS(ROW(NOTA[ID]),COLUMN(NOTA[ID]))&amp;":"&amp;ADDRESS(ROW(),COLUMN(NOTA[ID]))),-1)))</f>
        <v/>
      </c>
      <c r="E373" s="33"/>
      <c r="H373" s="34"/>
      <c r="Q373" s="29"/>
      <c r="R373" s="35"/>
      <c r="S373" s="36"/>
      <c r="V373" s="37"/>
      <c r="W373" s="32"/>
      <c r="X373" s="37" t="str">
        <f>IF(NOTA[[#This Row],[HARGA/ CTN]]="",NOTA[[#This Row],[JUMLAH_H]],NOTA[[#This Row],[HARGA/ CTN]]*IF(NOTA[[#This Row],[C]]="",0,NOTA[[#This Row],[C]]))</f>
        <v/>
      </c>
      <c r="Y373" s="37" t="str">
        <f>IF(NOTA[[#This Row],[JUMLAH]]="","",NOTA[[#This Row],[JUMLAH]]*NOTA[[#This Row],[DISC 1]])</f>
        <v/>
      </c>
      <c r="Z373" s="37" t="str">
        <f>IF(NOTA[[#This Row],[JUMLAH]]="","",(NOTA[[#This Row],[JUMLAH]]-NOTA[[#This Row],[DISC 1-]])*NOTA[[#This Row],[DISC 2]])</f>
        <v/>
      </c>
      <c r="AA373" s="37" t="str">
        <f>IF(NOTA[[#This Row],[JUMLAH]]="","",(NOTA[[#This Row],[JUMLAH]]-NOTA[[#This Row],[DISC 1-]]-NOTA[[#This Row],[DISC 2-]])*NOTA[[#This Row],[DISC 3]])</f>
        <v/>
      </c>
      <c r="AB373" s="37" t="str">
        <f>IF(NOTA[[#This Row],[JUMLAH]]="","",NOTA[[#This Row],[DISC 1-]]+NOTA[[#This Row],[DISC 2-]]+NOTA[[#This Row],[DISC 3-]])</f>
        <v/>
      </c>
      <c r="AC373" s="37" t="str">
        <f>IF(NOTA[[#This Row],[JUMLAH]]="","",NOTA[[#This Row],[JUMLAH]]-NOTA[[#This Row],[DISC]])</f>
        <v/>
      </c>
      <c r="AD373" s="37"/>
      <c r="AE3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3" s="37" t="str">
        <f>IF(OR(NOTA[[#This Row],[QTY]]="",NOTA[[#This Row],[HARGA SATUAN]]="",),"",NOTA[[#This Row],[QTY]]*NOTA[[#This Row],[HARGA SATUAN]])</f>
        <v/>
      </c>
      <c r="AI373" s="26" t="str">
        <f ca="1">IF(NOTA[[#This Row],[ID_H]]="","",INDEX(NOTA[TANGGAL],MATCH(,INDIRECT(ADDRESS(ROW(NOTA[TANGGAL]),COLUMN(NOTA[TANGGAL]))&amp;":"&amp;ADDRESS(ROW(),COLUMN(NOTA[TANGGAL]))),-1)))</f>
        <v/>
      </c>
      <c r="AJ373" s="26" t="str">
        <f ca="1">IF(NOTA[[#This Row],[ID_H]]="","",INDEX(NOTA[TGL.NOTA],MATCH(,INDIRECT(ADDRESS(ROW(NOTA[TGL.NOTA]),COLUMN(NOTA[TGL.NOTA]))&amp;":"&amp;ADDRESS(ROW(),COLUMN(NOTA[TGL.NOTA]))),-1)))</f>
        <v/>
      </c>
      <c r="AK373" s="26" t="str">
        <f ca="1">IF(NOTA[[#This Row],[ID_H]]="","",INDEX(NOTA[NO.NOTA],MATCH(NOTA[[#This Row],[ID_H]],NOTA[ID_H],0)))</f>
        <v/>
      </c>
      <c r="AL373" s="28" t="str">
        <f ca="1">IF(NOTA[[#This Row],[NAMA BARANG]]="","",INDEX(NOTA[SUPPLIER],MATCH(,INDIRECT(ADDRESS(ROW(NOTA[ID]),COLUMN(NOTA[ID]))&amp;":"&amp;ADDRESS(ROW(),COLUMN(NOTA[ID]))),-1)))</f>
        <v/>
      </c>
      <c r="AM373" s="28" t="str">
        <f ca="1">IF(NOTA[[#This Row],[ID_H]]="","",IF(NOTA[[#This Row],[FAKTUR]]="",INDIRECT(ADDRESS(ROW()-1,COLUMN())),NOTA[[#This Row],[FAKTUR]]))</f>
        <v/>
      </c>
      <c r="AN373" s="25" t="str">
        <f ca="1">IF(NOTA[[#This Row],[ID]]="","",COUNTIF(NOTA[ID_H],NOTA[[#This Row],[ID_H]]))</f>
        <v/>
      </c>
      <c r="AO373" s="25" t="str">
        <f ca="1">IF(NOTA[[#This Row],[TGL.NOTA]]="",IF(NOTA[[#This Row],[SUPPLIER_H]]="","",AO372),MONTH(NOTA[[#This Row],[TGL.NOTA]]))</f>
        <v/>
      </c>
      <c r="AP3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3" s="25"/>
      <c r="AU373" s="25" t="str">
        <f>IF(NOTA[[#This Row],[CONCAT1]]="","",MATCH(NOTA[[#This Row],[CONCAT1]],[3]!db[NB NOTA_C],0))</f>
        <v/>
      </c>
      <c r="AV373" s="25" t="str">
        <f>IF(NOTA[[#This Row],[QTY/ CTN]]="","",TRUE)</f>
        <v/>
      </c>
      <c r="AW373" s="25" t="str">
        <f ca="1">IF(NOTA[[#This Row],[ID_H]]="","",IF(NOTA[[#This Row],[Column3]]=TRUE,NOTA[[#This Row],[QTY/ CTN]],INDEX([3]!db[QTY/ CTN],NOTA[[#This Row],[//DB]])))</f>
        <v/>
      </c>
      <c r="AX3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3" s="25" t="str">
        <f ca="1">IF(NOTA[[#This Row],[ID_H]]="","",MATCH(NOTA[[#This Row],[NB NOTA_C_QTY]],[3]!db[NB NOTA_C_QTY+F],0))</f>
        <v/>
      </c>
      <c r="AZ373" s="38" t="str">
        <f ca="1">IF(NOTA[[#This Row],[NB NOTA_C_QTY]]="","",ROW()-2)</f>
        <v/>
      </c>
    </row>
    <row r="374" spans="1:52" ht="20.100000000000001" customHeight="1">
      <c r="A3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4" s="25" t="str">
        <f ca="1">IF(NOTA[[#This Row],[NAMA BARANG]]="","",INDEX(NOTA[ID],MATCH(,INDIRECT(ADDRESS(ROW(NOTA[ID]),COLUMN(NOTA[ID]))&amp;":"&amp;ADDRESS(ROW(),COLUMN(NOTA[ID]))),-1)))</f>
        <v/>
      </c>
      <c r="E374" s="33"/>
      <c r="H374" s="34"/>
      <c r="Q374" s="29"/>
      <c r="R374" s="35"/>
      <c r="S374" s="36"/>
      <c r="V374" s="37"/>
      <c r="W374" s="32"/>
      <c r="X374" s="37" t="str">
        <f>IF(NOTA[[#This Row],[HARGA/ CTN]]="",NOTA[[#This Row],[JUMLAH_H]],NOTA[[#This Row],[HARGA/ CTN]]*IF(NOTA[[#This Row],[C]]="",0,NOTA[[#This Row],[C]]))</f>
        <v/>
      </c>
      <c r="Y374" s="37" t="str">
        <f>IF(NOTA[[#This Row],[JUMLAH]]="","",NOTA[[#This Row],[JUMLAH]]*NOTA[[#This Row],[DISC 1]])</f>
        <v/>
      </c>
      <c r="Z374" s="37" t="str">
        <f>IF(NOTA[[#This Row],[JUMLAH]]="","",(NOTA[[#This Row],[JUMLAH]]-NOTA[[#This Row],[DISC 1-]])*NOTA[[#This Row],[DISC 2]])</f>
        <v/>
      </c>
      <c r="AA374" s="37" t="str">
        <f>IF(NOTA[[#This Row],[JUMLAH]]="","",(NOTA[[#This Row],[JUMLAH]]-NOTA[[#This Row],[DISC 1-]]-NOTA[[#This Row],[DISC 2-]])*NOTA[[#This Row],[DISC 3]])</f>
        <v/>
      </c>
      <c r="AB374" s="37" t="str">
        <f>IF(NOTA[[#This Row],[JUMLAH]]="","",NOTA[[#This Row],[DISC 1-]]+NOTA[[#This Row],[DISC 2-]]+NOTA[[#This Row],[DISC 3-]])</f>
        <v/>
      </c>
      <c r="AC374" s="37" t="str">
        <f>IF(NOTA[[#This Row],[JUMLAH]]="","",NOTA[[#This Row],[JUMLAH]]-NOTA[[#This Row],[DISC]])</f>
        <v/>
      </c>
      <c r="AD374" s="37"/>
      <c r="AE3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4" s="37" t="str">
        <f>IF(OR(NOTA[[#This Row],[QTY]]="",NOTA[[#This Row],[HARGA SATUAN]]="",),"",NOTA[[#This Row],[QTY]]*NOTA[[#This Row],[HARGA SATUAN]])</f>
        <v/>
      </c>
      <c r="AI374" s="26" t="str">
        <f ca="1">IF(NOTA[[#This Row],[ID_H]]="","",INDEX(NOTA[TANGGAL],MATCH(,INDIRECT(ADDRESS(ROW(NOTA[TANGGAL]),COLUMN(NOTA[TANGGAL]))&amp;":"&amp;ADDRESS(ROW(),COLUMN(NOTA[TANGGAL]))),-1)))</f>
        <v/>
      </c>
      <c r="AJ374" s="26" t="str">
        <f ca="1">IF(NOTA[[#This Row],[ID_H]]="","",INDEX(NOTA[TGL.NOTA],MATCH(,INDIRECT(ADDRESS(ROW(NOTA[TGL.NOTA]),COLUMN(NOTA[TGL.NOTA]))&amp;":"&amp;ADDRESS(ROW(),COLUMN(NOTA[TGL.NOTA]))),-1)))</f>
        <v/>
      </c>
      <c r="AK374" s="26" t="str">
        <f ca="1">IF(NOTA[[#This Row],[ID_H]]="","",INDEX(NOTA[NO.NOTA],MATCH(NOTA[[#This Row],[ID_H]],NOTA[ID_H],0)))</f>
        <v/>
      </c>
      <c r="AL374" s="28" t="str">
        <f ca="1">IF(NOTA[[#This Row],[NAMA BARANG]]="","",INDEX(NOTA[SUPPLIER],MATCH(,INDIRECT(ADDRESS(ROW(NOTA[ID]),COLUMN(NOTA[ID]))&amp;":"&amp;ADDRESS(ROW(),COLUMN(NOTA[ID]))),-1)))</f>
        <v/>
      </c>
      <c r="AM374" s="28" t="str">
        <f ca="1">IF(NOTA[[#This Row],[ID_H]]="","",IF(NOTA[[#This Row],[FAKTUR]]="",INDIRECT(ADDRESS(ROW()-1,COLUMN())),NOTA[[#This Row],[FAKTUR]]))</f>
        <v/>
      </c>
      <c r="AN374" s="25" t="str">
        <f ca="1">IF(NOTA[[#This Row],[ID]]="","",COUNTIF(NOTA[ID_H],NOTA[[#This Row],[ID_H]]))</f>
        <v/>
      </c>
      <c r="AO374" s="25" t="str">
        <f ca="1">IF(NOTA[[#This Row],[TGL.NOTA]]="",IF(NOTA[[#This Row],[SUPPLIER_H]]="","",AO373),MONTH(NOTA[[#This Row],[TGL.NOTA]]))</f>
        <v/>
      </c>
      <c r="AP3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4" s="25"/>
      <c r="AU374" s="25" t="str">
        <f>IF(NOTA[[#This Row],[CONCAT1]]="","",MATCH(NOTA[[#This Row],[CONCAT1]],[3]!db[NB NOTA_C],0))</f>
        <v/>
      </c>
      <c r="AV374" s="25" t="str">
        <f>IF(NOTA[[#This Row],[QTY/ CTN]]="","",TRUE)</f>
        <v/>
      </c>
      <c r="AW374" s="25" t="str">
        <f ca="1">IF(NOTA[[#This Row],[ID_H]]="","",IF(NOTA[[#This Row],[Column3]]=TRUE,NOTA[[#This Row],[QTY/ CTN]],INDEX([3]!db[QTY/ CTN],NOTA[[#This Row],[//DB]])))</f>
        <v/>
      </c>
      <c r="AX3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4" s="25" t="str">
        <f ca="1">IF(NOTA[[#This Row],[ID_H]]="","",MATCH(NOTA[[#This Row],[NB NOTA_C_QTY]],[3]!db[NB NOTA_C_QTY+F],0))</f>
        <v/>
      </c>
      <c r="AZ374" s="38" t="str">
        <f ca="1">IF(NOTA[[#This Row],[NB NOTA_C_QTY]]="","",ROW()-2)</f>
        <v/>
      </c>
    </row>
    <row r="375" spans="1:52" ht="20.100000000000001" customHeight="1">
      <c r="A3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5" s="25" t="str">
        <f ca="1">IF(NOTA[[#This Row],[NAMA BARANG]]="","",INDEX(NOTA[ID],MATCH(,INDIRECT(ADDRESS(ROW(NOTA[ID]),COLUMN(NOTA[ID]))&amp;":"&amp;ADDRESS(ROW(),COLUMN(NOTA[ID]))),-1)))</f>
        <v/>
      </c>
      <c r="E375" s="33"/>
      <c r="H375" s="34"/>
      <c r="Q375" s="29"/>
      <c r="R375" s="35"/>
      <c r="S375" s="36"/>
      <c r="V375" s="37"/>
      <c r="W375" s="32"/>
      <c r="X375" s="37" t="str">
        <f>IF(NOTA[[#This Row],[HARGA/ CTN]]="",NOTA[[#This Row],[JUMLAH_H]],NOTA[[#This Row],[HARGA/ CTN]]*IF(NOTA[[#This Row],[C]]="",0,NOTA[[#This Row],[C]]))</f>
        <v/>
      </c>
      <c r="Y375" s="37" t="str">
        <f>IF(NOTA[[#This Row],[JUMLAH]]="","",NOTA[[#This Row],[JUMLAH]]*NOTA[[#This Row],[DISC 1]])</f>
        <v/>
      </c>
      <c r="Z375" s="37" t="str">
        <f>IF(NOTA[[#This Row],[JUMLAH]]="","",(NOTA[[#This Row],[JUMLAH]]-NOTA[[#This Row],[DISC 1-]])*NOTA[[#This Row],[DISC 2]])</f>
        <v/>
      </c>
      <c r="AA375" s="37" t="str">
        <f>IF(NOTA[[#This Row],[JUMLAH]]="","",(NOTA[[#This Row],[JUMLAH]]-NOTA[[#This Row],[DISC 1-]]-NOTA[[#This Row],[DISC 2-]])*NOTA[[#This Row],[DISC 3]])</f>
        <v/>
      </c>
      <c r="AB375" s="37" t="str">
        <f>IF(NOTA[[#This Row],[JUMLAH]]="","",NOTA[[#This Row],[DISC 1-]]+NOTA[[#This Row],[DISC 2-]]+NOTA[[#This Row],[DISC 3-]])</f>
        <v/>
      </c>
      <c r="AC375" s="37" t="str">
        <f>IF(NOTA[[#This Row],[JUMLAH]]="","",NOTA[[#This Row],[JUMLAH]]-NOTA[[#This Row],[DISC]])</f>
        <v/>
      </c>
      <c r="AD375" s="37"/>
      <c r="AE3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5" s="37" t="str">
        <f>IF(OR(NOTA[[#This Row],[QTY]]="",NOTA[[#This Row],[HARGA SATUAN]]="",),"",NOTA[[#This Row],[QTY]]*NOTA[[#This Row],[HARGA SATUAN]])</f>
        <v/>
      </c>
      <c r="AI375" s="26" t="str">
        <f ca="1">IF(NOTA[[#This Row],[ID_H]]="","",INDEX(NOTA[TANGGAL],MATCH(,INDIRECT(ADDRESS(ROW(NOTA[TANGGAL]),COLUMN(NOTA[TANGGAL]))&amp;":"&amp;ADDRESS(ROW(),COLUMN(NOTA[TANGGAL]))),-1)))</f>
        <v/>
      </c>
      <c r="AJ375" s="26" t="str">
        <f ca="1">IF(NOTA[[#This Row],[ID_H]]="","",INDEX(NOTA[TGL.NOTA],MATCH(,INDIRECT(ADDRESS(ROW(NOTA[TGL.NOTA]),COLUMN(NOTA[TGL.NOTA]))&amp;":"&amp;ADDRESS(ROW(),COLUMN(NOTA[TGL.NOTA]))),-1)))</f>
        <v/>
      </c>
      <c r="AK375" s="26" t="str">
        <f ca="1">IF(NOTA[[#This Row],[ID_H]]="","",INDEX(NOTA[NO.NOTA],MATCH(NOTA[[#This Row],[ID_H]],NOTA[ID_H],0)))</f>
        <v/>
      </c>
      <c r="AL375" s="28" t="str">
        <f ca="1">IF(NOTA[[#This Row],[NAMA BARANG]]="","",INDEX(NOTA[SUPPLIER],MATCH(,INDIRECT(ADDRESS(ROW(NOTA[ID]),COLUMN(NOTA[ID]))&amp;":"&amp;ADDRESS(ROW(),COLUMN(NOTA[ID]))),-1)))</f>
        <v/>
      </c>
      <c r="AM375" s="28" t="str">
        <f ca="1">IF(NOTA[[#This Row],[ID_H]]="","",IF(NOTA[[#This Row],[FAKTUR]]="",INDIRECT(ADDRESS(ROW()-1,COLUMN())),NOTA[[#This Row],[FAKTUR]]))</f>
        <v/>
      </c>
      <c r="AN375" s="25" t="str">
        <f ca="1">IF(NOTA[[#This Row],[ID]]="","",COUNTIF(NOTA[ID_H],NOTA[[#This Row],[ID_H]]))</f>
        <v/>
      </c>
      <c r="AO375" s="25" t="str">
        <f ca="1">IF(NOTA[[#This Row],[TGL.NOTA]]="",IF(NOTA[[#This Row],[SUPPLIER_H]]="","",AO374),MONTH(NOTA[[#This Row],[TGL.NOTA]]))</f>
        <v/>
      </c>
      <c r="AP3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5" s="25"/>
      <c r="AU375" s="25" t="str">
        <f>IF(NOTA[[#This Row],[CONCAT1]]="","",MATCH(NOTA[[#This Row],[CONCAT1]],[3]!db[NB NOTA_C],0))</f>
        <v/>
      </c>
      <c r="AV375" s="25" t="str">
        <f>IF(NOTA[[#This Row],[QTY/ CTN]]="","",TRUE)</f>
        <v/>
      </c>
      <c r="AW375" s="25" t="str">
        <f ca="1">IF(NOTA[[#This Row],[ID_H]]="","",IF(NOTA[[#This Row],[Column3]]=TRUE,NOTA[[#This Row],[QTY/ CTN]],INDEX([3]!db[QTY/ CTN],NOTA[[#This Row],[//DB]])))</f>
        <v/>
      </c>
      <c r="AX3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5" s="25" t="str">
        <f ca="1">IF(NOTA[[#This Row],[ID_H]]="","",MATCH(NOTA[[#This Row],[NB NOTA_C_QTY]],[3]!db[NB NOTA_C_QTY+F],0))</f>
        <v/>
      </c>
      <c r="AZ375" s="38" t="str">
        <f ca="1">IF(NOTA[[#This Row],[NB NOTA_C_QTY]]="","",ROW()-2)</f>
        <v/>
      </c>
    </row>
    <row r="376" spans="1:52" ht="20.100000000000001" customHeight="1">
      <c r="A3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6" s="25" t="str">
        <f ca="1">IF(NOTA[[#This Row],[NAMA BARANG]]="","",INDEX(NOTA[ID],MATCH(,INDIRECT(ADDRESS(ROW(NOTA[ID]),COLUMN(NOTA[ID]))&amp;":"&amp;ADDRESS(ROW(),COLUMN(NOTA[ID]))),-1)))</f>
        <v/>
      </c>
      <c r="E376" s="33"/>
      <c r="H376" s="34"/>
      <c r="Q376" s="29"/>
      <c r="R376" s="35"/>
      <c r="S376" s="36"/>
      <c r="V376" s="37"/>
      <c r="W376" s="32"/>
      <c r="X376" s="37" t="str">
        <f>IF(NOTA[[#This Row],[HARGA/ CTN]]="",NOTA[[#This Row],[JUMLAH_H]],NOTA[[#This Row],[HARGA/ CTN]]*IF(NOTA[[#This Row],[C]]="",0,NOTA[[#This Row],[C]]))</f>
        <v/>
      </c>
      <c r="Y376" s="37" t="str">
        <f>IF(NOTA[[#This Row],[JUMLAH]]="","",NOTA[[#This Row],[JUMLAH]]*NOTA[[#This Row],[DISC 1]])</f>
        <v/>
      </c>
      <c r="Z376" s="37" t="str">
        <f>IF(NOTA[[#This Row],[JUMLAH]]="","",(NOTA[[#This Row],[JUMLAH]]-NOTA[[#This Row],[DISC 1-]])*NOTA[[#This Row],[DISC 2]])</f>
        <v/>
      </c>
      <c r="AA376" s="37" t="str">
        <f>IF(NOTA[[#This Row],[JUMLAH]]="","",(NOTA[[#This Row],[JUMLAH]]-NOTA[[#This Row],[DISC 1-]]-NOTA[[#This Row],[DISC 2-]])*NOTA[[#This Row],[DISC 3]])</f>
        <v/>
      </c>
      <c r="AB376" s="37" t="str">
        <f>IF(NOTA[[#This Row],[JUMLAH]]="","",NOTA[[#This Row],[DISC 1-]]+NOTA[[#This Row],[DISC 2-]]+NOTA[[#This Row],[DISC 3-]])</f>
        <v/>
      </c>
      <c r="AC376" s="37" t="str">
        <f>IF(NOTA[[#This Row],[JUMLAH]]="","",NOTA[[#This Row],[JUMLAH]]-NOTA[[#This Row],[DISC]])</f>
        <v/>
      </c>
      <c r="AD376" s="37"/>
      <c r="AE3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6" s="37" t="str">
        <f>IF(OR(NOTA[[#This Row],[QTY]]="",NOTA[[#This Row],[HARGA SATUAN]]="",),"",NOTA[[#This Row],[QTY]]*NOTA[[#This Row],[HARGA SATUAN]])</f>
        <v/>
      </c>
      <c r="AI376" s="26" t="str">
        <f ca="1">IF(NOTA[[#This Row],[ID_H]]="","",INDEX(NOTA[TANGGAL],MATCH(,INDIRECT(ADDRESS(ROW(NOTA[TANGGAL]),COLUMN(NOTA[TANGGAL]))&amp;":"&amp;ADDRESS(ROW(),COLUMN(NOTA[TANGGAL]))),-1)))</f>
        <v/>
      </c>
      <c r="AJ376" s="26" t="str">
        <f ca="1">IF(NOTA[[#This Row],[ID_H]]="","",INDEX(NOTA[TGL.NOTA],MATCH(,INDIRECT(ADDRESS(ROW(NOTA[TGL.NOTA]),COLUMN(NOTA[TGL.NOTA]))&amp;":"&amp;ADDRESS(ROW(),COLUMN(NOTA[TGL.NOTA]))),-1)))</f>
        <v/>
      </c>
      <c r="AK376" s="26" t="str">
        <f ca="1">IF(NOTA[[#This Row],[ID_H]]="","",INDEX(NOTA[NO.NOTA],MATCH(NOTA[[#This Row],[ID_H]],NOTA[ID_H],0)))</f>
        <v/>
      </c>
      <c r="AL376" s="28" t="str">
        <f ca="1">IF(NOTA[[#This Row],[NAMA BARANG]]="","",INDEX(NOTA[SUPPLIER],MATCH(,INDIRECT(ADDRESS(ROW(NOTA[ID]),COLUMN(NOTA[ID]))&amp;":"&amp;ADDRESS(ROW(),COLUMN(NOTA[ID]))),-1)))</f>
        <v/>
      </c>
      <c r="AM376" s="28" t="str">
        <f ca="1">IF(NOTA[[#This Row],[ID_H]]="","",IF(NOTA[[#This Row],[FAKTUR]]="",INDIRECT(ADDRESS(ROW()-1,COLUMN())),NOTA[[#This Row],[FAKTUR]]))</f>
        <v/>
      </c>
      <c r="AN376" s="25" t="str">
        <f ca="1">IF(NOTA[[#This Row],[ID]]="","",COUNTIF(NOTA[ID_H],NOTA[[#This Row],[ID_H]]))</f>
        <v/>
      </c>
      <c r="AO376" s="25" t="str">
        <f ca="1">IF(NOTA[[#This Row],[TGL.NOTA]]="",IF(NOTA[[#This Row],[SUPPLIER_H]]="","",AO375),MONTH(NOTA[[#This Row],[TGL.NOTA]]))</f>
        <v/>
      </c>
      <c r="AP3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6" s="25"/>
      <c r="AU376" s="25" t="str">
        <f>IF(NOTA[[#This Row],[CONCAT1]]="","",MATCH(NOTA[[#This Row],[CONCAT1]],[3]!db[NB NOTA_C],0))</f>
        <v/>
      </c>
      <c r="AV376" s="25" t="str">
        <f>IF(NOTA[[#This Row],[QTY/ CTN]]="","",TRUE)</f>
        <v/>
      </c>
      <c r="AW376" s="25" t="str">
        <f ca="1">IF(NOTA[[#This Row],[ID_H]]="","",IF(NOTA[[#This Row],[Column3]]=TRUE,NOTA[[#This Row],[QTY/ CTN]],INDEX([3]!db[QTY/ CTN],NOTA[[#This Row],[//DB]])))</f>
        <v/>
      </c>
      <c r="AX3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6" s="25" t="str">
        <f ca="1">IF(NOTA[[#This Row],[ID_H]]="","",MATCH(NOTA[[#This Row],[NB NOTA_C_QTY]],[3]!db[NB NOTA_C_QTY+F],0))</f>
        <v/>
      </c>
      <c r="AZ376" s="38" t="str">
        <f ca="1">IF(NOTA[[#This Row],[NB NOTA_C_QTY]]="","",ROW()-2)</f>
        <v/>
      </c>
    </row>
    <row r="377" spans="1:52" ht="20.100000000000001" customHeight="1">
      <c r="A3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7" s="25" t="str">
        <f ca="1">IF(NOTA[[#This Row],[NAMA BARANG]]="","",INDEX(NOTA[ID],MATCH(,INDIRECT(ADDRESS(ROW(NOTA[ID]),COLUMN(NOTA[ID]))&amp;":"&amp;ADDRESS(ROW(),COLUMN(NOTA[ID]))),-1)))</f>
        <v/>
      </c>
      <c r="E377" s="33"/>
      <c r="H377" s="34"/>
      <c r="Q377" s="29"/>
      <c r="R377" s="35"/>
      <c r="S377" s="36"/>
      <c r="V377" s="37"/>
      <c r="W377" s="32"/>
      <c r="X377" s="37" t="str">
        <f>IF(NOTA[[#This Row],[HARGA/ CTN]]="",NOTA[[#This Row],[JUMLAH_H]],NOTA[[#This Row],[HARGA/ CTN]]*IF(NOTA[[#This Row],[C]]="",0,NOTA[[#This Row],[C]]))</f>
        <v/>
      </c>
      <c r="Y377" s="37" t="str">
        <f>IF(NOTA[[#This Row],[JUMLAH]]="","",NOTA[[#This Row],[JUMLAH]]*NOTA[[#This Row],[DISC 1]])</f>
        <v/>
      </c>
      <c r="Z377" s="37" t="str">
        <f>IF(NOTA[[#This Row],[JUMLAH]]="","",(NOTA[[#This Row],[JUMLAH]]-NOTA[[#This Row],[DISC 1-]])*NOTA[[#This Row],[DISC 2]])</f>
        <v/>
      </c>
      <c r="AA377" s="37" t="str">
        <f>IF(NOTA[[#This Row],[JUMLAH]]="","",(NOTA[[#This Row],[JUMLAH]]-NOTA[[#This Row],[DISC 1-]]-NOTA[[#This Row],[DISC 2-]])*NOTA[[#This Row],[DISC 3]])</f>
        <v/>
      </c>
      <c r="AB377" s="37" t="str">
        <f>IF(NOTA[[#This Row],[JUMLAH]]="","",NOTA[[#This Row],[DISC 1-]]+NOTA[[#This Row],[DISC 2-]]+NOTA[[#This Row],[DISC 3-]])</f>
        <v/>
      </c>
      <c r="AC377" s="37" t="str">
        <f>IF(NOTA[[#This Row],[JUMLAH]]="","",NOTA[[#This Row],[JUMLAH]]-NOTA[[#This Row],[DISC]])</f>
        <v/>
      </c>
      <c r="AD377" s="37"/>
      <c r="AE3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7" s="37" t="str">
        <f>IF(OR(NOTA[[#This Row],[QTY]]="",NOTA[[#This Row],[HARGA SATUAN]]="",),"",NOTA[[#This Row],[QTY]]*NOTA[[#This Row],[HARGA SATUAN]])</f>
        <v/>
      </c>
      <c r="AI377" s="26" t="str">
        <f ca="1">IF(NOTA[[#This Row],[ID_H]]="","",INDEX(NOTA[TANGGAL],MATCH(,INDIRECT(ADDRESS(ROW(NOTA[TANGGAL]),COLUMN(NOTA[TANGGAL]))&amp;":"&amp;ADDRESS(ROW(),COLUMN(NOTA[TANGGAL]))),-1)))</f>
        <v/>
      </c>
      <c r="AJ377" s="26" t="str">
        <f ca="1">IF(NOTA[[#This Row],[ID_H]]="","",INDEX(NOTA[TGL.NOTA],MATCH(,INDIRECT(ADDRESS(ROW(NOTA[TGL.NOTA]),COLUMN(NOTA[TGL.NOTA]))&amp;":"&amp;ADDRESS(ROW(),COLUMN(NOTA[TGL.NOTA]))),-1)))</f>
        <v/>
      </c>
      <c r="AK377" s="26" t="str">
        <f ca="1">IF(NOTA[[#This Row],[ID_H]]="","",INDEX(NOTA[NO.NOTA],MATCH(NOTA[[#This Row],[ID_H]],NOTA[ID_H],0)))</f>
        <v/>
      </c>
      <c r="AL377" s="28" t="str">
        <f ca="1">IF(NOTA[[#This Row],[NAMA BARANG]]="","",INDEX(NOTA[SUPPLIER],MATCH(,INDIRECT(ADDRESS(ROW(NOTA[ID]),COLUMN(NOTA[ID]))&amp;":"&amp;ADDRESS(ROW(),COLUMN(NOTA[ID]))),-1)))</f>
        <v/>
      </c>
      <c r="AM377" s="28" t="str">
        <f ca="1">IF(NOTA[[#This Row],[ID_H]]="","",IF(NOTA[[#This Row],[FAKTUR]]="",INDIRECT(ADDRESS(ROW()-1,COLUMN())),NOTA[[#This Row],[FAKTUR]]))</f>
        <v/>
      </c>
      <c r="AN377" s="25" t="str">
        <f ca="1">IF(NOTA[[#This Row],[ID]]="","",COUNTIF(NOTA[ID_H],NOTA[[#This Row],[ID_H]]))</f>
        <v/>
      </c>
      <c r="AO377" s="25" t="str">
        <f ca="1">IF(NOTA[[#This Row],[TGL.NOTA]]="",IF(NOTA[[#This Row],[SUPPLIER_H]]="","",AO376),MONTH(NOTA[[#This Row],[TGL.NOTA]]))</f>
        <v/>
      </c>
      <c r="AP3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7" s="25"/>
      <c r="AU377" s="25" t="str">
        <f>IF(NOTA[[#This Row],[CONCAT1]]="","",MATCH(NOTA[[#This Row],[CONCAT1]],[3]!db[NB NOTA_C],0))</f>
        <v/>
      </c>
      <c r="AV377" s="25" t="str">
        <f>IF(NOTA[[#This Row],[QTY/ CTN]]="","",TRUE)</f>
        <v/>
      </c>
      <c r="AW377" s="25" t="str">
        <f ca="1">IF(NOTA[[#This Row],[ID_H]]="","",IF(NOTA[[#This Row],[Column3]]=TRUE,NOTA[[#This Row],[QTY/ CTN]],INDEX([3]!db[QTY/ CTN],NOTA[[#This Row],[//DB]])))</f>
        <v/>
      </c>
      <c r="AX3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7" s="25" t="str">
        <f ca="1">IF(NOTA[[#This Row],[ID_H]]="","",MATCH(NOTA[[#This Row],[NB NOTA_C_QTY]],[3]!db[NB NOTA_C_QTY+F],0))</f>
        <v/>
      </c>
      <c r="AZ377" s="38" t="str">
        <f ca="1">IF(NOTA[[#This Row],[NB NOTA_C_QTY]]="","",ROW()-2)</f>
        <v/>
      </c>
    </row>
    <row r="378" spans="1:52" ht="20.100000000000001" customHeight="1">
      <c r="A3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8" s="25" t="str">
        <f ca="1">IF(NOTA[[#This Row],[NAMA BARANG]]="","",INDEX(NOTA[ID],MATCH(,INDIRECT(ADDRESS(ROW(NOTA[ID]),COLUMN(NOTA[ID]))&amp;":"&amp;ADDRESS(ROW(),COLUMN(NOTA[ID]))),-1)))</f>
        <v/>
      </c>
      <c r="E378" s="33"/>
      <c r="H378" s="34"/>
      <c r="Q378" s="29"/>
      <c r="R378" s="35"/>
      <c r="S378" s="36"/>
      <c r="V378" s="37"/>
      <c r="W378" s="32"/>
      <c r="X378" s="37" t="str">
        <f>IF(NOTA[[#This Row],[HARGA/ CTN]]="",NOTA[[#This Row],[JUMLAH_H]],NOTA[[#This Row],[HARGA/ CTN]]*IF(NOTA[[#This Row],[C]]="",0,NOTA[[#This Row],[C]]))</f>
        <v/>
      </c>
      <c r="Y378" s="37" t="str">
        <f>IF(NOTA[[#This Row],[JUMLAH]]="","",NOTA[[#This Row],[JUMLAH]]*NOTA[[#This Row],[DISC 1]])</f>
        <v/>
      </c>
      <c r="Z378" s="37" t="str">
        <f>IF(NOTA[[#This Row],[JUMLAH]]="","",(NOTA[[#This Row],[JUMLAH]]-NOTA[[#This Row],[DISC 1-]])*NOTA[[#This Row],[DISC 2]])</f>
        <v/>
      </c>
      <c r="AA378" s="37" t="str">
        <f>IF(NOTA[[#This Row],[JUMLAH]]="","",(NOTA[[#This Row],[JUMLAH]]-NOTA[[#This Row],[DISC 1-]]-NOTA[[#This Row],[DISC 2-]])*NOTA[[#This Row],[DISC 3]])</f>
        <v/>
      </c>
      <c r="AB378" s="37" t="str">
        <f>IF(NOTA[[#This Row],[JUMLAH]]="","",NOTA[[#This Row],[DISC 1-]]+NOTA[[#This Row],[DISC 2-]]+NOTA[[#This Row],[DISC 3-]])</f>
        <v/>
      </c>
      <c r="AC378" s="37" t="str">
        <f>IF(NOTA[[#This Row],[JUMLAH]]="","",NOTA[[#This Row],[JUMLAH]]-NOTA[[#This Row],[DISC]])</f>
        <v/>
      </c>
      <c r="AD378" s="37"/>
      <c r="AE3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8" s="37" t="str">
        <f>IF(OR(NOTA[[#This Row],[QTY]]="",NOTA[[#This Row],[HARGA SATUAN]]="",),"",NOTA[[#This Row],[QTY]]*NOTA[[#This Row],[HARGA SATUAN]])</f>
        <v/>
      </c>
      <c r="AI378" s="26" t="str">
        <f ca="1">IF(NOTA[[#This Row],[ID_H]]="","",INDEX(NOTA[TANGGAL],MATCH(,INDIRECT(ADDRESS(ROW(NOTA[TANGGAL]),COLUMN(NOTA[TANGGAL]))&amp;":"&amp;ADDRESS(ROW(),COLUMN(NOTA[TANGGAL]))),-1)))</f>
        <v/>
      </c>
      <c r="AJ378" s="26" t="str">
        <f ca="1">IF(NOTA[[#This Row],[ID_H]]="","",INDEX(NOTA[TGL.NOTA],MATCH(,INDIRECT(ADDRESS(ROW(NOTA[TGL.NOTA]),COLUMN(NOTA[TGL.NOTA]))&amp;":"&amp;ADDRESS(ROW(),COLUMN(NOTA[TGL.NOTA]))),-1)))</f>
        <v/>
      </c>
      <c r="AK378" s="26" t="str">
        <f ca="1">IF(NOTA[[#This Row],[ID_H]]="","",INDEX(NOTA[NO.NOTA],MATCH(NOTA[[#This Row],[ID_H]],NOTA[ID_H],0)))</f>
        <v/>
      </c>
      <c r="AL378" s="28" t="str">
        <f ca="1">IF(NOTA[[#This Row],[NAMA BARANG]]="","",INDEX(NOTA[SUPPLIER],MATCH(,INDIRECT(ADDRESS(ROW(NOTA[ID]),COLUMN(NOTA[ID]))&amp;":"&amp;ADDRESS(ROW(),COLUMN(NOTA[ID]))),-1)))</f>
        <v/>
      </c>
      <c r="AM378" s="28" t="str">
        <f ca="1">IF(NOTA[[#This Row],[ID_H]]="","",IF(NOTA[[#This Row],[FAKTUR]]="",INDIRECT(ADDRESS(ROW()-1,COLUMN())),NOTA[[#This Row],[FAKTUR]]))</f>
        <v/>
      </c>
      <c r="AN378" s="25" t="str">
        <f ca="1">IF(NOTA[[#This Row],[ID]]="","",COUNTIF(NOTA[ID_H],NOTA[[#This Row],[ID_H]]))</f>
        <v/>
      </c>
      <c r="AO378" s="25" t="str">
        <f ca="1">IF(NOTA[[#This Row],[TGL.NOTA]]="",IF(NOTA[[#This Row],[SUPPLIER_H]]="","",AO377),MONTH(NOTA[[#This Row],[TGL.NOTA]]))</f>
        <v/>
      </c>
      <c r="AP3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8" s="25"/>
      <c r="AU378" s="25" t="str">
        <f>IF(NOTA[[#This Row],[CONCAT1]]="","",MATCH(NOTA[[#This Row],[CONCAT1]],[3]!db[NB NOTA_C],0))</f>
        <v/>
      </c>
      <c r="AV378" s="25" t="str">
        <f>IF(NOTA[[#This Row],[QTY/ CTN]]="","",TRUE)</f>
        <v/>
      </c>
      <c r="AW378" s="25" t="str">
        <f ca="1">IF(NOTA[[#This Row],[ID_H]]="","",IF(NOTA[[#This Row],[Column3]]=TRUE,NOTA[[#This Row],[QTY/ CTN]],INDEX([3]!db[QTY/ CTN],NOTA[[#This Row],[//DB]])))</f>
        <v/>
      </c>
      <c r="AX3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8" s="25" t="str">
        <f ca="1">IF(NOTA[[#This Row],[ID_H]]="","",MATCH(NOTA[[#This Row],[NB NOTA_C_QTY]],[3]!db[NB NOTA_C_QTY+F],0))</f>
        <v/>
      </c>
      <c r="AZ378" s="38" t="str">
        <f ca="1">IF(NOTA[[#This Row],[NB NOTA_C_QTY]]="","",ROW()-2)</f>
        <v/>
      </c>
    </row>
    <row r="379" spans="1:52" ht="20.100000000000001" customHeight="1">
      <c r="A3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9" s="25" t="str">
        <f ca="1">IF(NOTA[[#This Row],[NAMA BARANG]]="","",INDEX(NOTA[ID],MATCH(,INDIRECT(ADDRESS(ROW(NOTA[ID]),COLUMN(NOTA[ID]))&amp;":"&amp;ADDRESS(ROW(),COLUMN(NOTA[ID]))),-1)))</f>
        <v/>
      </c>
      <c r="E379" s="33"/>
      <c r="H379" s="34"/>
      <c r="Q379" s="29"/>
      <c r="R379" s="35"/>
      <c r="S379" s="36"/>
      <c r="V379" s="37"/>
      <c r="W379" s="32"/>
      <c r="X379" s="37" t="str">
        <f>IF(NOTA[[#This Row],[HARGA/ CTN]]="",NOTA[[#This Row],[JUMLAH_H]],NOTA[[#This Row],[HARGA/ CTN]]*IF(NOTA[[#This Row],[C]]="",0,NOTA[[#This Row],[C]]))</f>
        <v/>
      </c>
      <c r="Y379" s="37" t="str">
        <f>IF(NOTA[[#This Row],[JUMLAH]]="","",NOTA[[#This Row],[JUMLAH]]*NOTA[[#This Row],[DISC 1]])</f>
        <v/>
      </c>
      <c r="Z379" s="37" t="str">
        <f>IF(NOTA[[#This Row],[JUMLAH]]="","",(NOTA[[#This Row],[JUMLAH]]-NOTA[[#This Row],[DISC 1-]])*NOTA[[#This Row],[DISC 2]])</f>
        <v/>
      </c>
      <c r="AA379" s="37" t="str">
        <f>IF(NOTA[[#This Row],[JUMLAH]]="","",(NOTA[[#This Row],[JUMLAH]]-NOTA[[#This Row],[DISC 1-]]-NOTA[[#This Row],[DISC 2-]])*NOTA[[#This Row],[DISC 3]])</f>
        <v/>
      </c>
      <c r="AB379" s="37" t="str">
        <f>IF(NOTA[[#This Row],[JUMLAH]]="","",NOTA[[#This Row],[DISC 1-]]+NOTA[[#This Row],[DISC 2-]]+NOTA[[#This Row],[DISC 3-]])</f>
        <v/>
      </c>
      <c r="AC379" s="37" t="str">
        <f>IF(NOTA[[#This Row],[JUMLAH]]="","",NOTA[[#This Row],[JUMLAH]]-NOTA[[#This Row],[DISC]])</f>
        <v/>
      </c>
      <c r="AD379" s="37"/>
      <c r="AE3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9" s="37" t="str">
        <f>IF(OR(NOTA[[#This Row],[QTY]]="",NOTA[[#This Row],[HARGA SATUAN]]="",),"",NOTA[[#This Row],[QTY]]*NOTA[[#This Row],[HARGA SATUAN]])</f>
        <v/>
      </c>
      <c r="AI379" s="26" t="str">
        <f ca="1">IF(NOTA[[#This Row],[ID_H]]="","",INDEX(NOTA[TANGGAL],MATCH(,INDIRECT(ADDRESS(ROW(NOTA[TANGGAL]),COLUMN(NOTA[TANGGAL]))&amp;":"&amp;ADDRESS(ROW(),COLUMN(NOTA[TANGGAL]))),-1)))</f>
        <v/>
      </c>
      <c r="AJ379" s="26" t="str">
        <f ca="1">IF(NOTA[[#This Row],[ID_H]]="","",INDEX(NOTA[TGL.NOTA],MATCH(,INDIRECT(ADDRESS(ROW(NOTA[TGL.NOTA]),COLUMN(NOTA[TGL.NOTA]))&amp;":"&amp;ADDRESS(ROW(),COLUMN(NOTA[TGL.NOTA]))),-1)))</f>
        <v/>
      </c>
      <c r="AK379" s="26" t="str">
        <f ca="1">IF(NOTA[[#This Row],[ID_H]]="","",INDEX(NOTA[NO.NOTA],MATCH(NOTA[[#This Row],[ID_H]],NOTA[ID_H],0)))</f>
        <v/>
      </c>
      <c r="AL379" s="28" t="str">
        <f ca="1">IF(NOTA[[#This Row],[NAMA BARANG]]="","",INDEX(NOTA[SUPPLIER],MATCH(,INDIRECT(ADDRESS(ROW(NOTA[ID]),COLUMN(NOTA[ID]))&amp;":"&amp;ADDRESS(ROW(),COLUMN(NOTA[ID]))),-1)))</f>
        <v/>
      </c>
      <c r="AM379" s="28" t="str">
        <f ca="1">IF(NOTA[[#This Row],[ID_H]]="","",IF(NOTA[[#This Row],[FAKTUR]]="",INDIRECT(ADDRESS(ROW()-1,COLUMN())),NOTA[[#This Row],[FAKTUR]]))</f>
        <v/>
      </c>
      <c r="AN379" s="25" t="str">
        <f ca="1">IF(NOTA[[#This Row],[ID]]="","",COUNTIF(NOTA[ID_H],NOTA[[#This Row],[ID_H]]))</f>
        <v/>
      </c>
      <c r="AO379" s="25" t="str">
        <f ca="1">IF(NOTA[[#This Row],[TGL.NOTA]]="",IF(NOTA[[#This Row],[SUPPLIER_H]]="","",AO378),MONTH(NOTA[[#This Row],[TGL.NOTA]]))</f>
        <v/>
      </c>
      <c r="AP3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9" s="25"/>
      <c r="AU379" s="25" t="str">
        <f>IF(NOTA[[#This Row],[CONCAT1]]="","",MATCH(NOTA[[#This Row],[CONCAT1]],[3]!db[NB NOTA_C],0))</f>
        <v/>
      </c>
      <c r="AV379" s="25" t="str">
        <f>IF(NOTA[[#This Row],[QTY/ CTN]]="","",TRUE)</f>
        <v/>
      </c>
      <c r="AW379" s="25" t="str">
        <f ca="1">IF(NOTA[[#This Row],[ID_H]]="","",IF(NOTA[[#This Row],[Column3]]=TRUE,NOTA[[#This Row],[QTY/ CTN]],INDEX([3]!db[QTY/ CTN],NOTA[[#This Row],[//DB]])))</f>
        <v/>
      </c>
      <c r="AX3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9" s="25" t="str">
        <f ca="1">IF(NOTA[[#This Row],[ID_H]]="","",MATCH(NOTA[[#This Row],[NB NOTA_C_QTY]],[3]!db[NB NOTA_C_QTY+F],0))</f>
        <v/>
      </c>
      <c r="AZ379" s="38" t="str">
        <f ca="1">IF(NOTA[[#This Row],[NB NOTA_C_QTY]]="","",ROW()-2)</f>
        <v/>
      </c>
    </row>
    <row r="380" spans="1:52" ht="20.100000000000001" customHeight="1">
      <c r="A3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0" s="25" t="str">
        <f ca="1">IF(NOTA[[#This Row],[NAMA BARANG]]="","",INDEX(NOTA[ID],MATCH(,INDIRECT(ADDRESS(ROW(NOTA[ID]),COLUMN(NOTA[ID]))&amp;":"&amp;ADDRESS(ROW(),COLUMN(NOTA[ID]))),-1)))</f>
        <v/>
      </c>
      <c r="E380" s="33"/>
      <c r="H380" s="34"/>
      <c r="Q380" s="29"/>
      <c r="R380" s="35"/>
      <c r="S380" s="36"/>
      <c r="V380" s="37"/>
      <c r="W380" s="32"/>
      <c r="X380" s="37" t="str">
        <f>IF(NOTA[[#This Row],[HARGA/ CTN]]="",NOTA[[#This Row],[JUMLAH_H]],NOTA[[#This Row],[HARGA/ CTN]]*IF(NOTA[[#This Row],[C]]="",0,NOTA[[#This Row],[C]]))</f>
        <v/>
      </c>
      <c r="Y380" s="37" t="str">
        <f>IF(NOTA[[#This Row],[JUMLAH]]="","",NOTA[[#This Row],[JUMLAH]]*NOTA[[#This Row],[DISC 1]])</f>
        <v/>
      </c>
      <c r="Z380" s="37" t="str">
        <f>IF(NOTA[[#This Row],[JUMLAH]]="","",(NOTA[[#This Row],[JUMLAH]]-NOTA[[#This Row],[DISC 1-]])*NOTA[[#This Row],[DISC 2]])</f>
        <v/>
      </c>
      <c r="AA380" s="37" t="str">
        <f>IF(NOTA[[#This Row],[JUMLAH]]="","",(NOTA[[#This Row],[JUMLAH]]-NOTA[[#This Row],[DISC 1-]]-NOTA[[#This Row],[DISC 2-]])*NOTA[[#This Row],[DISC 3]])</f>
        <v/>
      </c>
      <c r="AB380" s="37" t="str">
        <f>IF(NOTA[[#This Row],[JUMLAH]]="","",NOTA[[#This Row],[DISC 1-]]+NOTA[[#This Row],[DISC 2-]]+NOTA[[#This Row],[DISC 3-]])</f>
        <v/>
      </c>
      <c r="AC380" s="37" t="str">
        <f>IF(NOTA[[#This Row],[JUMLAH]]="","",NOTA[[#This Row],[JUMLAH]]-NOTA[[#This Row],[DISC]])</f>
        <v/>
      </c>
      <c r="AD380" s="37"/>
      <c r="AE3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0" s="37" t="str">
        <f>IF(OR(NOTA[[#This Row],[QTY]]="",NOTA[[#This Row],[HARGA SATUAN]]="",),"",NOTA[[#This Row],[QTY]]*NOTA[[#This Row],[HARGA SATUAN]])</f>
        <v/>
      </c>
      <c r="AI380" s="26" t="str">
        <f ca="1">IF(NOTA[[#This Row],[ID_H]]="","",INDEX(NOTA[TANGGAL],MATCH(,INDIRECT(ADDRESS(ROW(NOTA[TANGGAL]),COLUMN(NOTA[TANGGAL]))&amp;":"&amp;ADDRESS(ROW(),COLUMN(NOTA[TANGGAL]))),-1)))</f>
        <v/>
      </c>
      <c r="AJ380" s="26" t="str">
        <f ca="1">IF(NOTA[[#This Row],[ID_H]]="","",INDEX(NOTA[TGL.NOTA],MATCH(,INDIRECT(ADDRESS(ROW(NOTA[TGL.NOTA]),COLUMN(NOTA[TGL.NOTA]))&amp;":"&amp;ADDRESS(ROW(),COLUMN(NOTA[TGL.NOTA]))),-1)))</f>
        <v/>
      </c>
      <c r="AK380" s="26" t="str">
        <f ca="1">IF(NOTA[[#This Row],[ID_H]]="","",INDEX(NOTA[NO.NOTA],MATCH(NOTA[[#This Row],[ID_H]],NOTA[ID_H],0)))</f>
        <v/>
      </c>
      <c r="AL380" s="28" t="str">
        <f ca="1">IF(NOTA[[#This Row],[NAMA BARANG]]="","",INDEX(NOTA[SUPPLIER],MATCH(,INDIRECT(ADDRESS(ROW(NOTA[ID]),COLUMN(NOTA[ID]))&amp;":"&amp;ADDRESS(ROW(),COLUMN(NOTA[ID]))),-1)))</f>
        <v/>
      </c>
      <c r="AM380" s="28" t="str">
        <f ca="1">IF(NOTA[[#This Row],[ID_H]]="","",IF(NOTA[[#This Row],[FAKTUR]]="",INDIRECT(ADDRESS(ROW()-1,COLUMN())),NOTA[[#This Row],[FAKTUR]]))</f>
        <v/>
      </c>
      <c r="AN380" s="25" t="str">
        <f ca="1">IF(NOTA[[#This Row],[ID]]="","",COUNTIF(NOTA[ID_H],NOTA[[#This Row],[ID_H]]))</f>
        <v/>
      </c>
      <c r="AO380" s="25" t="str">
        <f ca="1">IF(NOTA[[#This Row],[TGL.NOTA]]="",IF(NOTA[[#This Row],[SUPPLIER_H]]="","",AO379),MONTH(NOTA[[#This Row],[TGL.NOTA]]))</f>
        <v/>
      </c>
      <c r="AP3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0" s="25"/>
      <c r="AU380" s="25" t="str">
        <f>IF(NOTA[[#This Row],[CONCAT1]]="","",MATCH(NOTA[[#This Row],[CONCAT1]],[3]!db[NB NOTA_C],0))</f>
        <v/>
      </c>
      <c r="AV380" s="25" t="str">
        <f>IF(NOTA[[#This Row],[QTY/ CTN]]="","",TRUE)</f>
        <v/>
      </c>
      <c r="AW380" s="25" t="str">
        <f ca="1">IF(NOTA[[#This Row],[ID_H]]="","",IF(NOTA[[#This Row],[Column3]]=TRUE,NOTA[[#This Row],[QTY/ CTN]],INDEX([3]!db[QTY/ CTN],NOTA[[#This Row],[//DB]])))</f>
        <v/>
      </c>
      <c r="AX3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0" s="25" t="str">
        <f ca="1">IF(NOTA[[#This Row],[ID_H]]="","",MATCH(NOTA[[#This Row],[NB NOTA_C_QTY]],[3]!db[NB NOTA_C_QTY+F],0))</f>
        <v/>
      </c>
      <c r="AZ380" s="38" t="str">
        <f ca="1">IF(NOTA[[#This Row],[NB NOTA_C_QTY]]="","",ROW()-2)</f>
        <v/>
      </c>
    </row>
    <row r="381" spans="1:52" ht="20.100000000000001" customHeight="1">
      <c r="A3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1" s="25" t="str">
        <f ca="1">IF(NOTA[[#This Row],[NAMA BARANG]]="","",INDEX(NOTA[ID],MATCH(,INDIRECT(ADDRESS(ROW(NOTA[ID]),COLUMN(NOTA[ID]))&amp;":"&amp;ADDRESS(ROW(),COLUMN(NOTA[ID]))),-1)))</f>
        <v/>
      </c>
      <c r="E381" s="33"/>
      <c r="H381" s="34"/>
      <c r="Q381" s="29"/>
      <c r="R381" s="35"/>
      <c r="S381" s="36"/>
      <c r="V381" s="37"/>
      <c r="W381" s="32"/>
      <c r="X381" s="37" t="str">
        <f>IF(NOTA[[#This Row],[HARGA/ CTN]]="",NOTA[[#This Row],[JUMLAH_H]],NOTA[[#This Row],[HARGA/ CTN]]*IF(NOTA[[#This Row],[C]]="",0,NOTA[[#This Row],[C]]))</f>
        <v/>
      </c>
      <c r="Y381" s="37" t="str">
        <f>IF(NOTA[[#This Row],[JUMLAH]]="","",NOTA[[#This Row],[JUMLAH]]*NOTA[[#This Row],[DISC 1]])</f>
        <v/>
      </c>
      <c r="Z381" s="37" t="str">
        <f>IF(NOTA[[#This Row],[JUMLAH]]="","",(NOTA[[#This Row],[JUMLAH]]-NOTA[[#This Row],[DISC 1-]])*NOTA[[#This Row],[DISC 2]])</f>
        <v/>
      </c>
      <c r="AA381" s="37" t="str">
        <f>IF(NOTA[[#This Row],[JUMLAH]]="","",(NOTA[[#This Row],[JUMLAH]]-NOTA[[#This Row],[DISC 1-]]-NOTA[[#This Row],[DISC 2-]])*NOTA[[#This Row],[DISC 3]])</f>
        <v/>
      </c>
      <c r="AB381" s="37" t="str">
        <f>IF(NOTA[[#This Row],[JUMLAH]]="","",NOTA[[#This Row],[DISC 1-]]+NOTA[[#This Row],[DISC 2-]]+NOTA[[#This Row],[DISC 3-]])</f>
        <v/>
      </c>
      <c r="AC381" s="37" t="str">
        <f>IF(NOTA[[#This Row],[JUMLAH]]="","",NOTA[[#This Row],[JUMLAH]]-NOTA[[#This Row],[DISC]])</f>
        <v/>
      </c>
      <c r="AD381" s="37"/>
      <c r="AE3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1" s="37" t="str">
        <f>IF(OR(NOTA[[#This Row],[QTY]]="",NOTA[[#This Row],[HARGA SATUAN]]="",),"",NOTA[[#This Row],[QTY]]*NOTA[[#This Row],[HARGA SATUAN]])</f>
        <v/>
      </c>
      <c r="AI381" s="26" t="str">
        <f ca="1">IF(NOTA[[#This Row],[ID_H]]="","",INDEX(NOTA[TANGGAL],MATCH(,INDIRECT(ADDRESS(ROW(NOTA[TANGGAL]),COLUMN(NOTA[TANGGAL]))&amp;":"&amp;ADDRESS(ROW(),COLUMN(NOTA[TANGGAL]))),-1)))</f>
        <v/>
      </c>
      <c r="AJ381" s="26" t="str">
        <f ca="1">IF(NOTA[[#This Row],[ID_H]]="","",INDEX(NOTA[TGL.NOTA],MATCH(,INDIRECT(ADDRESS(ROW(NOTA[TGL.NOTA]),COLUMN(NOTA[TGL.NOTA]))&amp;":"&amp;ADDRESS(ROW(),COLUMN(NOTA[TGL.NOTA]))),-1)))</f>
        <v/>
      </c>
      <c r="AK381" s="26" t="str">
        <f ca="1">IF(NOTA[[#This Row],[ID_H]]="","",INDEX(NOTA[NO.NOTA],MATCH(NOTA[[#This Row],[ID_H]],NOTA[ID_H],0)))</f>
        <v/>
      </c>
      <c r="AL381" s="28" t="str">
        <f ca="1">IF(NOTA[[#This Row],[NAMA BARANG]]="","",INDEX(NOTA[SUPPLIER],MATCH(,INDIRECT(ADDRESS(ROW(NOTA[ID]),COLUMN(NOTA[ID]))&amp;":"&amp;ADDRESS(ROW(),COLUMN(NOTA[ID]))),-1)))</f>
        <v/>
      </c>
      <c r="AM381" s="28" t="str">
        <f ca="1">IF(NOTA[[#This Row],[ID_H]]="","",IF(NOTA[[#This Row],[FAKTUR]]="",INDIRECT(ADDRESS(ROW()-1,COLUMN())),NOTA[[#This Row],[FAKTUR]]))</f>
        <v/>
      </c>
      <c r="AN381" s="25" t="str">
        <f ca="1">IF(NOTA[[#This Row],[ID]]="","",COUNTIF(NOTA[ID_H],NOTA[[#This Row],[ID_H]]))</f>
        <v/>
      </c>
      <c r="AO381" s="25" t="str">
        <f ca="1">IF(NOTA[[#This Row],[TGL.NOTA]]="",IF(NOTA[[#This Row],[SUPPLIER_H]]="","",AO380),MONTH(NOTA[[#This Row],[TGL.NOTA]]))</f>
        <v/>
      </c>
      <c r="AP3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1" s="25"/>
      <c r="AU381" s="25" t="str">
        <f>IF(NOTA[[#This Row],[CONCAT1]]="","",MATCH(NOTA[[#This Row],[CONCAT1]],[3]!db[NB NOTA_C],0))</f>
        <v/>
      </c>
      <c r="AV381" s="25" t="str">
        <f>IF(NOTA[[#This Row],[QTY/ CTN]]="","",TRUE)</f>
        <v/>
      </c>
      <c r="AW381" s="25" t="str">
        <f ca="1">IF(NOTA[[#This Row],[ID_H]]="","",IF(NOTA[[#This Row],[Column3]]=TRUE,NOTA[[#This Row],[QTY/ CTN]],INDEX([3]!db[QTY/ CTN],NOTA[[#This Row],[//DB]])))</f>
        <v/>
      </c>
      <c r="AX3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1" s="25" t="str">
        <f ca="1">IF(NOTA[[#This Row],[ID_H]]="","",MATCH(NOTA[[#This Row],[NB NOTA_C_QTY]],[3]!db[NB NOTA_C_QTY+F],0))</f>
        <v/>
      </c>
      <c r="AZ381" s="38" t="str">
        <f ca="1">IF(NOTA[[#This Row],[NB NOTA_C_QTY]]="","",ROW()-2)</f>
        <v/>
      </c>
    </row>
    <row r="382" spans="1:52" ht="20.100000000000001" customHeight="1">
      <c r="A3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2" s="25" t="str">
        <f ca="1">IF(NOTA[[#This Row],[NAMA BARANG]]="","",INDEX(NOTA[ID],MATCH(,INDIRECT(ADDRESS(ROW(NOTA[ID]),COLUMN(NOTA[ID]))&amp;":"&amp;ADDRESS(ROW(),COLUMN(NOTA[ID]))),-1)))</f>
        <v/>
      </c>
      <c r="E382" s="33"/>
      <c r="H382" s="34"/>
      <c r="Q382" s="29"/>
      <c r="R382" s="35"/>
      <c r="S382" s="36"/>
      <c r="V382" s="37"/>
      <c r="W382" s="32"/>
      <c r="X382" s="37" t="str">
        <f>IF(NOTA[[#This Row],[HARGA/ CTN]]="",NOTA[[#This Row],[JUMLAH_H]],NOTA[[#This Row],[HARGA/ CTN]]*IF(NOTA[[#This Row],[C]]="",0,NOTA[[#This Row],[C]]))</f>
        <v/>
      </c>
      <c r="Y382" s="37" t="str">
        <f>IF(NOTA[[#This Row],[JUMLAH]]="","",NOTA[[#This Row],[JUMLAH]]*NOTA[[#This Row],[DISC 1]])</f>
        <v/>
      </c>
      <c r="Z382" s="37" t="str">
        <f>IF(NOTA[[#This Row],[JUMLAH]]="","",(NOTA[[#This Row],[JUMLAH]]-NOTA[[#This Row],[DISC 1-]])*NOTA[[#This Row],[DISC 2]])</f>
        <v/>
      </c>
      <c r="AA382" s="37" t="str">
        <f>IF(NOTA[[#This Row],[JUMLAH]]="","",(NOTA[[#This Row],[JUMLAH]]-NOTA[[#This Row],[DISC 1-]]-NOTA[[#This Row],[DISC 2-]])*NOTA[[#This Row],[DISC 3]])</f>
        <v/>
      </c>
      <c r="AB382" s="37" t="str">
        <f>IF(NOTA[[#This Row],[JUMLAH]]="","",NOTA[[#This Row],[DISC 1-]]+NOTA[[#This Row],[DISC 2-]]+NOTA[[#This Row],[DISC 3-]])</f>
        <v/>
      </c>
      <c r="AC382" s="37" t="str">
        <f>IF(NOTA[[#This Row],[JUMLAH]]="","",NOTA[[#This Row],[JUMLAH]]-NOTA[[#This Row],[DISC]])</f>
        <v/>
      </c>
      <c r="AD382" s="37"/>
      <c r="AE3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2" s="37" t="str">
        <f>IF(OR(NOTA[[#This Row],[QTY]]="",NOTA[[#This Row],[HARGA SATUAN]]="",),"",NOTA[[#This Row],[QTY]]*NOTA[[#This Row],[HARGA SATUAN]])</f>
        <v/>
      </c>
      <c r="AI382" s="26" t="str">
        <f ca="1">IF(NOTA[[#This Row],[ID_H]]="","",INDEX(NOTA[TANGGAL],MATCH(,INDIRECT(ADDRESS(ROW(NOTA[TANGGAL]),COLUMN(NOTA[TANGGAL]))&amp;":"&amp;ADDRESS(ROW(),COLUMN(NOTA[TANGGAL]))),-1)))</f>
        <v/>
      </c>
      <c r="AJ382" s="26" t="str">
        <f ca="1">IF(NOTA[[#This Row],[ID_H]]="","",INDEX(NOTA[TGL.NOTA],MATCH(,INDIRECT(ADDRESS(ROW(NOTA[TGL.NOTA]),COLUMN(NOTA[TGL.NOTA]))&amp;":"&amp;ADDRESS(ROW(),COLUMN(NOTA[TGL.NOTA]))),-1)))</f>
        <v/>
      </c>
      <c r="AK382" s="26" t="str">
        <f ca="1">IF(NOTA[[#This Row],[ID_H]]="","",INDEX(NOTA[NO.NOTA],MATCH(NOTA[[#This Row],[ID_H]],NOTA[ID_H],0)))</f>
        <v/>
      </c>
      <c r="AL382" s="28" t="str">
        <f ca="1">IF(NOTA[[#This Row],[NAMA BARANG]]="","",INDEX(NOTA[SUPPLIER],MATCH(,INDIRECT(ADDRESS(ROW(NOTA[ID]),COLUMN(NOTA[ID]))&amp;":"&amp;ADDRESS(ROW(),COLUMN(NOTA[ID]))),-1)))</f>
        <v/>
      </c>
      <c r="AM382" s="28" t="str">
        <f ca="1">IF(NOTA[[#This Row],[ID_H]]="","",IF(NOTA[[#This Row],[FAKTUR]]="",INDIRECT(ADDRESS(ROW()-1,COLUMN())),NOTA[[#This Row],[FAKTUR]]))</f>
        <v/>
      </c>
      <c r="AN382" s="25" t="str">
        <f ca="1">IF(NOTA[[#This Row],[ID]]="","",COUNTIF(NOTA[ID_H],NOTA[[#This Row],[ID_H]]))</f>
        <v/>
      </c>
      <c r="AO382" s="25" t="str">
        <f ca="1">IF(NOTA[[#This Row],[TGL.NOTA]]="",IF(NOTA[[#This Row],[SUPPLIER_H]]="","",AO381),MONTH(NOTA[[#This Row],[TGL.NOTA]]))</f>
        <v/>
      </c>
      <c r="AP3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2" s="25"/>
      <c r="AU382" s="25" t="str">
        <f>IF(NOTA[[#This Row],[CONCAT1]]="","",MATCH(NOTA[[#This Row],[CONCAT1]],[3]!db[NB NOTA_C],0))</f>
        <v/>
      </c>
      <c r="AV382" s="25" t="str">
        <f>IF(NOTA[[#This Row],[QTY/ CTN]]="","",TRUE)</f>
        <v/>
      </c>
      <c r="AW382" s="25" t="str">
        <f ca="1">IF(NOTA[[#This Row],[ID_H]]="","",IF(NOTA[[#This Row],[Column3]]=TRUE,NOTA[[#This Row],[QTY/ CTN]],INDEX([3]!db[QTY/ CTN],NOTA[[#This Row],[//DB]])))</f>
        <v/>
      </c>
      <c r="AX3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2" s="25" t="str">
        <f ca="1">IF(NOTA[[#This Row],[ID_H]]="","",MATCH(NOTA[[#This Row],[NB NOTA_C_QTY]],[3]!db[NB NOTA_C_QTY+F],0))</f>
        <v/>
      </c>
      <c r="AZ382" s="38" t="str">
        <f ca="1">IF(NOTA[[#This Row],[NB NOTA_C_QTY]]="","",ROW()-2)</f>
        <v/>
      </c>
    </row>
    <row r="383" spans="1:52" ht="20.100000000000001" customHeight="1">
      <c r="A3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3" s="25" t="str">
        <f ca="1">IF(NOTA[[#This Row],[NAMA BARANG]]="","",INDEX(NOTA[ID],MATCH(,INDIRECT(ADDRESS(ROW(NOTA[ID]),COLUMN(NOTA[ID]))&amp;":"&amp;ADDRESS(ROW(),COLUMN(NOTA[ID]))),-1)))</f>
        <v/>
      </c>
      <c r="E383" s="33"/>
      <c r="H383" s="34"/>
      <c r="Q383" s="29"/>
      <c r="R383" s="35"/>
      <c r="S383" s="36"/>
      <c r="V383" s="37"/>
      <c r="W383" s="32"/>
      <c r="X383" s="37" t="str">
        <f>IF(NOTA[[#This Row],[HARGA/ CTN]]="",NOTA[[#This Row],[JUMLAH_H]],NOTA[[#This Row],[HARGA/ CTN]]*IF(NOTA[[#This Row],[C]]="",0,NOTA[[#This Row],[C]]))</f>
        <v/>
      </c>
      <c r="Y383" s="37" t="str">
        <f>IF(NOTA[[#This Row],[JUMLAH]]="","",NOTA[[#This Row],[JUMLAH]]*NOTA[[#This Row],[DISC 1]])</f>
        <v/>
      </c>
      <c r="Z383" s="37" t="str">
        <f>IF(NOTA[[#This Row],[JUMLAH]]="","",(NOTA[[#This Row],[JUMLAH]]-NOTA[[#This Row],[DISC 1-]])*NOTA[[#This Row],[DISC 2]])</f>
        <v/>
      </c>
      <c r="AA383" s="37" t="str">
        <f>IF(NOTA[[#This Row],[JUMLAH]]="","",(NOTA[[#This Row],[JUMLAH]]-NOTA[[#This Row],[DISC 1-]]-NOTA[[#This Row],[DISC 2-]])*NOTA[[#This Row],[DISC 3]])</f>
        <v/>
      </c>
      <c r="AB383" s="37" t="str">
        <f>IF(NOTA[[#This Row],[JUMLAH]]="","",NOTA[[#This Row],[DISC 1-]]+NOTA[[#This Row],[DISC 2-]]+NOTA[[#This Row],[DISC 3-]])</f>
        <v/>
      </c>
      <c r="AC383" s="37" t="str">
        <f>IF(NOTA[[#This Row],[JUMLAH]]="","",NOTA[[#This Row],[JUMLAH]]-NOTA[[#This Row],[DISC]])</f>
        <v/>
      </c>
      <c r="AD383" s="37"/>
      <c r="AE3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3" s="37" t="str">
        <f>IF(OR(NOTA[[#This Row],[QTY]]="",NOTA[[#This Row],[HARGA SATUAN]]="",),"",NOTA[[#This Row],[QTY]]*NOTA[[#This Row],[HARGA SATUAN]])</f>
        <v/>
      </c>
      <c r="AI383" s="26" t="str">
        <f ca="1">IF(NOTA[[#This Row],[ID_H]]="","",INDEX(NOTA[TANGGAL],MATCH(,INDIRECT(ADDRESS(ROW(NOTA[TANGGAL]),COLUMN(NOTA[TANGGAL]))&amp;":"&amp;ADDRESS(ROW(),COLUMN(NOTA[TANGGAL]))),-1)))</f>
        <v/>
      </c>
      <c r="AJ383" s="26" t="str">
        <f ca="1">IF(NOTA[[#This Row],[ID_H]]="","",INDEX(NOTA[TGL.NOTA],MATCH(,INDIRECT(ADDRESS(ROW(NOTA[TGL.NOTA]),COLUMN(NOTA[TGL.NOTA]))&amp;":"&amp;ADDRESS(ROW(),COLUMN(NOTA[TGL.NOTA]))),-1)))</f>
        <v/>
      </c>
      <c r="AK383" s="26" t="str">
        <f ca="1">IF(NOTA[[#This Row],[ID_H]]="","",INDEX(NOTA[NO.NOTA],MATCH(NOTA[[#This Row],[ID_H]],NOTA[ID_H],0)))</f>
        <v/>
      </c>
      <c r="AL383" s="28" t="str">
        <f ca="1">IF(NOTA[[#This Row],[NAMA BARANG]]="","",INDEX(NOTA[SUPPLIER],MATCH(,INDIRECT(ADDRESS(ROW(NOTA[ID]),COLUMN(NOTA[ID]))&amp;":"&amp;ADDRESS(ROW(),COLUMN(NOTA[ID]))),-1)))</f>
        <v/>
      </c>
      <c r="AM383" s="28" t="str">
        <f ca="1">IF(NOTA[[#This Row],[ID_H]]="","",IF(NOTA[[#This Row],[FAKTUR]]="",INDIRECT(ADDRESS(ROW()-1,COLUMN())),NOTA[[#This Row],[FAKTUR]]))</f>
        <v/>
      </c>
      <c r="AN383" s="25" t="str">
        <f ca="1">IF(NOTA[[#This Row],[ID]]="","",COUNTIF(NOTA[ID_H],NOTA[[#This Row],[ID_H]]))</f>
        <v/>
      </c>
      <c r="AO383" s="25" t="str">
        <f ca="1">IF(NOTA[[#This Row],[TGL.NOTA]]="",IF(NOTA[[#This Row],[SUPPLIER_H]]="","",AO382),MONTH(NOTA[[#This Row],[TGL.NOTA]]))</f>
        <v/>
      </c>
      <c r="AP3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3" s="25"/>
      <c r="AU383" s="25" t="str">
        <f>IF(NOTA[[#This Row],[CONCAT1]]="","",MATCH(NOTA[[#This Row],[CONCAT1]],[3]!db[NB NOTA_C],0))</f>
        <v/>
      </c>
      <c r="AV383" s="25" t="str">
        <f>IF(NOTA[[#This Row],[QTY/ CTN]]="","",TRUE)</f>
        <v/>
      </c>
      <c r="AW383" s="25" t="str">
        <f ca="1">IF(NOTA[[#This Row],[ID_H]]="","",IF(NOTA[[#This Row],[Column3]]=TRUE,NOTA[[#This Row],[QTY/ CTN]],INDEX([3]!db[QTY/ CTN],NOTA[[#This Row],[//DB]])))</f>
        <v/>
      </c>
      <c r="AX3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3" s="25" t="str">
        <f ca="1">IF(NOTA[[#This Row],[ID_H]]="","",MATCH(NOTA[[#This Row],[NB NOTA_C_QTY]],[3]!db[NB NOTA_C_QTY+F],0))</f>
        <v/>
      </c>
      <c r="AZ383" s="38" t="str">
        <f ca="1">IF(NOTA[[#This Row],[NB NOTA_C_QTY]]="","",ROW()-2)</f>
        <v/>
      </c>
    </row>
    <row r="384" spans="1:52" ht="20.100000000000001" customHeight="1">
      <c r="A3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4" s="25" t="str">
        <f ca="1">IF(NOTA[[#This Row],[NAMA BARANG]]="","",INDEX(NOTA[ID],MATCH(,INDIRECT(ADDRESS(ROW(NOTA[ID]),COLUMN(NOTA[ID]))&amp;":"&amp;ADDRESS(ROW(),COLUMN(NOTA[ID]))),-1)))</f>
        <v/>
      </c>
      <c r="E384" s="33"/>
      <c r="H384" s="34"/>
      <c r="Q384" s="29"/>
      <c r="R384" s="35"/>
      <c r="S384" s="36"/>
      <c r="V384" s="37"/>
      <c r="W384" s="32"/>
      <c r="X384" s="37" t="str">
        <f>IF(NOTA[[#This Row],[HARGA/ CTN]]="",NOTA[[#This Row],[JUMLAH_H]],NOTA[[#This Row],[HARGA/ CTN]]*IF(NOTA[[#This Row],[C]]="",0,NOTA[[#This Row],[C]]))</f>
        <v/>
      </c>
      <c r="Y384" s="37" t="str">
        <f>IF(NOTA[[#This Row],[JUMLAH]]="","",NOTA[[#This Row],[JUMLAH]]*NOTA[[#This Row],[DISC 1]])</f>
        <v/>
      </c>
      <c r="Z384" s="37" t="str">
        <f>IF(NOTA[[#This Row],[JUMLAH]]="","",(NOTA[[#This Row],[JUMLAH]]-NOTA[[#This Row],[DISC 1-]])*NOTA[[#This Row],[DISC 2]])</f>
        <v/>
      </c>
      <c r="AA384" s="37" t="str">
        <f>IF(NOTA[[#This Row],[JUMLAH]]="","",(NOTA[[#This Row],[JUMLAH]]-NOTA[[#This Row],[DISC 1-]]-NOTA[[#This Row],[DISC 2-]])*NOTA[[#This Row],[DISC 3]])</f>
        <v/>
      </c>
      <c r="AB384" s="37" t="str">
        <f>IF(NOTA[[#This Row],[JUMLAH]]="","",NOTA[[#This Row],[DISC 1-]]+NOTA[[#This Row],[DISC 2-]]+NOTA[[#This Row],[DISC 3-]])</f>
        <v/>
      </c>
      <c r="AC384" s="37" t="str">
        <f>IF(NOTA[[#This Row],[JUMLAH]]="","",NOTA[[#This Row],[JUMLAH]]-NOTA[[#This Row],[DISC]])</f>
        <v/>
      </c>
      <c r="AD384" s="37"/>
      <c r="AE3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4" s="37" t="str">
        <f>IF(OR(NOTA[[#This Row],[QTY]]="",NOTA[[#This Row],[HARGA SATUAN]]="",),"",NOTA[[#This Row],[QTY]]*NOTA[[#This Row],[HARGA SATUAN]])</f>
        <v/>
      </c>
      <c r="AI384" s="26" t="str">
        <f ca="1">IF(NOTA[[#This Row],[ID_H]]="","",INDEX(NOTA[TANGGAL],MATCH(,INDIRECT(ADDRESS(ROW(NOTA[TANGGAL]),COLUMN(NOTA[TANGGAL]))&amp;":"&amp;ADDRESS(ROW(),COLUMN(NOTA[TANGGAL]))),-1)))</f>
        <v/>
      </c>
      <c r="AJ384" s="26" t="str">
        <f ca="1">IF(NOTA[[#This Row],[ID_H]]="","",INDEX(NOTA[TGL.NOTA],MATCH(,INDIRECT(ADDRESS(ROW(NOTA[TGL.NOTA]),COLUMN(NOTA[TGL.NOTA]))&amp;":"&amp;ADDRESS(ROW(),COLUMN(NOTA[TGL.NOTA]))),-1)))</f>
        <v/>
      </c>
      <c r="AK384" s="26" t="str">
        <f ca="1">IF(NOTA[[#This Row],[ID_H]]="","",INDEX(NOTA[NO.NOTA],MATCH(NOTA[[#This Row],[ID_H]],NOTA[ID_H],0)))</f>
        <v/>
      </c>
      <c r="AL384" s="28" t="str">
        <f ca="1">IF(NOTA[[#This Row],[NAMA BARANG]]="","",INDEX(NOTA[SUPPLIER],MATCH(,INDIRECT(ADDRESS(ROW(NOTA[ID]),COLUMN(NOTA[ID]))&amp;":"&amp;ADDRESS(ROW(),COLUMN(NOTA[ID]))),-1)))</f>
        <v/>
      </c>
      <c r="AM384" s="28" t="str">
        <f ca="1">IF(NOTA[[#This Row],[ID_H]]="","",IF(NOTA[[#This Row],[FAKTUR]]="",INDIRECT(ADDRESS(ROW()-1,COLUMN())),NOTA[[#This Row],[FAKTUR]]))</f>
        <v/>
      </c>
      <c r="AN384" s="25" t="str">
        <f ca="1">IF(NOTA[[#This Row],[ID]]="","",COUNTIF(NOTA[ID_H],NOTA[[#This Row],[ID_H]]))</f>
        <v/>
      </c>
      <c r="AO384" s="25" t="str">
        <f ca="1">IF(NOTA[[#This Row],[TGL.NOTA]]="",IF(NOTA[[#This Row],[SUPPLIER_H]]="","",AO383),MONTH(NOTA[[#This Row],[TGL.NOTA]]))</f>
        <v/>
      </c>
      <c r="AP3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4" s="25"/>
      <c r="AU384" s="25" t="str">
        <f>IF(NOTA[[#This Row],[CONCAT1]]="","",MATCH(NOTA[[#This Row],[CONCAT1]],[3]!db[NB NOTA_C],0))</f>
        <v/>
      </c>
      <c r="AV384" s="25" t="str">
        <f>IF(NOTA[[#This Row],[QTY/ CTN]]="","",TRUE)</f>
        <v/>
      </c>
      <c r="AW384" s="25" t="str">
        <f ca="1">IF(NOTA[[#This Row],[ID_H]]="","",IF(NOTA[[#This Row],[Column3]]=TRUE,NOTA[[#This Row],[QTY/ CTN]],INDEX([3]!db[QTY/ CTN],NOTA[[#This Row],[//DB]])))</f>
        <v/>
      </c>
      <c r="AX3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4" s="25" t="str">
        <f ca="1">IF(NOTA[[#This Row],[ID_H]]="","",MATCH(NOTA[[#This Row],[NB NOTA_C_QTY]],[3]!db[NB NOTA_C_QTY+F],0))</f>
        <v/>
      </c>
      <c r="AZ384" s="38" t="str">
        <f ca="1">IF(NOTA[[#This Row],[NB NOTA_C_QTY]]="","",ROW()-2)</f>
        <v/>
      </c>
    </row>
    <row r="385" spans="1:52" ht="20.100000000000001" customHeight="1">
      <c r="A3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5" s="25" t="str">
        <f ca="1">IF(NOTA[[#This Row],[NAMA BARANG]]="","",INDEX(NOTA[ID],MATCH(,INDIRECT(ADDRESS(ROW(NOTA[ID]),COLUMN(NOTA[ID]))&amp;":"&amp;ADDRESS(ROW(),COLUMN(NOTA[ID]))),-1)))</f>
        <v/>
      </c>
      <c r="E385" s="33"/>
      <c r="H385" s="34"/>
      <c r="Q385" s="29"/>
      <c r="R385" s="35"/>
      <c r="S385" s="36"/>
      <c r="V385" s="37"/>
      <c r="W385" s="32"/>
      <c r="X385" s="37" t="str">
        <f>IF(NOTA[[#This Row],[HARGA/ CTN]]="",NOTA[[#This Row],[JUMLAH_H]],NOTA[[#This Row],[HARGA/ CTN]]*IF(NOTA[[#This Row],[C]]="",0,NOTA[[#This Row],[C]]))</f>
        <v/>
      </c>
      <c r="Y385" s="37" t="str">
        <f>IF(NOTA[[#This Row],[JUMLAH]]="","",NOTA[[#This Row],[JUMLAH]]*NOTA[[#This Row],[DISC 1]])</f>
        <v/>
      </c>
      <c r="Z385" s="37" t="str">
        <f>IF(NOTA[[#This Row],[JUMLAH]]="","",(NOTA[[#This Row],[JUMLAH]]-NOTA[[#This Row],[DISC 1-]])*NOTA[[#This Row],[DISC 2]])</f>
        <v/>
      </c>
      <c r="AA385" s="37" t="str">
        <f>IF(NOTA[[#This Row],[JUMLAH]]="","",(NOTA[[#This Row],[JUMLAH]]-NOTA[[#This Row],[DISC 1-]]-NOTA[[#This Row],[DISC 2-]])*NOTA[[#This Row],[DISC 3]])</f>
        <v/>
      </c>
      <c r="AB385" s="37" t="str">
        <f>IF(NOTA[[#This Row],[JUMLAH]]="","",NOTA[[#This Row],[DISC 1-]]+NOTA[[#This Row],[DISC 2-]]+NOTA[[#This Row],[DISC 3-]])</f>
        <v/>
      </c>
      <c r="AC385" s="37" t="str">
        <f>IF(NOTA[[#This Row],[JUMLAH]]="","",NOTA[[#This Row],[JUMLAH]]-NOTA[[#This Row],[DISC]])</f>
        <v/>
      </c>
      <c r="AD385" s="37"/>
      <c r="AE3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5" s="37" t="str">
        <f>IF(OR(NOTA[[#This Row],[QTY]]="",NOTA[[#This Row],[HARGA SATUAN]]="",),"",NOTA[[#This Row],[QTY]]*NOTA[[#This Row],[HARGA SATUAN]])</f>
        <v/>
      </c>
      <c r="AI385" s="26" t="str">
        <f ca="1">IF(NOTA[[#This Row],[ID_H]]="","",INDEX(NOTA[TANGGAL],MATCH(,INDIRECT(ADDRESS(ROW(NOTA[TANGGAL]),COLUMN(NOTA[TANGGAL]))&amp;":"&amp;ADDRESS(ROW(),COLUMN(NOTA[TANGGAL]))),-1)))</f>
        <v/>
      </c>
      <c r="AJ385" s="26" t="str">
        <f ca="1">IF(NOTA[[#This Row],[ID_H]]="","",INDEX(NOTA[TGL.NOTA],MATCH(,INDIRECT(ADDRESS(ROW(NOTA[TGL.NOTA]),COLUMN(NOTA[TGL.NOTA]))&amp;":"&amp;ADDRESS(ROW(),COLUMN(NOTA[TGL.NOTA]))),-1)))</f>
        <v/>
      </c>
      <c r="AK385" s="26" t="str">
        <f ca="1">IF(NOTA[[#This Row],[ID_H]]="","",INDEX(NOTA[NO.NOTA],MATCH(NOTA[[#This Row],[ID_H]],NOTA[ID_H],0)))</f>
        <v/>
      </c>
      <c r="AL385" s="28" t="str">
        <f ca="1">IF(NOTA[[#This Row],[NAMA BARANG]]="","",INDEX(NOTA[SUPPLIER],MATCH(,INDIRECT(ADDRESS(ROW(NOTA[ID]),COLUMN(NOTA[ID]))&amp;":"&amp;ADDRESS(ROW(),COLUMN(NOTA[ID]))),-1)))</f>
        <v/>
      </c>
      <c r="AM385" s="28" t="str">
        <f ca="1">IF(NOTA[[#This Row],[ID_H]]="","",IF(NOTA[[#This Row],[FAKTUR]]="",INDIRECT(ADDRESS(ROW()-1,COLUMN())),NOTA[[#This Row],[FAKTUR]]))</f>
        <v/>
      </c>
      <c r="AN385" s="25" t="str">
        <f ca="1">IF(NOTA[[#This Row],[ID]]="","",COUNTIF(NOTA[ID_H],NOTA[[#This Row],[ID_H]]))</f>
        <v/>
      </c>
      <c r="AO385" s="25" t="str">
        <f ca="1">IF(NOTA[[#This Row],[TGL.NOTA]]="",IF(NOTA[[#This Row],[SUPPLIER_H]]="","",AO384),MONTH(NOTA[[#This Row],[TGL.NOTA]]))</f>
        <v/>
      </c>
      <c r="AP3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5" s="25"/>
      <c r="AU385" s="25" t="str">
        <f>IF(NOTA[[#This Row],[CONCAT1]]="","",MATCH(NOTA[[#This Row],[CONCAT1]],[3]!db[NB NOTA_C],0))</f>
        <v/>
      </c>
      <c r="AV385" s="25" t="str">
        <f>IF(NOTA[[#This Row],[QTY/ CTN]]="","",TRUE)</f>
        <v/>
      </c>
      <c r="AW385" s="25" t="str">
        <f ca="1">IF(NOTA[[#This Row],[ID_H]]="","",IF(NOTA[[#This Row],[Column3]]=TRUE,NOTA[[#This Row],[QTY/ CTN]],INDEX([3]!db[QTY/ CTN],NOTA[[#This Row],[//DB]])))</f>
        <v/>
      </c>
      <c r="AX3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5" s="25" t="str">
        <f ca="1">IF(NOTA[[#This Row],[ID_H]]="","",MATCH(NOTA[[#This Row],[NB NOTA_C_QTY]],[3]!db[NB NOTA_C_QTY+F],0))</f>
        <v/>
      </c>
      <c r="AZ385" s="38" t="str">
        <f ca="1">IF(NOTA[[#This Row],[NB NOTA_C_QTY]]="","",ROW()-2)</f>
        <v/>
      </c>
    </row>
    <row r="386" spans="1:52" ht="20.100000000000001" customHeight="1">
      <c r="A3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6" s="25" t="str">
        <f ca="1">IF(NOTA[[#This Row],[NAMA BARANG]]="","",INDEX(NOTA[ID],MATCH(,INDIRECT(ADDRESS(ROW(NOTA[ID]),COLUMN(NOTA[ID]))&amp;":"&amp;ADDRESS(ROW(),COLUMN(NOTA[ID]))),-1)))</f>
        <v/>
      </c>
      <c r="E386" s="33"/>
      <c r="H386" s="34"/>
      <c r="Q386" s="29"/>
      <c r="R386" s="35"/>
      <c r="S386" s="36"/>
      <c r="V386" s="37"/>
      <c r="W386" s="32"/>
      <c r="X386" s="37" t="str">
        <f>IF(NOTA[[#This Row],[HARGA/ CTN]]="",NOTA[[#This Row],[JUMLAH_H]],NOTA[[#This Row],[HARGA/ CTN]]*IF(NOTA[[#This Row],[C]]="",0,NOTA[[#This Row],[C]]))</f>
        <v/>
      </c>
      <c r="Y386" s="37" t="str">
        <f>IF(NOTA[[#This Row],[JUMLAH]]="","",NOTA[[#This Row],[JUMLAH]]*NOTA[[#This Row],[DISC 1]])</f>
        <v/>
      </c>
      <c r="Z386" s="37" t="str">
        <f>IF(NOTA[[#This Row],[JUMLAH]]="","",(NOTA[[#This Row],[JUMLAH]]-NOTA[[#This Row],[DISC 1-]])*NOTA[[#This Row],[DISC 2]])</f>
        <v/>
      </c>
      <c r="AA386" s="37" t="str">
        <f>IF(NOTA[[#This Row],[JUMLAH]]="","",(NOTA[[#This Row],[JUMLAH]]-NOTA[[#This Row],[DISC 1-]]-NOTA[[#This Row],[DISC 2-]])*NOTA[[#This Row],[DISC 3]])</f>
        <v/>
      </c>
      <c r="AB386" s="37" t="str">
        <f>IF(NOTA[[#This Row],[JUMLAH]]="","",NOTA[[#This Row],[DISC 1-]]+NOTA[[#This Row],[DISC 2-]]+NOTA[[#This Row],[DISC 3-]])</f>
        <v/>
      </c>
      <c r="AC386" s="37" t="str">
        <f>IF(NOTA[[#This Row],[JUMLAH]]="","",NOTA[[#This Row],[JUMLAH]]-NOTA[[#This Row],[DISC]])</f>
        <v/>
      </c>
      <c r="AD386" s="37"/>
      <c r="AE3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6" s="37" t="str">
        <f>IF(OR(NOTA[[#This Row],[QTY]]="",NOTA[[#This Row],[HARGA SATUAN]]="",),"",NOTA[[#This Row],[QTY]]*NOTA[[#This Row],[HARGA SATUAN]])</f>
        <v/>
      </c>
      <c r="AI386" s="26" t="str">
        <f ca="1">IF(NOTA[[#This Row],[ID_H]]="","",INDEX(NOTA[TANGGAL],MATCH(,INDIRECT(ADDRESS(ROW(NOTA[TANGGAL]),COLUMN(NOTA[TANGGAL]))&amp;":"&amp;ADDRESS(ROW(),COLUMN(NOTA[TANGGAL]))),-1)))</f>
        <v/>
      </c>
      <c r="AJ386" s="26" t="str">
        <f ca="1">IF(NOTA[[#This Row],[ID_H]]="","",INDEX(NOTA[TGL.NOTA],MATCH(,INDIRECT(ADDRESS(ROW(NOTA[TGL.NOTA]),COLUMN(NOTA[TGL.NOTA]))&amp;":"&amp;ADDRESS(ROW(),COLUMN(NOTA[TGL.NOTA]))),-1)))</f>
        <v/>
      </c>
      <c r="AK386" s="26" t="str">
        <f ca="1">IF(NOTA[[#This Row],[ID_H]]="","",INDEX(NOTA[NO.NOTA],MATCH(NOTA[[#This Row],[ID_H]],NOTA[ID_H],0)))</f>
        <v/>
      </c>
      <c r="AL386" s="28" t="str">
        <f ca="1">IF(NOTA[[#This Row],[NAMA BARANG]]="","",INDEX(NOTA[SUPPLIER],MATCH(,INDIRECT(ADDRESS(ROW(NOTA[ID]),COLUMN(NOTA[ID]))&amp;":"&amp;ADDRESS(ROW(),COLUMN(NOTA[ID]))),-1)))</f>
        <v/>
      </c>
      <c r="AM386" s="28" t="str">
        <f ca="1">IF(NOTA[[#This Row],[ID_H]]="","",IF(NOTA[[#This Row],[FAKTUR]]="",INDIRECT(ADDRESS(ROW()-1,COLUMN())),NOTA[[#This Row],[FAKTUR]]))</f>
        <v/>
      </c>
      <c r="AN386" s="25" t="str">
        <f ca="1">IF(NOTA[[#This Row],[ID]]="","",COUNTIF(NOTA[ID_H],NOTA[[#This Row],[ID_H]]))</f>
        <v/>
      </c>
      <c r="AO386" s="25" t="str">
        <f ca="1">IF(NOTA[[#This Row],[TGL.NOTA]]="",IF(NOTA[[#This Row],[SUPPLIER_H]]="","",AO385),MONTH(NOTA[[#This Row],[TGL.NOTA]]))</f>
        <v/>
      </c>
      <c r="AP3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6" s="25"/>
      <c r="AU386" s="25" t="str">
        <f>IF(NOTA[[#This Row],[CONCAT1]]="","",MATCH(NOTA[[#This Row],[CONCAT1]],[3]!db[NB NOTA_C],0))</f>
        <v/>
      </c>
      <c r="AV386" s="25" t="str">
        <f>IF(NOTA[[#This Row],[QTY/ CTN]]="","",TRUE)</f>
        <v/>
      </c>
      <c r="AW386" s="25" t="str">
        <f ca="1">IF(NOTA[[#This Row],[ID_H]]="","",IF(NOTA[[#This Row],[Column3]]=TRUE,NOTA[[#This Row],[QTY/ CTN]],INDEX([3]!db[QTY/ CTN],NOTA[[#This Row],[//DB]])))</f>
        <v/>
      </c>
      <c r="AX3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6" s="25" t="str">
        <f ca="1">IF(NOTA[[#This Row],[ID_H]]="","",MATCH(NOTA[[#This Row],[NB NOTA_C_QTY]],[3]!db[NB NOTA_C_QTY+F],0))</f>
        <v/>
      </c>
      <c r="AZ386" s="38" t="str">
        <f ca="1">IF(NOTA[[#This Row],[NB NOTA_C_QTY]]="","",ROW()-2)</f>
        <v/>
      </c>
    </row>
    <row r="387" spans="1:52" ht="20.100000000000001" customHeight="1">
      <c r="A3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7" s="25" t="str">
        <f ca="1">IF(NOTA[[#This Row],[NAMA BARANG]]="","",INDEX(NOTA[ID],MATCH(,INDIRECT(ADDRESS(ROW(NOTA[ID]),COLUMN(NOTA[ID]))&amp;":"&amp;ADDRESS(ROW(),COLUMN(NOTA[ID]))),-1)))</f>
        <v/>
      </c>
      <c r="E387" s="33"/>
      <c r="H387" s="34"/>
      <c r="Q387" s="29"/>
      <c r="R387" s="35"/>
      <c r="S387" s="36"/>
      <c r="V387" s="37"/>
      <c r="W387" s="32"/>
      <c r="X387" s="37" t="str">
        <f>IF(NOTA[[#This Row],[HARGA/ CTN]]="",NOTA[[#This Row],[JUMLAH_H]],NOTA[[#This Row],[HARGA/ CTN]]*IF(NOTA[[#This Row],[C]]="",0,NOTA[[#This Row],[C]]))</f>
        <v/>
      </c>
      <c r="Y387" s="37" t="str">
        <f>IF(NOTA[[#This Row],[JUMLAH]]="","",NOTA[[#This Row],[JUMLAH]]*NOTA[[#This Row],[DISC 1]])</f>
        <v/>
      </c>
      <c r="Z387" s="37" t="str">
        <f>IF(NOTA[[#This Row],[JUMLAH]]="","",(NOTA[[#This Row],[JUMLAH]]-NOTA[[#This Row],[DISC 1-]])*NOTA[[#This Row],[DISC 2]])</f>
        <v/>
      </c>
      <c r="AA387" s="37" t="str">
        <f>IF(NOTA[[#This Row],[JUMLAH]]="","",(NOTA[[#This Row],[JUMLAH]]-NOTA[[#This Row],[DISC 1-]]-NOTA[[#This Row],[DISC 2-]])*NOTA[[#This Row],[DISC 3]])</f>
        <v/>
      </c>
      <c r="AB387" s="37" t="str">
        <f>IF(NOTA[[#This Row],[JUMLAH]]="","",NOTA[[#This Row],[DISC 1-]]+NOTA[[#This Row],[DISC 2-]]+NOTA[[#This Row],[DISC 3-]])</f>
        <v/>
      </c>
      <c r="AC387" s="37" t="str">
        <f>IF(NOTA[[#This Row],[JUMLAH]]="","",NOTA[[#This Row],[JUMLAH]]-NOTA[[#This Row],[DISC]])</f>
        <v/>
      </c>
      <c r="AD387" s="37"/>
      <c r="AE3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7" s="37" t="str">
        <f>IF(OR(NOTA[[#This Row],[QTY]]="",NOTA[[#This Row],[HARGA SATUAN]]="",),"",NOTA[[#This Row],[QTY]]*NOTA[[#This Row],[HARGA SATUAN]])</f>
        <v/>
      </c>
      <c r="AI387" s="26" t="str">
        <f ca="1">IF(NOTA[[#This Row],[ID_H]]="","",INDEX(NOTA[TANGGAL],MATCH(,INDIRECT(ADDRESS(ROW(NOTA[TANGGAL]),COLUMN(NOTA[TANGGAL]))&amp;":"&amp;ADDRESS(ROW(),COLUMN(NOTA[TANGGAL]))),-1)))</f>
        <v/>
      </c>
      <c r="AJ387" s="26" t="str">
        <f ca="1">IF(NOTA[[#This Row],[ID_H]]="","",INDEX(NOTA[TGL.NOTA],MATCH(,INDIRECT(ADDRESS(ROW(NOTA[TGL.NOTA]),COLUMN(NOTA[TGL.NOTA]))&amp;":"&amp;ADDRESS(ROW(),COLUMN(NOTA[TGL.NOTA]))),-1)))</f>
        <v/>
      </c>
      <c r="AK387" s="26" t="str">
        <f ca="1">IF(NOTA[[#This Row],[ID_H]]="","",INDEX(NOTA[NO.NOTA],MATCH(NOTA[[#This Row],[ID_H]],NOTA[ID_H],0)))</f>
        <v/>
      </c>
      <c r="AL387" s="28" t="str">
        <f ca="1">IF(NOTA[[#This Row],[NAMA BARANG]]="","",INDEX(NOTA[SUPPLIER],MATCH(,INDIRECT(ADDRESS(ROW(NOTA[ID]),COLUMN(NOTA[ID]))&amp;":"&amp;ADDRESS(ROW(),COLUMN(NOTA[ID]))),-1)))</f>
        <v/>
      </c>
      <c r="AM387" s="28" t="str">
        <f ca="1">IF(NOTA[[#This Row],[ID_H]]="","",IF(NOTA[[#This Row],[FAKTUR]]="",INDIRECT(ADDRESS(ROW()-1,COLUMN())),NOTA[[#This Row],[FAKTUR]]))</f>
        <v/>
      </c>
      <c r="AN387" s="25" t="str">
        <f ca="1">IF(NOTA[[#This Row],[ID]]="","",COUNTIF(NOTA[ID_H],NOTA[[#This Row],[ID_H]]))</f>
        <v/>
      </c>
      <c r="AO387" s="25" t="str">
        <f ca="1">IF(NOTA[[#This Row],[TGL.NOTA]]="",IF(NOTA[[#This Row],[SUPPLIER_H]]="","",AO386),MONTH(NOTA[[#This Row],[TGL.NOTA]]))</f>
        <v/>
      </c>
      <c r="AP3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7" s="25"/>
      <c r="AU387" s="25" t="str">
        <f>IF(NOTA[[#This Row],[CONCAT1]]="","",MATCH(NOTA[[#This Row],[CONCAT1]],[3]!db[NB NOTA_C],0))</f>
        <v/>
      </c>
      <c r="AV387" s="25" t="str">
        <f>IF(NOTA[[#This Row],[QTY/ CTN]]="","",TRUE)</f>
        <v/>
      </c>
      <c r="AW387" s="25" t="str">
        <f ca="1">IF(NOTA[[#This Row],[ID_H]]="","",IF(NOTA[[#This Row],[Column3]]=TRUE,NOTA[[#This Row],[QTY/ CTN]],INDEX([3]!db[QTY/ CTN],NOTA[[#This Row],[//DB]])))</f>
        <v/>
      </c>
      <c r="AX3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7" s="25" t="str">
        <f ca="1">IF(NOTA[[#This Row],[ID_H]]="","",MATCH(NOTA[[#This Row],[NB NOTA_C_QTY]],[3]!db[NB NOTA_C_QTY+F],0))</f>
        <v/>
      </c>
      <c r="AZ387" s="38" t="str">
        <f ca="1">IF(NOTA[[#This Row],[NB NOTA_C_QTY]]="","",ROW()-2)</f>
        <v/>
      </c>
    </row>
    <row r="388" spans="1:52" ht="20.100000000000001" customHeight="1">
      <c r="A3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8" s="25" t="str">
        <f ca="1">IF(NOTA[[#This Row],[NAMA BARANG]]="","",INDEX(NOTA[ID],MATCH(,INDIRECT(ADDRESS(ROW(NOTA[ID]),COLUMN(NOTA[ID]))&amp;":"&amp;ADDRESS(ROW(),COLUMN(NOTA[ID]))),-1)))</f>
        <v/>
      </c>
      <c r="E388" s="33"/>
      <c r="H388" s="34"/>
      <c r="Q388" s="29"/>
      <c r="R388" s="35"/>
      <c r="S388" s="36"/>
      <c r="V388" s="37"/>
      <c r="W388" s="32"/>
      <c r="X388" s="37" t="str">
        <f>IF(NOTA[[#This Row],[HARGA/ CTN]]="",NOTA[[#This Row],[JUMLAH_H]],NOTA[[#This Row],[HARGA/ CTN]]*IF(NOTA[[#This Row],[C]]="",0,NOTA[[#This Row],[C]]))</f>
        <v/>
      </c>
      <c r="Y388" s="37" t="str">
        <f>IF(NOTA[[#This Row],[JUMLAH]]="","",NOTA[[#This Row],[JUMLAH]]*NOTA[[#This Row],[DISC 1]])</f>
        <v/>
      </c>
      <c r="Z388" s="37" t="str">
        <f>IF(NOTA[[#This Row],[JUMLAH]]="","",(NOTA[[#This Row],[JUMLAH]]-NOTA[[#This Row],[DISC 1-]])*NOTA[[#This Row],[DISC 2]])</f>
        <v/>
      </c>
      <c r="AA388" s="37" t="str">
        <f>IF(NOTA[[#This Row],[JUMLAH]]="","",(NOTA[[#This Row],[JUMLAH]]-NOTA[[#This Row],[DISC 1-]]-NOTA[[#This Row],[DISC 2-]])*NOTA[[#This Row],[DISC 3]])</f>
        <v/>
      </c>
      <c r="AB388" s="37" t="str">
        <f>IF(NOTA[[#This Row],[JUMLAH]]="","",NOTA[[#This Row],[DISC 1-]]+NOTA[[#This Row],[DISC 2-]]+NOTA[[#This Row],[DISC 3-]])</f>
        <v/>
      </c>
      <c r="AC388" s="37" t="str">
        <f>IF(NOTA[[#This Row],[JUMLAH]]="","",NOTA[[#This Row],[JUMLAH]]-NOTA[[#This Row],[DISC]])</f>
        <v/>
      </c>
      <c r="AD388" s="37"/>
      <c r="AE3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8" s="37" t="str">
        <f>IF(OR(NOTA[[#This Row],[QTY]]="",NOTA[[#This Row],[HARGA SATUAN]]="",),"",NOTA[[#This Row],[QTY]]*NOTA[[#This Row],[HARGA SATUAN]])</f>
        <v/>
      </c>
      <c r="AI388" s="26" t="str">
        <f ca="1">IF(NOTA[[#This Row],[ID_H]]="","",INDEX(NOTA[TANGGAL],MATCH(,INDIRECT(ADDRESS(ROW(NOTA[TANGGAL]),COLUMN(NOTA[TANGGAL]))&amp;":"&amp;ADDRESS(ROW(),COLUMN(NOTA[TANGGAL]))),-1)))</f>
        <v/>
      </c>
      <c r="AJ388" s="26" t="str">
        <f ca="1">IF(NOTA[[#This Row],[ID_H]]="","",INDEX(NOTA[TGL.NOTA],MATCH(,INDIRECT(ADDRESS(ROW(NOTA[TGL.NOTA]),COLUMN(NOTA[TGL.NOTA]))&amp;":"&amp;ADDRESS(ROW(),COLUMN(NOTA[TGL.NOTA]))),-1)))</f>
        <v/>
      </c>
      <c r="AK388" s="26" t="str">
        <f ca="1">IF(NOTA[[#This Row],[ID_H]]="","",INDEX(NOTA[NO.NOTA],MATCH(NOTA[[#This Row],[ID_H]],NOTA[ID_H],0)))</f>
        <v/>
      </c>
      <c r="AL388" s="28" t="str">
        <f ca="1">IF(NOTA[[#This Row],[NAMA BARANG]]="","",INDEX(NOTA[SUPPLIER],MATCH(,INDIRECT(ADDRESS(ROW(NOTA[ID]),COLUMN(NOTA[ID]))&amp;":"&amp;ADDRESS(ROW(),COLUMN(NOTA[ID]))),-1)))</f>
        <v/>
      </c>
      <c r="AM388" s="28" t="str">
        <f ca="1">IF(NOTA[[#This Row],[ID_H]]="","",IF(NOTA[[#This Row],[FAKTUR]]="",INDIRECT(ADDRESS(ROW()-1,COLUMN())),NOTA[[#This Row],[FAKTUR]]))</f>
        <v/>
      </c>
      <c r="AN388" s="25" t="str">
        <f ca="1">IF(NOTA[[#This Row],[ID]]="","",COUNTIF(NOTA[ID_H],NOTA[[#This Row],[ID_H]]))</f>
        <v/>
      </c>
      <c r="AO388" s="25" t="str">
        <f ca="1">IF(NOTA[[#This Row],[TGL.NOTA]]="",IF(NOTA[[#This Row],[SUPPLIER_H]]="","",AO387),MONTH(NOTA[[#This Row],[TGL.NOTA]]))</f>
        <v/>
      </c>
      <c r="AP3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8" s="25"/>
      <c r="AU388" s="25" t="str">
        <f>IF(NOTA[[#This Row],[CONCAT1]]="","",MATCH(NOTA[[#This Row],[CONCAT1]],[3]!db[NB NOTA_C],0))</f>
        <v/>
      </c>
      <c r="AV388" s="25" t="str">
        <f>IF(NOTA[[#This Row],[QTY/ CTN]]="","",TRUE)</f>
        <v/>
      </c>
      <c r="AW388" s="25" t="str">
        <f ca="1">IF(NOTA[[#This Row],[ID_H]]="","",IF(NOTA[[#This Row],[Column3]]=TRUE,NOTA[[#This Row],[QTY/ CTN]],INDEX([3]!db[QTY/ CTN],NOTA[[#This Row],[//DB]])))</f>
        <v/>
      </c>
      <c r="AX3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8" s="25" t="str">
        <f ca="1">IF(NOTA[[#This Row],[ID_H]]="","",MATCH(NOTA[[#This Row],[NB NOTA_C_QTY]],[3]!db[NB NOTA_C_QTY+F],0))</f>
        <v/>
      </c>
      <c r="AZ388" s="38" t="str">
        <f ca="1">IF(NOTA[[#This Row],[NB NOTA_C_QTY]]="","",ROW()-2)</f>
        <v/>
      </c>
    </row>
    <row r="389" spans="1:52" ht="20.100000000000001" customHeight="1">
      <c r="A3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9" s="25" t="str">
        <f ca="1">IF(NOTA[[#This Row],[NAMA BARANG]]="","",INDEX(NOTA[ID],MATCH(,INDIRECT(ADDRESS(ROW(NOTA[ID]),COLUMN(NOTA[ID]))&amp;":"&amp;ADDRESS(ROW(),COLUMN(NOTA[ID]))),-1)))</f>
        <v/>
      </c>
      <c r="E389" s="33"/>
      <c r="H389" s="34"/>
      <c r="Q389" s="29"/>
      <c r="R389" s="35"/>
      <c r="S389" s="36"/>
      <c r="V389" s="37"/>
      <c r="W389" s="32"/>
      <c r="X389" s="37" t="str">
        <f>IF(NOTA[[#This Row],[HARGA/ CTN]]="",NOTA[[#This Row],[JUMLAH_H]],NOTA[[#This Row],[HARGA/ CTN]]*IF(NOTA[[#This Row],[C]]="",0,NOTA[[#This Row],[C]]))</f>
        <v/>
      </c>
      <c r="Y389" s="37" t="str">
        <f>IF(NOTA[[#This Row],[JUMLAH]]="","",NOTA[[#This Row],[JUMLAH]]*NOTA[[#This Row],[DISC 1]])</f>
        <v/>
      </c>
      <c r="Z389" s="37" t="str">
        <f>IF(NOTA[[#This Row],[JUMLAH]]="","",(NOTA[[#This Row],[JUMLAH]]-NOTA[[#This Row],[DISC 1-]])*NOTA[[#This Row],[DISC 2]])</f>
        <v/>
      </c>
      <c r="AA389" s="37" t="str">
        <f>IF(NOTA[[#This Row],[JUMLAH]]="","",(NOTA[[#This Row],[JUMLAH]]-NOTA[[#This Row],[DISC 1-]]-NOTA[[#This Row],[DISC 2-]])*NOTA[[#This Row],[DISC 3]])</f>
        <v/>
      </c>
      <c r="AB389" s="37" t="str">
        <f>IF(NOTA[[#This Row],[JUMLAH]]="","",NOTA[[#This Row],[DISC 1-]]+NOTA[[#This Row],[DISC 2-]]+NOTA[[#This Row],[DISC 3-]])</f>
        <v/>
      </c>
      <c r="AC389" s="37" t="str">
        <f>IF(NOTA[[#This Row],[JUMLAH]]="","",NOTA[[#This Row],[JUMLAH]]-NOTA[[#This Row],[DISC]])</f>
        <v/>
      </c>
      <c r="AD389" s="37"/>
      <c r="AE3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9" s="37" t="str">
        <f>IF(OR(NOTA[[#This Row],[QTY]]="",NOTA[[#This Row],[HARGA SATUAN]]="",),"",NOTA[[#This Row],[QTY]]*NOTA[[#This Row],[HARGA SATUAN]])</f>
        <v/>
      </c>
      <c r="AI389" s="26" t="str">
        <f ca="1">IF(NOTA[[#This Row],[ID_H]]="","",INDEX(NOTA[TANGGAL],MATCH(,INDIRECT(ADDRESS(ROW(NOTA[TANGGAL]),COLUMN(NOTA[TANGGAL]))&amp;":"&amp;ADDRESS(ROW(),COLUMN(NOTA[TANGGAL]))),-1)))</f>
        <v/>
      </c>
      <c r="AJ389" s="26" t="str">
        <f ca="1">IF(NOTA[[#This Row],[ID_H]]="","",INDEX(NOTA[TGL.NOTA],MATCH(,INDIRECT(ADDRESS(ROW(NOTA[TGL.NOTA]),COLUMN(NOTA[TGL.NOTA]))&amp;":"&amp;ADDRESS(ROW(),COLUMN(NOTA[TGL.NOTA]))),-1)))</f>
        <v/>
      </c>
      <c r="AK389" s="26" t="str">
        <f ca="1">IF(NOTA[[#This Row],[ID_H]]="","",INDEX(NOTA[NO.NOTA],MATCH(NOTA[[#This Row],[ID_H]],NOTA[ID_H],0)))</f>
        <v/>
      </c>
      <c r="AL389" s="28" t="str">
        <f ca="1">IF(NOTA[[#This Row],[NAMA BARANG]]="","",INDEX(NOTA[SUPPLIER],MATCH(,INDIRECT(ADDRESS(ROW(NOTA[ID]),COLUMN(NOTA[ID]))&amp;":"&amp;ADDRESS(ROW(),COLUMN(NOTA[ID]))),-1)))</f>
        <v/>
      </c>
      <c r="AM389" s="28" t="str">
        <f ca="1">IF(NOTA[[#This Row],[ID_H]]="","",IF(NOTA[[#This Row],[FAKTUR]]="",INDIRECT(ADDRESS(ROW()-1,COLUMN())),NOTA[[#This Row],[FAKTUR]]))</f>
        <v/>
      </c>
      <c r="AN389" s="25" t="str">
        <f ca="1">IF(NOTA[[#This Row],[ID]]="","",COUNTIF(NOTA[ID_H],NOTA[[#This Row],[ID_H]]))</f>
        <v/>
      </c>
      <c r="AO389" s="25" t="str">
        <f ca="1">IF(NOTA[[#This Row],[TGL.NOTA]]="",IF(NOTA[[#This Row],[SUPPLIER_H]]="","",AO388),MONTH(NOTA[[#This Row],[TGL.NOTA]]))</f>
        <v/>
      </c>
      <c r="AP3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9" s="25"/>
      <c r="AU389" s="25" t="str">
        <f>IF(NOTA[[#This Row],[CONCAT1]]="","",MATCH(NOTA[[#This Row],[CONCAT1]],[3]!db[NB NOTA_C],0))</f>
        <v/>
      </c>
      <c r="AV389" s="25" t="str">
        <f>IF(NOTA[[#This Row],[QTY/ CTN]]="","",TRUE)</f>
        <v/>
      </c>
      <c r="AW389" s="25" t="str">
        <f ca="1">IF(NOTA[[#This Row],[ID_H]]="","",IF(NOTA[[#This Row],[Column3]]=TRUE,NOTA[[#This Row],[QTY/ CTN]],INDEX([3]!db[QTY/ CTN],NOTA[[#This Row],[//DB]])))</f>
        <v/>
      </c>
      <c r="AX3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9" s="25" t="str">
        <f ca="1">IF(NOTA[[#This Row],[ID_H]]="","",MATCH(NOTA[[#This Row],[NB NOTA_C_QTY]],[3]!db[NB NOTA_C_QTY+F],0))</f>
        <v/>
      </c>
      <c r="AZ389" s="38" t="str">
        <f ca="1">IF(NOTA[[#This Row],[NB NOTA_C_QTY]]="","",ROW()-2)</f>
        <v/>
      </c>
    </row>
    <row r="390" spans="1:52" ht="20.100000000000001" customHeight="1">
      <c r="A3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0" s="25" t="str">
        <f ca="1">IF(NOTA[[#This Row],[NAMA BARANG]]="","",INDEX(NOTA[ID],MATCH(,INDIRECT(ADDRESS(ROW(NOTA[ID]),COLUMN(NOTA[ID]))&amp;":"&amp;ADDRESS(ROW(),COLUMN(NOTA[ID]))),-1)))</f>
        <v/>
      </c>
      <c r="E390" s="33"/>
      <c r="H390" s="34"/>
      <c r="Q390" s="29"/>
      <c r="R390" s="35"/>
      <c r="S390" s="36"/>
      <c r="V390" s="37"/>
      <c r="W390" s="32"/>
      <c r="X390" s="37" t="str">
        <f>IF(NOTA[[#This Row],[HARGA/ CTN]]="",NOTA[[#This Row],[JUMLAH_H]],NOTA[[#This Row],[HARGA/ CTN]]*IF(NOTA[[#This Row],[C]]="",0,NOTA[[#This Row],[C]]))</f>
        <v/>
      </c>
      <c r="Y390" s="37" t="str">
        <f>IF(NOTA[[#This Row],[JUMLAH]]="","",NOTA[[#This Row],[JUMLAH]]*NOTA[[#This Row],[DISC 1]])</f>
        <v/>
      </c>
      <c r="Z390" s="37" t="str">
        <f>IF(NOTA[[#This Row],[JUMLAH]]="","",(NOTA[[#This Row],[JUMLAH]]-NOTA[[#This Row],[DISC 1-]])*NOTA[[#This Row],[DISC 2]])</f>
        <v/>
      </c>
      <c r="AA390" s="37" t="str">
        <f>IF(NOTA[[#This Row],[JUMLAH]]="","",(NOTA[[#This Row],[JUMLAH]]-NOTA[[#This Row],[DISC 1-]]-NOTA[[#This Row],[DISC 2-]])*NOTA[[#This Row],[DISC 3]])</f>
        <v/>
      </c>
      <c r="AB390" s="37" t="str">
        <f>IF(NOTA[[#This Row],[JUMLAH]]="","",NOTA[[#This Row],[DISC 1-]]+NOTA[[#This Row],[DISC 2-]]+NOTA[[#This Row],[DISC 3-]])</f>
        <v/>
      </c>
      <c r="AC390" s="37" t="str">
        <f>IF(NOTA[[#This Row],[JUMLAH]]="","",NOTA[[#This Row],[JUMLAH]]-NOTA[[#This Row],[DISC]])</f>
        <v/>
      </c>
      <c r="AD390" s="37"/>
      <c r="AE3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0" s="37" t="str">
        <f>IF(OR(NOTA[[#This Row],[QTY]]="",NOTA[[#This Row],[HARGA SATUAN]]="",),"",NOTA[[#This Row],[QTY]]*NOTA[[#This Row],[HARGA SATUAN]])</f>
        <v/>
      </c>
      <c r="AI390" s="26" t="str">
        <f ca="1">IF(NOTA[[#This Row],[ID_H]]="","",INDEX(NOTA[TANGGAL],MATCH(,INDIRECT(ADDRESS(ROW(NOTA[TANGGAL]),COLUMN(NOTA[TANGGAL]))&amp;":"&amp;ADDRESS(ROW(),COLUMN(NOTA[TANGGAL]))),-1)))</f>
        <v/>
      </c>
      <c r="AJ390" s="26" t="str">
        <f ca="1">IF(NOTA[[#This Row],[ID_H]]="","",INDEX(NOTA[TGL.NOTA],MATCH(,INDIRECT(ADDRESS(ROW(NOTA[TGL.NOTA]),COLUMN(NOTA[TGL.NOTA]))&amp;":"&amp;ADDRESS(ROW(),COLUMN(NOTA[TGL.NOTA]))),-1)))</f>
        <v/>
      </c>
      <c r="AK390" s="26" t="str">
        <f ca="1">IF(NOTA[[#This Row],[ID_H]]="","",INDEX(NOTA[NO.NOTA],MATCH(NOTA[[#This Row],[ID_H]],NOTA[ID_H],0)))</f>
        <v/>
      </c>
      <c r="AL390" s="28" t="str">
        <f ca="1">IF(NOTA[[#This Row],[NAMA BARANG]]="","",INDEX(NOTA[SUPPLIER],MATCH(,INDIRECT(ADDRESS(ROW(NOTA[ID]),COLUMN(NOTA[ID]))&amp;":"&amp;ADDRESS(ROW(),COLUMN(NOTA[ID]))),-1)))</f>
        <v/>
      </c>
      <c r="AM390" s="28" t="str">
        <f ca="1">IF(NOTA[[#This Row],[ID_H]]="","",IF(NOTA[[#This Row],[FAKTUR]]="",INDIRECT(ADDRESS(ROW()-1,COLUMN())),NOTA[[#This Row],[FAKTUR]]))</f>
        <v/>
      </c>
      <c r="AN390" s="25" t="str">
        <f ca="1">IF(NOTA[[#This Row],[ID]]="","",COUNTIF(NOTA[ID_H],NOTA[[#This Row],[ID_H]]))</f>
        <v/>
      </c>
      <c r="AO390" s="25" t="str">
        <f ca="1">IF(NOTA[[#This Row],[TGL.NOTA]]="",IF(NOTA[[#This Row],[SUPPLIER_H]]="","",AO389),MONTH(NOTA[[#This Row],[TGL.NOTA]]))</f>
        <v/>
      </c>
      <c r="AP3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0" s="25"/>
      <c r="AU390" s="25" t="str">
        <f>IF(NOTA[[#This Row],[CONCAT1]]="","",MATCH(NOTA[[#This Row],[CONCAT1]],[3]!db[NB NOTA_C],0))</f>
        <v/>
      </c>
      <c r="AV390" s="25" t="str">
        <f>IF(NOTA[[#This Row],[QTY/ CTN]]="","",TRUE)</f>
        <v/>
      </c>
      <c r="AW390" s="25" t="str">
        <f ca="1">IF(NOTA[[#This Row],[ID_H]]="","",IF(NOTA[[#This Row],[Column3]]=TRUE,NOTA[[#This Row],[QTY/ CTN]],INDEX([3]!db[QTY/ CTN],NOTA[[#This Row],[//DB]])))</f>
        <v/>
      </c>
      <c r="AX3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0" s="25" t="str">
        <f ca="1">IF(NOTA[[#This Row],[ID_H]]="","",MATCH(NOTA[[#This Row],[NB NOTA_C_QTY]],[3]!db[NB NOTA_C_QTY+F],0))</f>
        <v/>
      </c>
      <c r="AZ390" s="38" t="str">
        <f ca="1">IF(NOTA[[#This Row],[NB NOTA_C_QTY]]="","",ROW()-2)</f>
        <v/>
      </c>
    </row>
    <row r="391" spans="1:52" ht="20.100000000000001" customHeight="1">
      <c r="A3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1" s="25" t="str">
        <f ca="1">IF(NOTA[[#This Row],[NAMA BARANG]]="","",INDEX(NOTA[ID],MATCH(,INDIRECT(ADDRESS(ROW(NOTA[ID]),COLUMN(NOTA[ID]))&amp;":"&amp;ADDRESS(ROW(),COLUMN(NOTA[ID]))),-1)))</f>
        <v/>
      </c>
      <c r="E391" s="33"/>
      <c r="H391" s="34"/>
      <c r="Q391" s="29"/>
      <c r="R391" s="35"/>
      <c r="S391" s="36"/>
      <c r="V391" s="37"/>
      <c r="W391" s="32"/>
      <c r="X391" s="37" t="str">
        <f>IF(NOTA[[#This Row],[HARGA/ CTN]]="",NOTA[[#This Row],[JUMLAH_H]],NOTA[[#This Row],[HARGA/ CTN]]*IF(NOTA[[#This Row],[C]]="",0,NOTA[[#This Row],[C]]))</f>
        <v/>
      </c>
      <c r="Y391" s="37" t="str">
        <f>IF(NOTA[[#This Row],[JUMLAH]]="","",NOTA[[#This Row],[JUMLAH]]*NOTA[[#This Row],[DISC 1]])</f>
        <v/>
      </c>
      <c r="Z391" s="37" t="str">
        <f>IF(NOTA[[#This Row],[JUMLAH]]="","",(NOTA[[#This Row],[JUMLAH]]-NOTA[[#This Row],[DISC 1-]])*NOTA[[#This Row],[DISC 2]])</f>
        <v/>
      </c>
      <c r="AA391" s="37" t="str">
        <f>IF(NOTA[[#This Row],[JUMLAH]]="","",(NOTA[[#This Row],[JUMLAH]]-NOTA[[#This Row],[DISC 1-]]-NOTA[[#This Row],[DISC 2-]])*NOTA[[#This Row],[DISC 3]])</f>
        <v/>
      </c>
      <c r="AB391" s="37" t="str">
        <f>IF(NOTA[[#This Row],[JUMLAH]]="","",NOTA[[#This Row],[DISC 1-]]+NOTA[[#This Row],[DISC 2-]]+NOTA[[#This Row],[DISC 3-]])</f>
        <v/>
      </c>
      <c r="AC391" s="37" t="str">
        <f>IF(NOTA[[#This Row],[JUMLAH]]="","",NOTA[[#This Row],[JUMLAH]]-NOTA[[#This Row],[DISC]])</f>
        <v/>
      </c>
      <c r="AD391" s="37"/>
      <c r="AE3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1" s="37" t="str">
        <f>IF(OR(NOTA[[#This Row],[QTY]]="",NOTA[[#This Row],[HARGA SATUAN]]="",),"",NOTA[[#This Row],[QTY]]*NOTA[[#This Row],[HARGA SATUAN]])</f>
        <v/>
      </c>
      <c r="AI391" s="26" t="str">
        <f ca="1">IF(NOTA[[#This Row],[ID_H]]="","",INDEX(NOTA[TANGGAL],MATCH(,INDIRECT(ADDRESS(ROW(NOTA[TANGGAL]),COLUMN(NOTA[TANGGAL]))&amp;":"&amp;ADDRESS(ROW(),COLUMN(NOTA[TANGGAL]))),-1)))</f>
        <v/>
      </c>
      <c r="AJ391" s="26" t="str">
        <f ca="1">IF(NOTA[[#This Row],[ID_H]]="","",INDEX(NOTA[TGL.NOTA],MATCH(,INDIRECT(ADDRESS(ROW(NOTA[TGL.NOTA]),COLUMN(NOTA[TGL.NOTA]))&amp;":"&amp;ADDRESS(ROW(),COLUMN(NOTA[TGL.NOTA]))),-1)))</f>
        <v/>
      </c>
      <c r="AK391" s="26" t="str">
        <f ca="1">IF(NOTA[[#This Row],[ID_H]]="","",INDEX(NOTA[NO.NOTA],MATCH(NOTA[[#This Row],[ID_H]],NOTA[ID_H],0)))</f>
        <v/>
      </c>
      <c r="AL391" s="28" t="str">
        <f ca="1">IF(NOTA[[#This Row],[NAMA BARANG]]="","",INDEX(NOTA[SUPPLIER],MATCH(,INDIRECT(ADDRESS(ROW(NOTA[ID]),COLUMN(NOTA[ID]))&amp;":"&amp;ADDRESS(ROW(),COLUMN(NOTA[ID]))),-1)))</f>
        <v/>
      </c>
      <c r="AM391" s="28" t="str">
        <f ca="1">IF(NOTA[[#This Row],[ID_H]]="","",IF(NOTA[[#This Row],[FAKTUR]]="",INDIRECT(ADDRESS(ROW()-1,COLUMN())),NOTA[[#This Row],[FAKTUR]]))</f>
        <v/>
      </c>
      <c r="AN391" s="25" t="str">
        <f ca="1">IF(NOTA[[#This Row],[ID]]="","",COUNTIF(NOTA[ID_H],NOTA[[#This Row],[ID_H]]))</f>
        <v/>
      </c>
      <c r="AO391" s="25" t="str">
        <f ca="1">IF(NOTA[[#This Row],[TGL.NOTA]]="",IF(NOTA[[#This Row],[SUPPLIER_H]]="","",AO390),MONTH(NOTA[[#This Row],[TGL.NOTA]]))</f>
        <v/>
      </c>
      <c r="AP3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1" s="25"/>
      <c r="AU391" s="25" t="str">
        <f>IF(NOTA[[#This Row],[CONCAT1]]="","",MATCH(NOTA[[#This Row],[CONCAT1]],[3]!db[NB NOTA_C],0))</f>
        <v/>
      </c>
      <c r="AV391" s="25" t="str">
        <f>IF(NOTA[[#This Row],[QTY/ CTN]]="","",TRUE)</f>
        <v/>
      </c>
      <c r="AW391" s="25" t="str">
        <f ca="1">IF(NOTA[[#This Row],[ID_H]]="","",IF(NOTA[[#This Row],[Column3]]=TRUE,NOTA[[#This Row],[QTY/ CTN]],INDEX([3]!db[QTY/ CTN],NOTA[[#This Row],[//DB]])))</f>
        <v/>
      </c>
      <c r="AX3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1" s="25" t="str">
        <f ca="1">IF(NOTA[[#This Row],[ID_H]]="","",MATCH(NOTA[[#This Row],[NB NOTA_C_QTY]],[3]!db[NB NOTA_C_QTY+F],0))</f>
        <v/>
      </c>
      <c r="AZ391" s="38" t="str">
        <f ca="1">IF(NOTA[[#This Row],[NB NOTA_C_QTY]]="","",ROW()-2)</f>
        <v/>
      </c>
    </row>
    <row r="392" spans="1:52" ht="20.100000000000001" customHeight="1">
      <c r="A3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2" s="25" t="str">
        <f ca="1">IF(NOTA[[#This Row],[NAMA BARANG]]="","",INDEX(NOTA[ID],MATCH(,INDIRECT(ADDRESS(ROW(NOTA[ID]),COLUMN(NOTA[ID]))&amp;":"&amp;ADDRESS(ROW(),COLUMN(NOTA[ID]))),-1)))</f>
        <v/>
      </c>
      <c r="E392" s="33"/>
      <c r="H392" s="34"/>
      <c r="Q392" s="29"/>
      <c r="R392" s="35"/>
      <c r="S392" s="36"/>
      <c r="V392" s="37"/>
      <c r="W392" s="32"/>
      <c r="X392" s="37" t="str">
        <f>IF(NOTA[[#This Row],[HARGA/ CTN]]="",NOTA[[#This Row],[JUMLAH_H]],NOTA[[#This Row],[HARGA/ CTN]]*IF(NOTA[[#This Row],[C]]="",0,NOTA[[#This Row],[C]]))</f>
        <v/>
      </c>
      <c r="Y392" s="37" t="str">
        <f>IF(NOTA[[#This Row],[JUMLAH]]="","",NOTA[[#This Row],[JUMLAH]]*NOTA[[#This Row],[DISC 1]])</f>
        <v/>
      </c>
      <c r="Z392" s="37" t="str">
        <f>IF(NOTA[[#This Row],[JUMLAH]]="","",(NOTA[[#This Row],[JUMLAH]]-NOTA[[#This Row],[DISC 1-]])*NOTA[[#This Row],[DISC 2]])</f>
        <v/>
      </c>
      <c r="AA392" s="37" t="str">
        <f>IF(NOTA[[#This Row],[JUMLAH]]="","",(NOTA[[#This Row],[JUMLAH]]-NOTA[[#This Row],[DISC 1-]]-NOTA[[#This Row],[DISC 2-]])*NOTA[[#This Row],[DISC 3]])</f>
        <v/>
      </c>
      <c r="AB392" s="37" t="str">
        <f>IF(NOTA[[#This Row],[JUMLAH]]="","",NOTA[[#This Row],[DISC 1-]]+NOTA[[#This Row],[DISC 2-]]+NOTA[[#This Row],[DISC 3-]])</f>
        <v/>
      </c>
      <c r="AC392" s="37" t="str">
        <f>IF(NOTA[[#This Row],[JUMLAH]]="","",NOTA[[#This Row],[JUMLAH]]-NOTA[[#This Row],[DISC]])</f>
        <v/>
      </c>
      <c r="AD392" s="37"/>
      <c r="AE3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2" s="37" t="str">
        <f>IF(OR(NOTA[[#This Row],[QTY]]="",NOTA[[#This Row],[HARGA SATUAN]]="",),"",NOTA[[#This Row],[QTY]]*NOTA[[#This Row],[HARGA SATUAN]])</f>
        <v/>
      </c>
      <c r="AI392" s="26" t="str">
        <f ca="1">IF(NOTA[[#This Row],[ID_H]]="","",INDEX(NOTA[TANGGAL],MATCH(,INDIRECT(ADDRESS(ROW(NOTA[TANGGAL]),COLUMN(NOTA[TANGGAL]))&amp;":"&amp;ADDRESS(ROW(),COLUMN(NOTA[TANGGAL]))),-1)))</f>
        <v/>
      </c>
      <c r="AJ392" s="26" t="str">
        <f ca="1">IF(NOTA[[#This Row],[ID_H]]="","",INDEX(NOTA[TGL.NOTA],MATCH(,INDIRECT(ADDRESS(ROW(NOTA[TGL.NOTA]),COLUMN(NOTA[TGL.NOTA]))&amp;":"&amp;ADDRESS(ROW(),COLUMN(NOTA[TGL.NOTA]))),-1)))</f>
        <v/>
      </c>
      <c r="AK392" s="26" t="str">
        <f ca="1">IF(NOTA[[#This Row],[ID_H]]="","",INDEX(NOTA[NO.NOTA],MATCH(NOTA[[#This Row],[ID_H]],NOTA[ID_H],0)))</f>
        <v/>
      </c>
      <c r="AL392" s="28" t="str">
        <f ca="1">IF(NOTA[[#This Row],[NAMA BARANG]]="","",INDEX(NOTA[SUPPLIER],MATCH(,INDIRECT(ADDRESS(ROW(NOTA[ID]),COLUMN(NOTA[ID]))&amp;":"&amp;ADDRESS(ROW(),COLUMN(NOTA[ID]))),-1)))</f>
        <v/>
      </c>
      <c r="AM392" s="28" t="str">
        <f ca="1">IF(NOTA[[#This Row],[ID_H]]="","",IF(NOTA[[#This Row],[FAKTUR]]="",INDIRECT(ADDRESS(ROW()-1,COLUMN())),NOTA[[#This Row],[FAKTUR]]))</f>
        <v/>
      </c>
      <c r="AN392" s="25" t="str">
        <f ca="1">IF(NOTA[[#This Row],[ID]]="","",COUNTIF(NOTA[ID_H],NOTA[[#This Row],[ID_H]]))</f>
        <v/>
      </c>
      <c r="AO392" s="25" t="str">
        <f ca="1">IF(NOTA[[#This Row],[TGL.NOTA]]="",IF(NOTA[[#This Row],[SUPPLIER_H]]="","",AO391),MONTH(NOTA[[#This Row],[TGL.NOTA]]))</f>
        <v/>
      </c>
      <c r="AP3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2" s="25"/>
      <c r="AU392" s="25" t="str">
        <f>IF(NOTA[[#This Row],[CONCAT1]]="","",MATCH(NOTA[[#This Row],[CONCAT1]],[3]!db[NB NOTA_C],0))</f>
        <v/>
      </c>
      <c r="AV392" s="25" t="str">
        <f>IF(NOTA[[#This Row],[QTY/ CTN]]="","",TRUE)</f>
        <v/>
      </c>
      <c r="AW392" s="25" t="str">
        <f ca="1">IF(NOTA[[#This Row],[ID_H]]="","",IF(NOTA[[#This Row],[Column3]]=TRUE,NOTA[[#This Row],[QTY/ CTN]],INDEX([3]!db[QTY/ CTN],NOTA[[#This Row],[//DB]])))</f>
        <v/>
      </c>
      <c r="AX3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2" s="25" t="str">
        <f ca="1">IF(NOTA[[#This Row],[ID_H]]="","",MATCH(NOTA[[#This Row],[NB NOTA_C_QTY]],[3]!db[NB NOTA_C_QTY+F],0))</f>
        <v/>
      </c>
      <c r="AZ392" s="38" t="str">
        <f ca="1">IF(NOTA[[#This Row],[NB NOTA_C_QTY]]="","",ROW()-2)</f>
        <v/>
      </c>
    </row>
    <row r="393" spans="1:52" ht="20.100000000000001" customHeight="1">
      <c r="A3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3" s="25" t="str">
        <f ca="1">IF(NOTA[[#This Row],[NAMA BARANG]]="","",INDEX(NOTA[ID],MATCH(,INDIRECT(ADDRESS(ROW(NOTA[ID]),COLUMN(NOTA[ID]))&amp;":"&amp;ADDRESS(ROW(),COLUMN(NOTA[ID]))),-1)))</f>
        <v/>
      </c>
      <c r="E393" s="33"/>
      <c r="H393" s="34"/>
      <c r="Q393" s="29"/>
      <c r="R393" s="35"/>
      <c r="S393" s="36"/>
      <c r="V393" s="37"/>
      <c r="W393" s="32"/>
      <c r="X393" s="37" t="str">
        <f>IF(NOTA[[#This Row],[HARGA/ CTN]]="",NOTA[[#This Row],[JUMLAH_H]],NOTA[[#This Row],[HARGA/ CTN]]*IF(NOTA[[#This Row],[C]]="",0,NOTA[[#This Row],[C]]))</f>
        <v/>
      </c>
      <c r="Y393" s="37" t="str">
        <f>IF(NOTA[[#This Row],[JUMLAH]]="","",NOTA[[#This Row],[JUMLAH]]*NOTA[[#This Row],[DISC 1]])</f>
        <v/>
      </c>
      <c r="Z393" s="37" t="str">
        <f>IF(NOTA[[#This Row],[JUMLAH]]="","",(NOTA[[#This Row],[JUMLAH]]-NOTA[[#This Row],[DISC 1-]])*NOTA[[#This Row],[DISC 2]])</f>
        <v/>
      </c>
      <c r="AA393" s="37" t="str">
        <f>IF(NOTA[[#This Row],[JUMLAH]]="","",(NOTA[[#This Row],[JUMLAH]]-NOTA[[#This Row],[DISC 1-]]-NOTA[[#This Row],[DISC 2-]])*NOTA[[#This Row],[DISC 3]])</f>
        <v/>
      </c>
      <c r="AB393" s="37" t="str">
        <f>IF(NOTA[[#This Row],[JUMLAH]]="","",NOTA[[#This Row],[DISC 1-]]+NOTA[[#This Row],[DISC 2-]]+NOTA[[#This Row],[DISC 3-]])</f>
        <v/>
      </c>
      <c r="AC393" s="37" t="str">
        <f>IF(NOTA[[#This Row],[JUMLAH]]="","",NOTA[[#This Row],[JUMLAH]]-NOTA[[#This Row],[DISC]])</f>
        <v/>
      </c>
      <c r="AD393" s="37"/>
      <c r="AE3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3" s="37" t="str">
        <f>IF(OR(NOTA[[#This Row],[QTY]]="",NOTA[[#This Row],[HARGA SATUAN]]="",),"",NOTA[[#This Row],[QTY]]*NOTA[[#This Row],[HARGA SATUAN]])</f>
        <v/>
      </c>
      <c r="AI393" s="26" t="str">
        <f ca="1">IF(NOTA[[#This Row],[ID_H]]="","",INDEX(NOTA[TANGGAL],MATCH(,INDIRECT(ADDRESS(ROW(NOTA[TANGGAL]),COLUMN(NOTA[TANGGAL]))&amp;":"&amp;ADDRESS(ROW(),COLUMN(NOTA[TANGGAL]))),-1)))</f>
        <v/>
      </c>
      <c r="AJ393" s="26" t="str">
        <f ca="1">IF(NOTA[[#This Row],[ID_H]]="","",INDEX(NOTA[TGL.NOTA],MATCH(,INDIRECT(ADDRESS(ROW(NOTA[TGL.NOTA]),COLUMN(NOTA[TGL.NOTA]))&amp;":"&amp;ADDRESS(ROW(),COLUMN(NOTA[TGL.NOTA]))),-1)))</f>
        <v/>
      </c>
      <c r="AK393" s="26" t="str">
        <f ca="1">IF(NOTA[[#This Row],[ID_H]]="","",INDEX(NOTA[NO.NOTA],MATCH(NOTA[[#This Row],[ID_H]],NOTA[ID_H],0)))</f>
        <v/>
      </c>
      <c r="AL393" s="28" t="str">
        <f ca="1">IF(NOTA[[#This Row],[NAMA BARANG]]="","",INDEX(NOTA[SUPPLIER],MATCH(,INDIRECT(ADDRESS(ROW(NOTA[ID]),COLUMN(NOTA[ID]))&amp;":"&amp;ADDRESS(ROW(),COLUMN(NOTA[ID]))),-1)))</f>
        <v/>
      </c>
      <c r="AM393" s="28" t="str">
        <f ca="1">IF(NOTA[[#This Row],[ID_H]]="","",IF(NOTA[[#This Row],[FAKTUR]]="",INDIRECT(ADDRESS(ROW()-1,COLUMN())),NOTA[[#This Row],[FAKTUR]]))</f>
        <v/>
      </c>
      <c r="AN393" s="25" t="str">
        <f ca="1">IF(NOTA[[#This Row],[ID]]="","",COUNTIF(NOTA[ID_H],NOTA[[#This Row],[ID_H]]))</f>
        <v/>
      </c>
      <c r="AO393" s="25" t="str">
        <f ca="1">IF(NOTA[[#This Row],[TGL.NOTA]]="",IF(NOTA[[#This Row],[SUPPLIER_H]]="","",AO392),MONTH(NOTA[[#This Row],[TGL.NOTA]]))</f>
        <v/>
      </c>
      <c r="AP3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3" s="25"/>
      <c r="AU393" s="25" t="str">
        <f>IF(NOTA[[#This Row],[CONCAT1]]="","",MATCH(NOTA[[#This Row],[CONCAT1]],[3]!db[NB NOTA_C],0))</f>
        <v/>
      </c>
      <c r="AV393" s="25" t="str">
        <f>IF(NOTA[[#This Row],[QTY/ CTN]]="","",TRUE)</f>
        <v/>
      </c>
      <c r="AW393" s="25" t="str">
        <f ca="1">IF(NOTA[[#This Row],[ID_H]]="","",IF(NOTA[[#This Row],[Column3]]=TRUE,NOTA[[#This Row],[QTY/ CTN]],INDEX([3]!db[QTY/ CTN],NOTA[[#This Row],[//DB]])))</f>
        <v/>
      </c>
      <c r="AX3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3" s="25" t="str">
        <f ca="1">IF(NOTA[[#This Row],[ID_H]]="","",MATCH(NOTA[[#This Row],[NB NOTA_C_QTY]],[3]!db[NB NOTA_C_QTY+F],0))</f>
        <v/>
      </c>
      <c r="AZ393" s="38" t="str">
        <f ca="1">IF(NOTA[[#This Row],[NB NOTA_C_QTY]]="","",ROW()-2)</f>
        <v/>
      </c>
    </row>
    <row r="394" spans="1:52" ht="20.100000000000001" customHeight="1">
      <c r="A3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4" s="25" t="str">
        <f ca="1">IF(NOTA[[#This Row],[NAMA BARANG]]="","",INDEX(NOTA[ID],MATCH(,INDIRECT(ADDRESS(ROW(NOTA[ID]),COLUMN(NOTA[ID]))&amp;":"&amp;ADDRESS(ROW(),COLUMN(NOTA[ID]))),-1)))</f>
        <v/>
      </c>
      <c r="E394" s="33"/>
      <c r="H394" s="34"/>
      <c r="Q394" s="29"/>
      <c r="R394" s="35"/>
      <c r="S394" s="36"/>
      <c r="V394" s="37"/>
      <c r="W394" s="32"/>
      <c r="X394" s="37" t="str">
        <f>IF(NOTA[[#This Row],[HARGA/ CTN]]="",NOTA[[#This Row],[JUMLAH_H]],NOTA[[#This Row],[HARGA/ CTN]]*IF(NOTA[[#This Row],[C]]="",0,NOTA[[#This Row],[C]]))</f>
        <v/>
      </c>
      <c r="Y394" s="37" t="str">
        <f>IF(NOTA[[#This Row],[JUMLAH]]="","",NOTA[[#This Row],[JUMLAH]]*NOTA[[#This Row],[DISC 1]])</f>
        <v/>
      </c>
      <c r="Z394" s="37" t="str">
        <f>IF(NOTA[[#This Row],[JUMLAH]]="","",(NOTA[[#This Row],[JUMLAH]]-NOTA[[#This Row],[DISC 1-]])*NOTA[[#This Row],[DISC 2]])</f>
        <v/>
      </c>
      <c r="AA394" s="37" t="str">
        <f>IF(NOTA[[#This Row],[JUMLAH]]="","",(NOTA[[#This Row],[JUMLAH]]-NOTA[[#This Row],[DISC 1-]]-NOTA[[#This Row],[DISC 2-]])*NOTA[[#This Row],[DISC 3]])</f>
        <v/>
      </c>
      <c r="AB394" s="37" t="str">
        <f>IF(NOTA[[#This Row],[JUMLAH]]="","",NOTA[[#This Row],[DISC 1-]]+NOTA[[#This Row],[DISC 2-]]+NOTA[[#This Row],[DISC 3-]])</f>
        <v/>
      </c>
      <c r="AC394" s="37" t="str">
        <f>IF(NOTA[[#This Row],[JUMLAH]]="","",NOTA[[#This Row],[JUMLAH]]-NOTA[[#This Row],[DISC]])</f>
        <v/>
      </c>
      <c r="AD394" s="37"/>
      <c r="AE3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4" s="37" t="str">
        <f>IF(OR(NOTA[[#This Row],[QTY]]="",NOTA[[#This Row],[HARGA SATUAN]]="",),"",NOTA[[#This Row],[QTY]]*NOTA[[#This Row],[HARGA SATUAN]])</f>
        <v/>
      </c>
      <c r="AI394" s="26" t="str">
        <f ca="1">IF(NOTA[[#This Row],[ID_H]]="","",INDEX(NOTA[TANGGAL],MATCH(,INDIRECT(ADDRESS(ROW(NOTA[TANGGAL]),COLUMN(NOTA[TANGGAL]))&amp;":"&amp;ADDRESS(ROW(),COLUMN(NOTA[TANGGAL]))),-1)))</f>
        <v/>
      </c>
      <c r="AJ394" s="26" t="str">
        <f ca="1">IF(NOTA[[#This Row],[ID_H]]="","",INDEX(NOTA[TGL.NOTA],MATCH(,INDIRECT(ADDRESS(ROW(NOTA[TGL.NOTA]),COLUMN(NOTA[TGL.NOTA]))&amp;":"&amp;ADDRESS(ROW(),COLUMN(NOTA[TGL.NOTA]))),-1)))</f>
        <v/>
      </c>
      <c r="AK394" s="26" t="str">
        <f ca="1">IF(NOTA[[#This Row],[ID_H]]="","",INDEX(NOTA[NO.NOTA],MATCH(NOTA[[#This Row],[ID_H]],NOTA[ID_H],0)))</f>
        <v/>
      </c>
      <c r="AL394" s="28" t="str">
        <f ca="1">IF(NOTA[[#This Row],[NAMA BARANG]]="","",INDEX(NOTA[SUPPLIER],MATCH(,INDIRECT(ADDRESS(ROW(NOTA[ID]),COLUMN(NOTA[ID]))&amp;":"&amp;ADDRESS(ROW(),COLUMN(NOTA[ID]))),-1)))</f>
        <v/>
      </c>
      <c r="AM394" s="28" t="str">
        <f ca="1">IF(NOTA[[#This Row],[ID_H]]="","",IF(NOTA[[#This Row],[FAKTUR]]="",INDIRECT(ADDRESS(ROW()-1,COLUMN())),NOTA[[#This Row],[FAKTUR]]))</f>
        <v/>
      </c>
      <c r="AN394" s="25" t="str">
        <f ca="1">IF(NOTA[[#This Row],[ID]]="","",COUNTIF(NOTA[ID_H],NOTA[[#This Row],[ID_H]]))</f>
        <v/>
      </c>
      <c r="AO394" s="25" t="str">
        <f ca="1">IF(NOTA[[#This Row],[TGL.NOTA]]="",IF(NOTA[[#This Row],[SUPPLIER_H]]="","",AO393),MONTH(NOTA[[#This Row],[TGL.NOTA]]))</f>
        <v/>
      </c>
      <c r="AP3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4" s="25"/>
      <c r="AU394" s="25" t="str">
        <f>IF(NOTA[[#This Row],[CONCAT1]]="","",MATCH(NOTA[[#This Row],[CONCAT1]],[3]!db[NB NOTA_C],0))</f>
        <v/>
      </c>
      <c r="AV394" s="25" t="str">
        <f>IF(NOTA[[#This Row],[QTY/ CTN]]="","",TRUE)</f>
        <v/>
      </c>
      <c r="AW394" s="25" t="str">
        <f ca="1">IF(NOTA[[#This Row],[ID_H]]="","",IF(NOTA[[#This Row],[Column3]]=TRUE,NOTA[[#This Row],[QTY/ CTN]],INDEX([3]!db[QTY/ CTN],NOTA[[#This Row],[//DB]])))</f>
        <v/>
      </c>
      <c r="AX3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4" s="25" t="str">
        <f ca="1">IF(NOTA[[#This Row],[ID_H]]="","",MATCH(NOTA[[#This Row],[NB NOTA_C_QTY]],[3]!db[NB NOTA_C_QTY+F],0))</f>
        <v/>
      </c>
      <c r="AZ394" s="38" t="str">
        <f ca="1">IF(NOTA[[#This Row],[NB NOTA_C_QTY]]="","",ROW()-2)</f>
        <v/>
      </c>
    </row>
    <row r="395" spans="1:52" ht="20.100000000000001" customHeight="1">
      <c r="A3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5" s="25" t="str">
        <f ca="1">IF(NOTA[[#This Row],[NAMA BARANG]]="","",INDEX(NOTA[ID],MATCH(,INDIRECT(ADDRESS(ROW(NOTA[ID]),COLUMN(NOTA[ID]))&amp;":"&amp;ADDRESS(ROW(),COLUMN(NOTA[ID]))),-1)))</f>
        <v/>
      </c>
      <c r="E395" s="33"/>
      <c r="H395" s="34"/>
      <c r="Q395" s="29"/>
      <c r="R395" s="35"/>
      <c r="S395" s="36"/>
      <c r="V395" s="37"/>
      <c r="W395" s="32"/>
      <c r="X395" s="37" t="str">
        <f>IF(NOTA[[#This Row],[HARGA/ CTN]]="",NOTA[[#This Row],[JUMLAH_H]],NOTA[[#This Row],[HARGA/ CTN]]*IF(NOTA[[#This Row],[C]]="",0,NOTA[[#This Row],[C]]))</f>
        <v/>
      </c>
      <c r="Y395" s="37" t="str">
        <f>IF(NOTA[[#This Row],[JUMLAH]]="","",NOTA[[#This Row],[JUMLAH]]*NOTA[[#This Row],[DISC 1]])</f>
        <v/>
      </c>
      <c r="Z395" s="37" t="str">
        <f>IF(NOTA[[#This Row],[JUMLAH]]="","",(NOTA[[#This Row],[JUMLAH]]-NOTA[[#This Row],[DISC 1-]])*NOTA[[#This Row],[DISC 2]])</f>
        <v/>
      </c>
      <c r="AA395" s="37" t="str">
        <f>IF(NOTA[[#This Row],[JUMLAH]]="","",(NOTA[[#This Row],[JUMLAH]]-NOTA[[#This Row],[DISC 1-]]-NOTA[[#This Row],[DISC 2-]])*NOTA[[#This Row],[DISC 3]])</f>
        <v/>
      </c>
      <c r="AB395" s="37" t="str">
        <f>IF(NOTA[[#This Row],[JUMLAH]]="","",NOTA[[#This Row],[DISC 1-]]+NOTA[[#This Row],[DISC 2-]]+NOTA[[#This Row],[DISC 3-]])</f>
        <v/>
      </c>
      <c r="AC395" s="37" t="str">
        <f>IF(NOTA[[#This Row],[JUMLAH]]="","",NOTA[[#This Row],[JUMLAH]]-NOTA[[#This Row],[DISC]])</f>
        <v/>
      </c>
      <c r="AD395" s="37"/>
      <c r="AE3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5" s="37" t="str">
        <f>IF(OR(NOTA[[#This Row],[QTY]]="",NOTA[[#This Row],[HARGA SATUAN]]="",),"",NOTA[[#This Row],[QTY]]*NOTA[[#This Row],[HARGA SATUAN]])</f>
        <v/>
      </c>
      <c r="AI395" s="26" t="str">
        <f ca="1">IF(NOTA[[#This Row],[ID_H]]="","",INDEX(NOTA[TANGGAL],MATCH(,INDIRECT(ADDRESS(ROW(NOTA[TANGGAL]),COLUMN(NOTA[TANGGAL]))&amp;":"&amp;ADDRESS(ROW(),COLUMN(NOTA[TANGGAL]))),-1)))</f>
        <v/>
      </c>
      <c r="AJ395" s="26" t="str">
        <f ca="1">IF(NOTA[[#This Row],[ID_H]]="","",INDEX(NOTA[TGL.NOTA],MATCH(,INDIRECT(ADDRESS(ROW(NOTA[TGL.NOTA]),COLUMN(NOTA[TGL.NOTA]))&amp;":"&amp;ADDRESS(ROW(),COLUMN(NOTA[TGL.NOTA]))),-1)))</f>
        <v/>
      </c>
      <c r="AK395" s="26" t="str">
        <f ca="1">IF(NOTA[[#This Row],[ID_H]]="","",INDEX(NOTA[NO.NOTA],MATCH(NOTA[[#This Row],[ID_H]],NOTA[ID_H],0)))</f>
        <v/>
      </c>
      <c r="AL395" s="28" t="str">
        <f ca="1">IF(NOTA[[#This Row],[NAMA BARANG]]="","",INDEX(NOTA[SUPPLIER],MATCH(,INDIRECT(ADDRESS(ROW(NOTA[ID]),COLUMN(NOTA[ID]))&amp;":"&amp;ADDRESS(ROW(),COLUMN(NOTA[ID]))),-1)))</f>
        <v/>
      </c>
      <c r="AM395" s="28" t="str">
        <f ca="1">IF(NOTA[[#This Row],[ID_H]]="","",IF(NOTA[[#This Row],[FAKTUR]]="",INDIRECT(ADDRESS(ROW()-1,COLUMN())),NOTA[[#This Row],[FAKTUR]]))</f>
        <v/>
      </c>
      <c r="AN395" s="25" t="str">
        <f ca="1">IF(NOTA[[#This Row],[ID]]="","",COUNTIF(NOTA[ID_H],NOTA[[#This Row],[ID_H]]))</f>
        <v/>
      </c>
      <c r="AO395" s="25" t="str">
        <f ca="1">IF(NOTA[[#This Row],[TGL.NOTA]]="",IF(NOTA[[#This Row],[SUPPLIER_H]]="","",AO394),MONTH(NOTA[[#This Row],[TGL.NOTA]]))</f>
        <v/>
      </c>
      <c r="AP3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5" s="25"/>
      <c r="AU395" s="25" t="str">
        <f>IF(NOTA[[#This Row],[CONCAT1]]="","",MATCH(NOTA[[#This Row],[CONCAT1]],[3]!db[NB NOTA_C],0))</f>
        <v/>
      </c>
      <c r="AV395" s="25" t="str">
        <f>IF(NOTA[[#This Row],[QTY/ CTN]]="","",TRUE)</f>
        <v/>
      </c>
      <c r="AW395" s="25" t="str">
        <f ca="1">IF(NOTA[[#This Row],[ID_H]]="","",IF(NOTA[[#This Row],[Column3]]=TRUE,NOTA[[#This Row],[QTY/ CTN]],INDEX([3]!db[QTY/ CTN],NOTA[[#This Row],[//DB]])))</f>
        <v/>
      </c>
      <c r="AX3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5" s="25" t="str">
        <f ca="1">IF(NOTA[[#This Row],[ID_H]]="","",MATCH(NOTA[[#This Row],[NB NOTA_C_QTY]],[3]!db[NB NOTA_C_QTY+F],0))</f>
        <v/>
      </c>
      <c r="AZ395" s="38" t="str">
        <f ca="1">IF(NOTA[[#This Row],[NB NOTA_C_QTY]]="","",ROW()-2)</f>
        <v/>
      </c>
    </row>
    <row r="396" spans="1:52" ht="20.100000000000001" customHeight="1">
      <c r="A3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6" s="25" t="str">
        <f ca="1">IF(NOTA[[#This Row],[NAMA BARANG]]="","",INDEX(NOTA[ID],MATCH(,INDIRECT(ADDRESS(ROW(NOTA[ID]),COLUMN(NOTA[ID]))&amp;":"&amp;ADDRESS(ROW(),COLUMN(NOTA[ID]))),-1)))</f>
        <v/>
      </c>
      <c r="E396" s="33"/>
      <c r="H396" s="34"/>
      <c r="Q396" s="29"/>
      <c r="R396" s="35"/>
      <c r="S396" s="36"/>
      <c r="V396" s="37"/>
      <c r="W396" s="32"/>
      <c r="X396" s="37" t="str">
        <f>IF(NOTA[[#This Row],[HARGA/ CTN]]="",NOTA[[#This Row],[JUMLAH_H]],NOTA[[#This Row],[HARGA/ CTN]]*IF(NOTA[[#This Row],[C]]="",0,NOTA[[#This Row],[C]]))</f>
        <v/>
      </c>
      <c r="Y396" s="37" t="str">
        <f>IF(NOTA[[#This Row],[JUMLAH]]="","",NOTA[[#This Row],[JUMLAH]]*NOTA[[#This Row],[DISC 1]])</f>
        <v/>
      </c>
      <c r="Z396" s="37" t="str">
        <f>IF(NOTA[[#This Row],[JUMLAH]]="","",(NOTA[[#This Row],[JUMLAH]]-NOTA[[#This Row],[DISC 1-]])*NOTA[[#This Row],[DISC 2]])</f>
        <v/>
      </c>
      <c r="AA396" s="37" t="str">
        <f>IF(NOTA[[#This Row],[JUMLAH]]="","",(NOTA[[#This Row],[JUMLAH]]-NOTA[[#This Row],[DISC 1-]]-NOTA[[#This Row],[DISC 2-]])*NOTA[[#This Row],[DISC 3]])</f>
        <v/>
      </c>
      <c r="AB396" s="37" t="str">
        <f>IF(NOTA[[#This Row],[JUMLAH]]="","",NOTA[[#This Row],[DISC 1-]]+NOTA[[#This Row],[DISC 2-]]+NOTA[[#This Row],[DISC 3-]])</f>
        <v/>
      </c>
      <c r="AC396" s="37" t="str">
        <f>IF(NOTA[[#This Row],[JUMLAH]]="","",NOTA[[#This Row],[JUMLAH]]-NOTA[[#This Row],[DISC]])</f>
        <v/>
      </c>
      <c r="AD396" s="37"/>
      <c r="AE3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6" s="37" t="str">
        <f>IF(OR(NOTA[[#This Row],[QTY]]="",NOTA[[#This Row],[HARGA SATUAN]]="",),"",NOTA[[#This Row],[QTY]]*NOTA[[#This Row],[HARGA SATUAN]])</f>
        <v/>
      </c>
      <c r="AI396" s="26" t="str">
        <f ca="1">IF(NOTA[[#This Row],[ID_H]]="","",INDEX(NOTA[TANGGAL],MATCH(,INDIRECT(ADDRESS(ROW(NOTA[TANGGAL]),COLUMN(NOTA[TANGGAL]))&amp;":"&amp;ADDRESS(ROW(),COLUMN(NOTA[TANGGAL]))),-1)))</f>
        <v/>
      </c>
      <c r="AJ396" s="26" t="str">
        <f ca="1">IF(NOTA[[#This Row],[ID_H]]="","",INDEX(NOTA[TGL.NOTA],MATCH(,INDIRECT(ADDRESS(ROW(NOTA[TGL.NOTA]),COLUMN(NOTA[TGL.NOTA]))&amp;":"&amp;ADDRESS(ROW(),COLUMN(NOTA[TGL.NOTA]))),-1)))</f>
        <v/>
      </c>
      <c r="AK396" s="26" t="str">
        <f ca="1">IF(NOTA[[#This Row],[ID_H]]="","",INDEX(NOTA[NO.NOTA],MATCH(NOTA[[#This Row],[ID_H]],NOTA[ID_H],0)))</f>
        <v/>
      </c>
      <c r="AL396" s="28" t="str">
        <f ca="1">IF(NOTA[[#This Row],[NAMA BARANG]]="","",INDEX(NOTA[SUPPLIER],MATCH(,INDIRECT(ADDRESS(ROW(NOTA[ID]),COLUMN(NOTA[ID]))&amp;":"&amp;ADDRESS(ROW(),COLUMN(NOTA[ID]))),-1)))</f>
        <v/>
      </c>
      <c r="AM396" s="28" t="str">
        <f ca="1">IF(NOTA[[#This Row],[ID_H]]="","",IF(NOTA[[#This Row],[FAKTUR]]="",INDIRECT(ADDRESS(ROW()-1,COLUMN())),NOTA[[#This Row],[FAKTUR]]))</f>
        <v/>
      </c>
      <c r="AN396" s="25" t="str">
        <f ca="1">IF(NOTA[[#This Row],[ID]]="","",COUNTIF(NOTA[ID_H],NOTA[[#This Row],[ID_H]]))</f>
        <v/>
      </c>
      <c r="AO396" s="25" t="str">
        <f ca="1">IF(NOTA[[#This Row],[TGL.NOTA]]="",IF(NOTA[[#This Row],[SUPPLIER_H]]="","",AO395),MONTH(NOTA[[#This Row],[TGL.NOTA]]))</f>
        <v/>
      </c>
      <c r="AP3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6" s="25"/>
      <c r="AU396" s="25" t="str">
        <f>IF(NOTA[[#This Row],[CONCAT1]]="","",MATCH(NOTA[[#This Row],[CONCAT1]],[3]!db[NB NOTA_C],0))</f>
        <v/>
      </c>
      <c r="AV396" s="25" t="str">
        <f>IF(NOTA[[#This Row],[QTY/ CTN]]="","",TRUE)</f>
        <v/>
      </c>
      <c r="AW396" s="25" t="str">
        <f ca="1">IF(NOTA[[#This Row],[ID_H]]="","",IF(NOTA[[#This Row],[Column3]]=TRUE,NOTA[[#This Row],[QTY/ CTN]],INDEX([3]!db[QTY/ CTN],NOTA[[#This Row],[//DB]])))</f>
        <v/>
      </c>
      <c r="AX3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6" s="25" t="str">
        <f ca="1">IF(NOTA[[#This Row],[ID_H]]="","",MATCH(NOTA[[#This Row],[NB NOTA_C_QTY]],[3]!db[NB NOTA_C_QTY+F],0))</f>
        <v/>
      </c>
      <c r="AZ396" s="38" t="str">
        <f ca="1">IF(NOTA[[#This Row],[NB NOTA_C_QTY]]="","",ROW()-2)</f>
        <v/>
      </c>
    </row>
    <row r="397" spans="1:52" ht="20.100000000000001" customHeight="1">
      <c r="A3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7" s="25" t="str">
        <f ca="1">IF(NOTA[[#This Row],[NAMA BARANG]]="","",INDEX(NOTA[ID],MATCH(,INDIRECT(ADDRESS(ROW(NOTA[ID]),COLUMN(NOTA[ID]))&amp;":"&amp;ADDRESS(ROW(),COLUMN(NOTA[ID]))),-1)))</f>
        <v/>
      </c>
      <c r="E397" s="33"/>
      <c r="H397" s="34"/>
      <c r="Q397" s="29"/>
      <c r="R397" s="35"/>
      <c r="S397" s="36"/>
      <c r="V397" s="37"/>
      <c r="W397" s="32"/>
      <c r="X397" s="37" t="str">
        <f>IF(NOTA[[#This Row],[HARGA/ CTN]]="",NOTA[[#This Row],[JUMLAH_H]],NOTA[[#This Row],[HARGA/ CTN]]*IF(NOTA[[#This Row],[C]]="",0,NOTA[[#This Row],[C]]))</f>
        <v/>
      </c>
      <c r="Y397" s="37" t="str">
        <f>IF(NOTA[[#This Row],[JUMLAH]]="","",NOTA[[#This Row],[JUMLAH]]*NOTA[[#This Row],[DISC 1]])</f>
        <v/>
      </c>
      <c r="Z397" s="37" t="str">
        <f>IF(NOTA[[#This Row],[JUMLAH]]="","",(NOTA[[#This Row],[JUMLAH]]-NOTA[[#This Row],[DISC 1-]])*NOTA[[#This Row],[DISC 2]])</f>
        <v/>
      </c>
      <c r="AA397" s="37" t="str">
        <f>IF(NOTA[[#This Row],[JUMLAH]]="","",(NOTA[[#This Row],[JUMLAH]]-NOTA[[#This Row],[DISC 1-]]-NOTA[[#This Row],[DISC 2-]])*NOTA[[#This Row],[DISC 3]])</f>
        <v/>
      </c>
      <c r="AB397" s="37" t="str">
        <f>IF(NOTA[[#This Row],[JUMLAH]]="","",NOTA[[#This Row],[DISC 1-]]+NOTA[[#This Row],[DISC 2-]]+NOTA[[#This Row],[DISC 3-]])</f>
        <v/>
      </c>
      <c r="AC397" s="37" t="str">
        <f>IF(NOTA[[#This Row],[JUMLAH]]="","",NOTA[[#This Row],[JUMLAH]]-NOTA[[#This Row],[DISC]])</f>
        <v/>
      </c>
      <c r="AD397" s="37"/>
      <c r="AE3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7" s="37" t="str">
        <f>IF(OR(NOTA[[#This Row],[QTY]]="",NOTA[[#This Row],[HARGA SATUAN]]="",),"",NOTA[[#This Row],[QTY]]*NOTA[[#This Row],[HARGA SATUAN]])</f>
        <v/>
      </c>
      <c r="AI397" s="26" t="str">
        <f ca="1">IF(NOTA[[#This Row],[ID_H]]="","",INDEX(NOTA[TANGGAL],MATCH(,INDIRECT(ADDRESS(ROW(NOTA[TANGGAL]),COLUMN(NOTA[TANGGAL]))&amp;":"&amp;ADDRESS(ROW(),COLUMN(NOTA[TANGGAL]))),-1)))</f>
        <v/>
      </c>
      <c r="AJ397" s="26" t="str">
        <f ca="1">IF(NOTA[[#This Row],[ID_H]]="","",INDEX(NOTA[TGL.NOTA],MATCH(,INDIRECT(ADDRESS(ROW(NOTA[TGL.NOTA]),COLUMN(NOTA[TGL.NOTA]))&amp;":"&amp;ADDRESS(ROW(),COLUMN(NOTA[TGL.NOTA]))),-1)))</f>
        <v/>
      </c>
      <c r="AK397" s="26" t="str">
        <f ca="1">IF(NOTA[[#This Row],[ID_H]]="","",INDEX(NOTA[NO.NOTA],MATCH(NOTA[[#This Row],[ID_H]],NOTA[ID_H],0)))</f>
        <v/>
      </c>
      <c r="AL397" s="28" t="str">
        <f ca="1">IF(NOTA[[#This Row],[NAMA BARANG]]="","",INDEX(NOTA[SUPPLIER],MATCH(,INDIRECT(ADDRESS(ROW(NOTA[ID]),COLUMN(NOTA[ID]))&amp;":"&amp;ADDRESS(ROW(),COLUMN(NOTA[ID]))),-1)))</f>
        <v/>
      </c>
      <c r="AM397" s="28" t="str">
        <f ca="1">IF(NOTA[[#This Row],[ID_H]]="","",IF(NOTA[[#This Row],[FAKTUR]]="",INDIRECT(ADDRESS(ROW()-1,COLUMN())),NOTA[[#This Row],[FAKTUR]]))</f>
        <v/>
      </c>
      <c r="AN397" s="25" t="str">
        <f ca="1">IF(NOTA[[#This Row],[ID]]="","",COUNTIF(NOTA[ID_H],NOTA[[#This Row],[ID_H]]))</f>
        <v/>
      </c>
      <c r="AO397" s="25" t="str">
        <f ca="1">IF(NOTA[[#This Row],[TGL.NOTA]]="",IF(NOTA[[#This Row],[SUPPLIER_H]]="","",AO396),MONTH(NOTA[[#This Row],[TGL.NOTA]]))</f>
        <v/>
      </c>
      <c r="AP3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7" s="25"/>
      <c r="AU397" s="25" t="str">
        <f>IF(NOTA[[#This Row],[CONCAT1]]="","",MATCH(NOTA[[#This Row],[CONCAT1]],[3]!db[NB NOTA_C],0))</f>
        <v/>
      </c>
      <c r="AV397" s="25" t="str">
        <f>IF(NOTA[[#This Row],[QTY/ CTN]]="","",TRUE)</f>
        <v/>
      </c>
      <c r="AW397" s="25" t="str">
        <f ca="1">IF(NOTA[[#This Row],[ID_H]]="","",IF(NOTA[[#This Row],[Column3]]=TRUE,NOTA[[#This Row],[QTY/ CTN]],INDEX([3]!db[QTY/ CTN],NOTA[[#This Row],[//DB]])))</f>
        <v/>
      </c>
      <c r="AX3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7" s="25" t="str">
        <f ca="1">IF(NOTA[[#This Row],[ID_H]]="","",MATCH(NOTA[[#This Row],[NB NOTA_C_QTY]],[3]!db[NB NOTA_C_QTY+F],0))</f>
        <v/>
      </c>
      <c r="AZ397" s="38" t="str">
        <f ca="1">IF(NOTA[[#This Row],[NB NOTA_C_QTY]]="","",ROW()-2)</f>
        <v/>
      </c>
    </row>
    <row r="398" spans="1:52" ht="20.100000000000001" customHeight="1">
      <c r="A3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8" s="25" t="str">
        <f ca="1">IF(NOTA[[#This Row],[NAMA BARANG]]="","",INDEX(NOTA[ID],MATCH(,INDIRECT(ADDRESS(ROW(NOTA[ID]),COLUMN(NOTA[ID]))&amp;":"&amp;ADDRESS(ROW(),COLUMN(NOTA[ID]))),-1)))</f>
        <v/>
      </c>
      <c r="E398" s="33"/>
      <c r="H398" s="34"/>
      <c r="Q398" s="29"/>
      <c r="R398" s="35"/>
      <c r="S398" s="36"/>
      <c r="V398" s="37"/>
      <c r="W398" s="32"/>
      <c r="X398" s="37" t="str">
        <f>IF(NOTA[[#This Row],[HARGA/ CTN]]="",NOTA[[#This Row],[JUMLAH_H]],NOTA[[#This Row],[HARGA/ CTN]]*IF(NOTA[[#This Row],[C]]="",0,NOTA[[#This Row],[C]]))</f>
        <v/>
      </c>
      <c r="Y398" s="37" t="str">
        <f>IF(NOTA[[#This Row],[JUMLAH]]="","",NOTA[[#This Row],[JUMLAH]]*NOTA[[#This Row],[DISC 1]])</f>
        <v/>
      </c>
      <c r="Z398" s="37" t="str">
        <f>IF(NOTA[[#This Row],[JUMLAH]]="","",(NOTA[[#This Row],[JUMLAH]]-NOTA[[#This Row],[DISC 1-]])*NOTA[[#This Row],[DISC 2]])</f>
        <v/>
      </c>
      <c r="AA398" s="37" t="str">
        <f>IF(NOTA[[#This Row],[JUMLAH]]="","",(NOTA[[#This Row],[JUMLAH]]-NOTA[[#This Row],[DISC 1-]]-NOTA[[#This Row],[DISC 2-]])*NOTA[[#This Row],[DISC 3]])</f>
        <v/>
      </c>
      <c r="AB398" s="37" t="str">
        <f>IF(NOTA[[#This Row],[JUMLAH]]="","",NOTA[[#This Row],[DISC 1-]]+NOTA[[#This Row],[DISC 2-]]+NOTA[[#This Row],[DISC 3-]])</f>
        <v/>
      </c>
      <c r="AC398" s="37" t="str">
        <f>IF(NOTA[[#This Row],[JUMLAH]]="","",NOTA[[#This Row],[JUMLAH]]-NOTA[[#This Row],[DISC]])</f>
        <v/>
      </c>
      <c r="AD398" s="37"/>
      <c r="AE3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8" s="37" t="str">
        <f>IF(OR(NOTA[[#This Row],[QTY]]="",NOTA[[#This Row],[HARGA SATUAN]]="",),"",NOTA[[#This Row],[QTY]]*NOTA[[#This Row],[HARGA SATUAN]])</f>
        <v/>
      </c>
      <c r="AI398" s="26" t="str">
        <f ca="1">IF(NOTA[[#This Row],[ID_H]]="","",INDEX(NOTA[TANGGAL],MATCH(,INDIRECT(ADDRESS(ROW(NOTA[TANGGAL]),COLUMN(NOTA[TANGGAL]))&amp;":"&amp;ADDRESS(ROW(),COLUMN(NOTA[TANGGAL]))),-1)))</f>
        <v/>
      </c>
      <c r="AJ398" s="26" t="str">
        <f ca="1">IF(NOTA[[#This Row],[ID_H]]="","",INDEX(NOTA[TGL.NOTA],MATCH(,INDIRECT(ADDRESS(ROW(NOTA[TGL.NOTA]),COLUMN(NOTA[TGL.NOTA]))&amp;":"&amp;ADDRESS(ROW(),COLUMN(NOTA[TGL.NOTA]))),-1)))</f>
        <v/>
      </c>
      <c r="AK398" s="26" t="str">
        <f ca="1">IF(NOTA[[#This Row],[ID_H]]="","",INDEX(NOTA[NO.NOTA],MATCH(NOTA[[#This Row],[ID_H]],NOTA[ID_H],0)))</f>
        <v/>
      </c>
      <c r="AL398" s="28" t="str">
        <f ca="1">IF(NOTA[[#This Row],[NAMA BARANG]]="","",INDEX(NOTA[SUPPLIER],MATCH(,INDIRECT(ADDRESS(ROW(NOTA[ID]),COLUMN(NOTA[ID]))&amp;":"&amp;ADDRESS(ROW(),COLUMN(NOTA[ID]))),-1)))</f>
        <v/>
      </c>
      <c r="AM398" s="28" t="str">
        <f ca="1">IF(NOTA[[#This Row],[ID_H]]="","",IF(NOTA[[#This Row],[FAKTUR]]="",INDIRECT(ADDRESS(ROW()-1,COLUMN())),NOTA[[#This Row],[FAKTUR]]))</f>
        <v/>
      </c>
      <c r="AN398" s="25" t="str">
        <f ca="1">IF(NOTA[[#This Row],[ID]]="","",COUNTIF(NOTA[ID_H],NOTA[[#This Row],[ID_H]]))</f>
        <v/>
      </c>
      <c r="AO398" s="25" t="str">
        <f ca="1">IF(NOTA[[#This Row],[TGL.NOTA]]="",IF(NOTA[[#This Row],[SUPPLIER_H]]="","",AO397),MONTH(NOTA[[#This Row],[TGL.NOTA]]))</f>
        <v/>
      </c>
      <c r="AP3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8" s="25"/>
      <c r="AU398" s="25" t="str">
        <f>IF(NOTA[[#This Row],[CONCAT1]]="","",MATCH(NOTA[[#This Row],[CONCAT1]],[3]!db[NB NOTA_C],0))</f>
        <v/>
      </c>
      <c r="AV398" s="25" t="str">
        <f>IF(NOTA[[#This Row],[QTY/ CTN]]="","",TRUE)</f>
        <v/>
      </c>
      <c r="AW398" s="25" t="str">
        <f ca="1">IF(NOTA[[#This Row],[ID_H]]="","",IF(NOTA[[#This Row],[Column3]]=TRUE,NOTA[[#This Row],[QTY/ CTN]],INDEX([3]!db[QTY/ CTN],NOTA[[#This Row],[//DB]])))</f>
        <v/>
      </c>
      <c r="AX3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8" s="25" t="str">
        <f ca="1">IF(NOTA[[#This Row],[ID_H]]="","",MATCH(NOTA[[#This Row],[NB NOTA_C_QTY]],[3]!db[NB NOTA_C_QTY+F],0))</f>
        <v/>
      </c>
      <c r="AZ398" s="38" t="str">
        <f ca="1">IF(NOTA[[#This Row],[NB NOTA_C_QTY]]="","",ROW()-2)</f>
        <v/>
      </c>
    </row>
    <row r="399" spans="1:52" ht="20.100000000000001" customHeight="1">
      <c r="A3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9" s="25" t="str">
        <f ca="1">IF(NOTA[[#This Row],[NAMA BARANG]]="","",INDEX(NOTA[ID],MATCH(,INDIRECT(ADDRESS(ROW(NOTA[ID]),COLUMN(NOTA[ID]))&amp;":"&amp;ADDRESS(ROW(),COLUMN(NOTA[ID]))),-1)))</f>
        <v/>
      </c>
      <c r="E399" s="33"/>
      <c r="H399" s="34"/>
      <c r="Q399" s="29"/>
      <c r="R399" s="35"/>
      <c r="S399" s="36"/>
      <c r="V399" s="37"/>
      <c r="W399" s="32"/>
      <c r="X399" s="37" t="str">
        <f>IF(NOTA[[#This Row],[HARGA/ CTN]]="",NOTA[[#This Row],[JUMLAH_H]],NOTA[[#This Row],[HARGA/ CTN]]*IF(NOTA[[#This Row],[C]]="",0,NOTA[[#This Row],[C]]))</f>
        <v/>
      </c>
      <c r="Y399" s="37" t="str">
        <f>IF(NOTA[[#This Row],[JUMLAH]]="","",NOTA[[#This Row],[JUMLAH]]*NOTA[[#This Row],[DISC 1]])</f>
        <v/>
      </c>
      <c r="Z399" s="37" t="str">
        <f>IF(NOTA[[#This Row],[JUMLAH]]="","",(NOTA[[#This Row],[JUMLAH]]-NOTA[[#This Row],[DISC 1-]])*NOTA[[#This Row],[DISC 2]])</f>
        <v/>
      </c>
      <c r="AA399" s="37" t="str">
        <f>IF(NOTA[[#This Row],[JUMLAH]]="","",(NOTA[[#This Row],[JUMLAH]]-NOTA[[#This Row],[DISC 1-]]-NOTA[[#This Row],[DISC 2-]])*NOTA[[#This Row],[DISC 3]])</f>
        <v/>
      </c>
      <c r="AB399" s="37" t="str">
        <f>IF(NOTA[[#This Row],[JUMLAH]]="","",NOTA[[#This Row],[DISC 1-]]+NOTA[[#This Row],[DISC 2-]]+NOTA[[#This Row],[DISC 3-]])</f>
        <v/>
      </c>
      <c r="AC399" s="37" t="str">
        <f>IF(NOTA[[#This Row],[JUMLAH]]="","",NOTA[[#This Row],[JUMLAH]]-NOTA[[#This Row],[DISC]])</f>
        <v/>
      </c>
      <c r="AD399" s="37"/>
      <c r="AE3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9" s="37" t="str">
        <f>IF(OR(NOTA[[#This Row],[QTY]]="",NOTA[[#This Row],[HARGA SATUAN]]="",),"",NOTA[[#This Row],[QTY]]*NOTA[[#This Row],[HARGA SATUAN]])</f>
        <v/>
      </c>
      <c r="AI399" s="26" t="str">
        <f ca="1">IF(NOTA[[#This Row],[ID_H]]="","",INDEX(NOTA[TANGGAL],MATCH(,INDIRECT(ADDRESS(ROW(NOTA[TANGGAL]),COLUMN(NOTA[TANGGAL]))&amp;":"&amp;ADDRESS(ROW(),COLUMN(NOTA[TANGGAL]))),-1)))</f>
        <v/>
      </c>
      <c r="AJ399" s="26" t="str">
        <f ca="1">IF(NOTA[[#This Row],[ID_H]]="","",INDEX(NOTA[TGL.NOTA],MATCH(,INDIRECT(ADDRESS(ROW(NOTA[TGL.NOTA]),COLUMN(NOTA[TGL.NOTA]))&amp;":"&amp;ADDRESS(ROW(),COLUMN(NOTA[TGL.NOTA]))),-1)))</f>
        <v/>
      </c>
      <c r="AK399" s="26" t="str">
        <f ca="1">IF(NOTA[[#This Row],[ID_H]]="","",INDEX(NOTA[NO.NOTA],MATCH(NOTA[[#This Row],[ID_H]],NOTA[ID_H],0)))</f>
        <v/>
      </c>
      <c r="AL399" s="28" t="str">
        <f ca="1">IF(NOTA[[#This Row],[NAMA BARANG]]="","",INDEX(NOTA[SUPPLIER],MATCH(,INDIRECT(ADDRESS(ROW(NOTA[ID]),COLUMN(NOTA[ID]))&amp;":"&amp;ADDRESS(ROW(),COLUMN(NOTA[ID]))),-1)))</f>
        <v/>
      </c>
      <c r="AM399" s="28" t="str">
        <f ca="1">IF(NOTA[[#This Row],[ID_H]]="","",IF(NOTA[[#This Row],[FAKTUR]]="",INDIRECT(ADDRESS(ROW()-1,COLUMN())),NOTA[[#This Row],[FAKTUR]]))</f>
        <v/>
      </c>
      <c r="AN399" s="25" t="str">
        <f ca="1">IF(NOTA[[#This Row],[ID]]="","",COUNTIF(NOTA[ID_H],NOTA[[#This Row],[ID_H]]))</f>
        <v/>
      </c>
      <c r="AO399" s="25" t="str">
        <f ca="1">IF(NOTA[[#This Row],[TGL.NOTA]]="",IF(NOTA[[#This Row],[SUPPLIER_H]]="","",AO398),MONTH(NOTA[[#This Row],[TGL.NOTA]]))</f>
        <v/>
      </c>
      <c r="AP3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9" s="25"/>
      <c r="AU399" s="25" t="str">
        <f>IF(NOTA[[#This Row],[CONCAT1]]="","",MATCH(NOTA[[#This Row],[CONCAT1]],[3]!db[NB NOTA_C],0))</f>
        <v/>
      </c>
      <c r="AV399" s="25" t="str">
        <f>IF(NOTA[[#This Row],[QTY/ CTN]]="","",TRUE)</f>
        <v/>
      </c>
      <c r="AW399" s="25" t="str">
        <f ca="1">IF(NOTA[[#This Row],[ID_H]]="","",IF(NOTA[[#This Row],[Column3]]=TRUE,NOTA[[#This Row],[QTY/ CTN]],INDEX([3]!db[QTY/ CTN],NOTA[[#This Row],[//DB]])))</f>
        <v/>
      </c>
      <c r="AX3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9" s="25" t="str">
        <f ca="1">IF(NOTA[[#This Row],[ID_H]]="","",MATCH(NOTA[[#This Row],[NB NOTA_C_QTY]],[3]!db[NB NOTA_C_QTY+F],0))</f>
        <v/>
      </c>
      <c r="AZ399" s="38" t="str">
        <f ca="1">IF(NOTA[[#This Row],[NB NOTA_C_QTY]]="","",ROW()-2)</f>
        <v/>
      </c>
    </row>
    <row r="400" spans="1:52" ht="20.100000000000001" customHeight="1">
      <c r="A4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0" s="25" t="str">
        <f ca="1">IF(NOTA[[#This Row],[NAMA BARANG]]="","",INDEX(NOTA[ID],MATCH(,INDIRECT(ADDRESS(ROW(NOTA[ID]),COLUMN(NOTA[ID]))&amp;":"&amp;ADDRESS(ROW(),COLUMN(NOTA[ID]))),-1)))</f>
        <v/>
      </c>
      <c r="E400" s="33"/>
      <c r="H400" s="34"/>
      <c r="Q400" s="29"/>
      <c r="R400" s="35"/>
      <c r="S400" s="36"/>
      <c r="V400" s="37"/>
      <c r="W400" s="32"/>
      <c r="X400" s="37" t="str">
        <f>IF(NOTA[[#This Row],[HARGA/ CTN]]="",NOTA[[#This Row],[JUMLAH_H]],NOTA[[#This Row],[HARGA/ CTN]]*IF(NOTA[[#This Row],[C]]="",0,NOTA[[#This Row],[C]]))</f>
        <v/>
      </c>
      <c r="Y400" s="37" t="str">
        <f>IF(NOTA[[#This Row],[JUMLAH]]="","",NOTA[[#This Row],[JUMLAH]]*NOTA[[#This Row],[DISC 1]])</f>
        <v/>
      </c>
      <c r="Z400" s="37" t="str">
        <f>IF(NOTA[[#This Row],[JUMLAH]]="","",(NOTA[[#This Row],[JUMLAH]]-NOTA[[#This Row],[DISC 1-]])*NOTA[[#This Row],[DISC 2]])</f>
        <v/>
      </c>
      <c r="AA400" s="37" t="str">
        <f>IF(NOTA[[#This Row],[JUMLAH]]="","",(NOTA[[#This Row],[JUMLAH]]-NOTA[[#This Row],[DISC 1-]]-NOTA[[#This Row],[DISC 2-]])*NOTA[[#This Row],[DISC 3]])</f>
        <v/>
      </c>
      <c r="AB400" s="37" t="str">
        <f>IF(NOTA[[#This Row],[JUMLAH]]="","",NOTA[[#This Row],[DISC 1-]]+NOTA[[#This Row],[DISC 2-]]+NOTA[[#This Row],[DISC 3-]])</f>
        <v/>
      </c>
      <c r="AC400" s="37" t="str">
        <f>IF(NOTA[[#This Row],[JUMLAH]]="","",NOTA[[#This Row],[JUMLAH]]-NOTA[[#This Row],[DISC]])</f>
        <v/>
      </c>
      <c r="AD400" s="37"/>
      <c r="AE4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0" s="37" t="str">
        <f>IF(OR(NOTA[[#This Row],[QTY]]="",NOTA[[#This Row],[HARGA SATUAN]]="",),"",NOTA[[#This Row],[QTY]]*NOTA[[#This Row],[HARGA SATUAN]])</f>
        <v/>
      </c>
      <c r="AI400" s="26" t="str">
        <f ca="1">IF(NOTA[[#This Row],[ID_H]]="","",INDEX(NOTA[TANGGAL],MATCH(,INDIRECT(ADDRESS(ROW(NOTA[TANGGAL]),COLUMN(NOTA[TANGGAL]))&amp;":"&amp;ADDRESS(ROW(),COLUMN(NOTA[TANGGAL]))),-1)))</f>
        <v/>
      </c>
      <c r="AJ400" s="26" t="str">
        <f ca="1">IF(NOTA[[#This Row],[ID_H]]="","",INDEX(NOTA[TGL.NOTA],MATCH(,INDIRECT(ADDRESS(ROW(NOTA[TGL.NOTA]),COLUMN(NOTA[TGL.NOTA]))&amp;":"&amp;ADDRESS(ROW(),COLUMN(NOTA[TGL.NOTA]))),-1)))</f>
        <v/>
      </c>
      <c r="AK400" s="26" t="str">
        <f ca="1">IF(NOTA[[#This Row],[ID_H]]="","",INDEX(NOTA[NO.NOTA],MATCH(NOTA[[#This Row],[ID_H]],NOTA[ID_H],0)))</f>
        <v/>
      </c>
      <c r="AL400" s="28" t="str">
        <f ca="1">IF(NOTA[[#This Row],[NAMA BARANG]]="","",INDEX(NOTA[SUPPLIER],MATCH(,INDIRECT(ADDRESS(ROW(NOTA[ID]),COLUMN(NOTA[ID]))&amp;":"&amp;ADDRESS(ROW(),COLUMN(NOTA[ID]))),-1)))</f>
        <v/>
      </c>
      <c r="AM400" s="28" t="str">
        <f ca="1">IF(NOTA[[#This Row],[ID_H]]="","",IF(NOTA[[#This Row],[FAKTUR]]="",INDIRECT(ADDRESS(ROW()-1,COLUMN())),NOTA[[#This Row],[FAKTUR]]))</f>
        <v/>
      </c>
      <c r="AN400" s="25" t="str">
        <f ca="1">IF(NOTA[[#This Row],[ID]]="","",COUNTIF(NOTA[ID_H],NOTA[[#This Row],[ID_H]]))</f>
        <v/>
      </c>
      <c r="AO400" s="25" t="str">
        <f ca="1">IF(NOTA[[#This Row],[TGL.NOTA]]="",IF(NOTA[[#This Row],[SUPPLIER_H]]="","",AO399),MONTH(NOTA[[#This Row],[TGL.NOTA]]))</f>
        <v/>
      </c>
      <c r="AP4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0" s="25"/>
      <c r="AU400" s="25" t="str">
        <f>IF(NOTA[[#This Row],[CONCAT1]]="","",MATCH(NOTA[[#This Row],[CONCAT1]],[3]!db[NB NOTA_C],0))</f>
        <v/>
      </c>
      <c r="AV400" s="25" t="str">
        <f>IF(NOTA[[#This Row],[QTY/ CTN]]="","",TRUE)</f>
        <v/>
      </c>
      <c r="AW400" s="25" t="str">
        <f ca="1">IF(NOTA[[#This Row],[ID_H]]="","",IF(NOTA[[#This Row],[Column3]]=TRUE,NOTA[[#This Row],[QTY/ CTN]],INDEX([3]!db[QTY/ CTN],NOTA[[#This Row],[//DB]])))</f>
        <v/>
      </c>
      <c r="AX4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0" s="25" t="str">
        <f ca="1">IF(NOTA[[#This Row],[ID_H]]="","",MATCH(NOTA[[#This Row],[NB NOTA_C_QTY]],[3]!db[NB NOTA_C_QTY+F],0))</f>
        <v/>
      </c>
      <c r="AZ400" s="38" t="str">
        <f ca="1">IF(NOTA[[#This Row],[NB NOTA_C_QTY]]="","",ROW()-2)</f>
        <v/>
      </c>
    </row>
    <row r="401" spans="1:52" ht="20.100000000000001" customHeight="1">
      <c r="A4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1" s="25" t="str">
        <f ca="1">IF(NOTA[[#This Row],[NAMA BARANG]]="","",INDEX(NOTA[ID],MATCH(,INDIRECT(ADDRESS(ROW(NOTA[ID]),COLUMN(NOTA[ID]))&amp;":"&amp;ADDRESS(ROW(),COLUMN(NOTA[ID]))),-1)))</f>
        <v/>
      </c>
      <c r="E401" s="33"/>
      <c r="H401" s="34"/>
      <c r="Q401" s="29"/>
      <c r="R401" s="35"/>
      <c r="S401" s="36"/>
      <c r="V401" s="37"/>
      <c r="W401" s="32"/>
      <c r="X401" s="37" t="str">
        <f>IF(NOTA[[#This Row],[HARGA/ CTN]]="",NOTA[[#This Row],[JUMLAH_H]],NOTA[[#This Row],[HARGA/ CTN]]*IF(NOTA[[#This Row],[C]]="",0,NOTA[[#This Row],[C]]))</f>
        <v/>
      </c>
      <c r="Y401" s="37" t="str">
        <f>IF(NOTA[[#This Row],[JUMLAH]]="","",NOTA[[#This Row],[JUMLAH]]*NOTA[[#This Row],[DISC 1]])</f>
        <v/>
      </c>
      <c r="Z401" s="37" t="str">
        <f>IF(NOTA[[#This Row],[JUMLAH]]="","",(NOTA[[#This Row],[JUMLAH]]-NOTA[[#This Row],[DISC 1-]])*NOTA[[#This Row],[DISC 2]])</f>
        <v/>
      </c>
      <c r="AA401" s="37" t="str">
        <f>IF(NOTA[[#This Row],[JUMLAH]]="","",(NOTA[[#This Row],[JUMLAH]]-NOTA[[#This Row],[DISC 1-]]-NOTA[[#This Row],[DISC 2-]])*NOTA[[#This Row],[DISC 3]])</f>
        <v/>
      </c>
      <c r="AB401" s="37" t="str">
        <f>IF(NOTA[[#This Row],[JUMLAH]]="","",NOTA[[#This Row],[DISC 1-]]+NOTA[[#This Row],[DISC 2-]]+NOTA[[#This Row],[DISC 3-]])</f>
        <v/>
      </c>
      <c r="AC401" s="37" t="str">
        <f>IF(NOTA[[#This Row],[JUMLAH]]="","",NOTA[[#This Row],[JUMLAH]]-NOTA[[#This Row],[DISC]])</f>
        <v/>
      </c>
      <c r="AD401" s="37"/>
      <c r="AE4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1" s="37" t="str">
        <f>IF(OR(NOTA[[#This Row],[QTY]]="",NOTA[[#This Row],[HARGA SATUAN]]="",),"",NOTA[[#This Row],[QTY]]*NOTA[[#This Row],[HARGA SATUAN]])</f>
        <v/>
      </c>
      <c r="AI401" s="26" t="str">
        <f ca="1">IF(NOTA[[#This Row],[ID_H]]="","",INDEX(NOTA[TANGGAL],MATCH(,INDIRECT(ADDRESS(ROW(NOTA[TANGGAL]),COLUMN(NOTA[TANGGAL]))&amp;":"&amp;ADDRESS(ROW(),COLUMN(NOTA[TANGGAL]))),-1)))</f>
        <v/>
      </c>
      <c r="AJ401" s="26" t="str">
        <f ca="1">IF(NOTA[[#This Row],[ID_H]]="","",INDEX(NOTA[TGL.NOTA],MATCH(,INDIRECT(ADDRESS(ROW(NOTA[TGL.NOTA]),COLUMN(NOTA[TGL.NOTA]))&amp;":"&amp;ADDRESS(ROW(),COLUMN(NOTA[TGL.NOTA]))),-1)))</f>
        <v/>
      </c>
      <c r="AK401" s="26" t="str">
        <f ca="1">IF(NOTA[[#This Row],[ID_H]]="","",INDEX(NOTA[NO.NOTA],MATCH(NOTA[[#This Row],[ID_H]],NOTA[ID_H],0)))</f>
        <v/>
      </c>
      <c r="AL401" s="28" t="str">
        <f ca="1">IF(NOTA[[#This Row],[NAMA BARANG]]="","",INDEX(NOTA[SUPPLIER],MATCH(,INDIRECT(ADDRESS(ROW(NOTA[ID]),COLUMN(NOTA[ID]))&amp;":"&amp;ADDRESS(ROW(),COLUMN(NOTA[ID]))),-1)))</f>
        <v/>
      </c>
      <c r="AM401" s="28" t="str">
        <f ca="1">IF(NOTA[[#This Row],[ID_H]]="","",IF(NOTA[[#This Row],[FAKTUR]]="",INDIRECT(ADDRESS(ROW()-1,COLUMN())),NOTA[[#This Row],[FAKTUR]]))</f>
        <v/>
      </c>
      <c r="AN401" s="25" t="str">
        <f ca="1">IF(NOTA[[#This Row],[ID]]="","",COUNTIF(NOTA[ID_H],NOTA[[#This Row],[ID_H]]))</f>
        <v/>
      </c>
      <c r="AO401" s="25" t="str">
        <f ca="1">IF(NOTA[[#This Row],[TGL.NOTA]]="",IF(NOTA[[#This Row],[SUPPLIER_H]]="","",AO400),MONTH(NOTA[[#This Row],[TGL.NOTA]]))</f>
        <v/>
      </c>
      <c r="AP4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1" s="25"/>
      <c r="AU401" s="25" t="str">
        <f>IF(NOTA[[#This Row],[CONCAT1]]="","",MATCH(NOTA[[#This Row],[CONCAT1]],[3]!db[NB NOTA_C],0))</f>
        <v/>
      </c>
      <c r="AV401" s="25" t="str">
        <f>IF(NOTA[[#This Row],[QTY/ CTN]]="","",TRUE)</f>
        <v/>
      </c>
      <c r="AW401" s="25" t="str">
        <f ca="1">IF(NOTA[[#This Row],[ID_H]]="","",IF(NOTA[[#This Row],[Column3]]=TRUE,NOTA[[#This Row],[QTY/ CTN]],INDEX([3]!db[QTY/ CTN],NOTA[[#This Row],[//DB]])))</f>
        <v/>
      </c>
      <c r="AX4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1" s="25" t="str">
        <f ca="1">IF(NOTA[[#This Row],[ID_H]]="","",MATCH(NOTA[[#This Row],[NB NOTA_C_QTY]],[3]!db[NB NOTA_C_QTY+F],0))</f>
        <v/>
      </c>
      <c r="AZ401" s="38" t="str">
        <f ca="1">IF(NOTA[[#This Row],[NB NOTA_C_QTY]]="","",ROW()-2)</f>
        <v/>
      </c>
    </row>
    <row r="402" spans="1:52" ht="20.100000000000001" customHeight="1">
      <c r="A4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2" s="25" t="str">
        <f ca="1">IF(NOTA[[#This Row],[NAMA BARANG]]="","",INDEX(NOTA[ID],MATCH(,INDIRECT(ADDRESS(ROW(NOTA[ID]),COLUMN(NOTA[ID]))&amp;":"&amp;ADDRESS(ROW(),COLUMN(NOTA[ID]))),-1)))</f>
        <v/>
      </c>
      <c r="E402" s="33"/>
      <c r="H402" s="34"/>
      <c r="Q402" s="29"/>
      <c r="R402" s="35"/>
      <c r="S402" s="36"/>
      <c r="V402" s="37"/>
      <c r="W402" s="32"/>
      <c r="X402" s="37" t="str">
        <f>IF(NOTA[[#This Row],[HARGA/ CTN]]="",NOTA[[#This Row],[JUMLAH_H]],NOTA[[#This Row],[HARGA/ CTN]]*IF(NOTA[[#This Row],[C]]="",0,NOTA[[#This Row],[C]]))</f>
        <v/>
      </c>
      <c r="Y402" s="37" t="str">
        <f>IF(NOTA[[#This Row],[JUMLAH]]="","",NOTA[[#This Row],[JUMLAH]]*NOTA[[#This Row],[DISC 1]])</f>
        <v/>
      </c>
      <c r="Z402" s="37" t="str">
        <f>IF(NOTA[[#This Row],[JUMLAH]]="","",(NOTA[[#This Row],[JUMLAH]]-NOTA[[#This Row],[DISC 1-]])*NOTA[[#This Row],[DISC 2]])</f>
        <v/>
      </c>
      <c r="AA402" s="37" t="str">
        <f>IF(NOTA[[#This Row],[JUMLAH]]="","",(NOTA[[#This Row],[JUMLAH]]-NOTA[[#This Row],[DISC 1-]]-NOTA[[#This Row],[DISC 2-]])*NOTA[[#This Row],[DISC 3]])</f>
        <v/>
      </c>
      <c r="AB402" s="37" t="str">
        <f>IF(NOTA[[#This Row],[JUMLAH]]="","",NOTA[[#This Row],[DISC 1-]]+NOTA[[#This Row],[DISC 2-]]+NOTA[[#This Row],[DISC 3-]])</f>
        <v/>
      </c>
      <c r="AC402" s="37" t="str">
        <f>IF(NOTA[[#This Row],[JUMLAH]]="","",NOTA[[#This Row],[JUMLAH]]-NOTA[[#This Row],[DISC]])</f>
        <v/>
      </c>
      <c r="AD402" s="37"/>
      <c r="AE4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2" s="37" t="str">
        <f>IF(OR(NOTA[[#This Row],[QTY]]="",NOTA[[#This Row],[HARGA SATUAN]]="",),"",NOTA[[#This Row],[QTY]]*NOTA[[#This Row],[HARGA SATUAN]])</f>
        <v/>
      </c>
      <c r="AI402" s="26" t="str">
        <f ca="1">IF(NOTA[[#This Row],[ID_H]]="","",INDEX(NOTA[TANGGAL],MATCH(,INDIRECT(ADDRESS(ROW(NOTA[TANGGAL]),COLUMN(NOTA[TANGGAL]))&amp;":"&amp;ADDRESS(ROW(),COLUMN(NOTA[TANGGAL]))),-1)))</f>
        <v/>
      </c>
      <c r="AJ402" s="26" t="str">
        <f ca="1">IF(NOTA[[#This Row],[ID_H]]="","",INDEX(NOTA[TGL.NOTA],MATCH(,INDIRECT(ADDRESS(ROW(NOTA[TGL.NOTA]),COLUMN(NOTA[TGL.NOTA]))&amp;":"&amp;ADDRESS(ROW(),COLUMN(NOTA[TGL.NOTA]))),-1)))</f>
        <v/>
      </c>
      <c r="AK402" s="26" t="str">
        <f ca="1">IF(NOTA[[#This Row],[ID_H]]="","",INDEX(NOTA[NO.NOTA],MATCH(NOTA[[#This Row],[ID_H]],NOTA[ID_H],0)))</f>
        <v/>
      </c>
      <c r="AL402" s="28" t="str">
        <f ca="1">IF(NOTA[[#This Row],[NAMA BARANG]]="","",INDEX(NOTA[SUPPLIER],MATCH(,INDIRECT(ADDRESS(ROW(NOTA[ID]),COLUMN(NOTA[ID]))&amp;":"&amp;ADDRESS(ROW(),COLUMN(NOTA[ID]))),-1)))</f>
        <v/>
      </c>
      <c r="AM402" s="28" t="str">
        <f ca="1">IF(NOTA[[#This Row],[ID_H]]="","",IF(NOTA[[#This Row],[FAKTUR]]="",INDIRECT(ADDRESS(ROW()-1,COLUMN())),NOTA[[#This Row],[FAKTUR]]))</f>
        <v/>
      </c>
      <c r="AN402" s="25" t="str">
        <f ca="1">IF(NOTA[[#This Row],[ID]]="","",COUNTIF(NOTA[ID_H],NOTA[[#This Row],[ID_H]]))</f>
        <v/>
      </c>
      <c r="AO402" s="25" t="str">
        <f ca="1">IF(NOTA[[#This Row],[TGL.NOTA]]="",IF(NOTA[[#This Row],[SUPPLIER_H]]="","",AO401),MONTH(NOTA[[#This Row],[TGL.NOTA]]))</f>
        <v/>
      </c>
      <c r="AP4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2" s="25"/>
      <c r="AU402" s="25" t="str">
        <f>IF(NOTA[[#This Row],[CONCAT1]]="","",MATCH(NOTA[[#This Row],[CONCAT1]],[3]!db[NB NOTA_C],0))</f>
        <v/>
      </c>
      <c r="AV402" s="25" t="str">
        <f>IF(NOTA[[#This Row],[QTY/ CTN]]="","",TRUE)</f>
        <v/>
      </c>
      <c r="AW402" s="25" t="str">
        <f ca="1">IF(NOTA[[#This Row],[ID_H]]="","",IF(NOTA[[#This Row],[Column3]]=TRUE,NOTA[[#This Row],[QTY/ CTN]],INDEX([3]!db[QTY/ CTN],NOTA[[#This Row],[//DB]])))</f>
        <v/>
      </c>
      <c r="AX4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2" s="25" t="str">
        <f ca="1">IF(NOTA[[#This Row],[ID_H]]="","",MATCH(NOTA[[#This Row],[NB NOTA_C_QTY]],[3]!db[NB NOTA_C_QTY+F],0))</f>
        <v/>
      </c>
      <c r="AZ402" s="38" t="str">
        <f ca="1">IF(NOTA[[#This Row],[NB NOTA_C_QTY]]="","",ROW()-2)</f>
        <v/>
      </c>
    </row>
    <row r="403" spans="1:52" ht="20.100000000000001" customHeight="1">
      <c r="A4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3" s="25" t="str">
        <f ca="1">IF(NOTA[[#This Row],[NAMA BARANG]]="","",INDEX(NOTA[ID],MATCH(,INDIRECT(ADDRESS(ROW(NOTA[ID]),COLUMN(NOTA[ID]))&amp;":"&amp;ADDRESS(ROW(),COLUMN(NOTA[ID]))),-1)))</f>
        <v/>
      </c>
      <c r="E403" s="33"/>
      <c r="H403" s="34"/>
      <c r="Q403" s="29"/>
      <c r="R403" s="35"/>
      <c r="S403" s="36"/>
      <c r="V403" s="37"/>
      <c r="W403" s="32"/>
      <c r="X403" s="37" t="str">
        <f>IF(NOTA[[#This Row],[HARGA/ CTN]]="",NOTA[[#This Row],[JUMLAH_H]],NOTA[[#This Row],[HARGA/ CTN]]*IF(NOTA[[#This Row],[C]]="",0,NOTA[[#This Row],[C]]))</f>
        <v/>
      </c>
      <c r="Y403" s="37" t="str">
        <f>IF(NOTA[[#This Row],[JUMLAH]]="","",NOTA[[#This Row],[JUMLAH]]*NOTA[[#This Row],[DISC 1]])</f>
        <v/>
      </c>
      <c r="Z403" s="37" t="str">
        <f>IF(NOTA[[#This Row],[JUMLAH]]="","",(NOTA[[#This Row],[JUMLAH]]-NOTA[[#This Row],[DISC 1-]])*NOTA[[#This Row],[DISC 2]])</f>
        <v/>
      </c>
      <c r="AA403" s="37" t="str">
        <f>IF(NOTA[[#This Row],[JUMLAH]]="","",(NOTA[[#This Row],[JUMLAH]]-NOTA[[#This Row],[DISC 1-]]-NOTA[[#This Row],[DISC 2-]])*NOTA[[#This Row],[DISC 3]])</f>
        <v/>
      </c>
      <c r="AB403" s="37" t="str">
        <f>IF(NOTA[[#This Row],[JUMLAH]]="","",NOTA[[#This Row],[DISC 1-]]+NOTA[[#This Row],[DISC 2-]]+NOTA[[#This Row],[DISC 3-]])</f>
        <v/>
      </c>
      <c r="AC403" s="37" t="str">
        <f>IF(NOTA[[#This Row],[JUMLAH]]="","",NOTA[[#This Row],[JUMLAH]]-NOTA[[#This Row],[DISC]])</f>
        <v/>
      </c>
      <c r="AD403" s="37"/>
      <c r="AE4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3" s="37" t="str">
        <f>IF(OR(NOTA[[#This Row],[QTY]]="",NOTA[[#This Row],[HARGA SATUAN]]="",),"",NOTA[[#This Row],[QTY]]*NOTA[[#This Row],[HARGA SATUAN]])</f>
        <v/>
      </c>
      <c r="AI403" s="26" t="str">
        <f ca="1">IF(NOTA[[#This Row],[ID_H]]="","",INDEX(NOTA[TANGGAL],MATCH(,INDIRECT(ADDRESS(ROW(NOTA[TANGGAL]),COLUMN(NOTA[TANGGAL]))&amp;":"&amp;ADDRESS(ROW(),COLUMN(NOTA[TANGGAL]))),-1)))</f>
        <v/>
      </c>
      <c r="AJ403" s="26" t="str">
        <f ca="1">IF(NOTA[[#This Row],[ID_H]]="","",INDEX(NOTA[TGL.NOTA],MATCH(,INDIRECT(ADDRESS(ROW(NOTA[TGL.NOTA]),COLUMN(NOTA[TGL.NOTA]))&amp;":"&amp;ADDRESS(ROW(),COLUMN(NOTA[TGL.NOTA]))),-1)))</f>
        <v/>
      </c>
      <c r="AK403" s="26" t="str">
        <f ca="1">IF(NOTA[[#This Row],[ID_H]]="","",INDEX(NOTA[NO.NOTA],MATCH(NOTA[[#This Row],[ID_H]],NOTA[ID_H],0)))</f>
        <v/>
      </c>
      <c r="AL403" s="28" t="str">
        <f ca="1">IF(NOTA[[#This Row],[NAMA BARANG]]="","",INDEX(NOTA[SUPPLIER],MATCH(,INDIRECT(ADDRESS(ROW(NOTA[ID]),COLUMN(NOTA[ID]))&amp;":"&amp;ADDRESS(ROW(),COLUMN(NOTA[ID]))),-1)))</f>
        <v/>
      </c>
      <c r="AM403" s="28" t="str">
        <f ca="1">IF(NOTA[[#This Row],[ID_H]]="","",IF(NOTA[[#This Row],[FAKTUR]]="",INDIRECT(ADDRESS(ROW()-1,COLUMN())),NOTA[[#This Row],[FAKTUR]]))</f>
        <v/>
      </c>
      <c r="AN403" s="25" t="str">
        <f ca="1">IF(NOTA[[#This Row],[ID]]="","",COUNTIF(NOTA[ID_H],NOTA[[#This Row],[ID_H]]))</f>
        <v/>
      </c>
      <c r="AO403" s="25" t="str">
        <f ca="1">IF(NOTA[[#This Row],[TGL.NOTA]]="",IF(NOTA[[#This Row],[SUPPLIER_H]]="","",AO402),MONTH(NOTA[[#This Row],[TGL.NOTA]]))</f>
        <v/>
      </c>
      <c r="AP4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3" s="25"/>
      <c r="AU403" s="25" t="str">
        <f>IF(NOTA[[#This Row],[CONCAT1]]="","",MATCH(NOTA[[#This Row],[CONCAT1]],[3]!db[NB NOTA_C],0))</f>
        <v/>
      </c>
      <c r="AV403" s="25" t="str">
        <f>IF(NOTA[[#This Row],[QTY/ CTN]]="","",TRUE)</f>
        <v/>
      </c>
      <c r="AW403" s="25" t="str">
        <f ca="1">IF(NOTA[[#This Row],[ID_H]]="","",IF(NOTA[[#This Row],[Column3]]=TRUE,NOTA[[#This Row],[QTY/ CTN]],INDEX([3]!db[QTY/ CTN],NOTA[[#This Row],[//DB]])))</f>
        <v/>
      </c>
      <c r="AX4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3" s="25" t="str">
        <f ca="1">IF(NOTA[[#This Row],[ID_H]]="","",MATCH(NOTA[[#This Row],[NB NOTA_C_QTY]],[3]!db[NB NOTA_C_QTY+F],0))</f>
        <v/>
      </c>
      <c r="AZ403" s="38" t="str">
        <f ca="1">IF(NOTA[[#This Row],[NB NOTA_C_QTY]]="","",ROW()-2)</f>
        <v/>
      </c>
    </row>
    <row r="404" spans="1:52" ht="20.100000000000001" customHeight="1">
      <c r="A4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4" s="25" t="str">
        <f ca="1">IF(NOTA[[#This Row],[NAMA BARANG]]="","",INDEX(NOTA[ID],MATCH(,INDIRECT(ADDRESS(ROW(NOTA[ID]),COLUMN(NOTA[ID]))&amp;":"&amp;ADDRESS(ROW(),COLUMN(NOTA[ID]))),-1)))</f>
        <v/>
      </c>
      <c r="E404" s="33"/>
      <c r="H404" s="34"/>
      <c r="Q404" s="29"/>
      <c r="R404" s="35"/>
      <c r="S404" s="36"/>
      <c r="V404" s="37"/>
      <c r="W404" s="32"/>
      <c r="X404" s="37" t="str">
        <f>IF(NOTA[[#This Row],[HARGA/ CTN]]="",NOTA[[#This Row],[JUMLAH_H]],NOTA[[#This Row],[HARGA/ CTN]]*IF(NOTA[[#This Row],[C]]="",0,NOTA[[#This Row],[C]]))</f>
        <v/>
      </c>
      <c r="Y404" s="37" t="str">
        <f>IF(NOTA[[#This Row],[JUMLAH]]="","",NOTA[[#This Row],[JUMLAH]]*NOTA[[#This Row],[DISC 1]])</f>
        <v/>
      </c>
      <c r="Z404" s="37" t="str">
        <f>IF(NOTA[[#This Row],[JUMLAH]]="","",(NOTA[[#This Row],[JUMLAH]]-NOTA[[#This Row],[DISC 1-]])*NOTA[[#This Row],[DISC 2]])</f>
        <v/>
      </c>
      <c r="AA404" s="37" t="str">
        <f>IF(NOTA[[#This Row],[JUMLAH]]="","",(NOTA[[#This Row],[JUMLAH]]-NOTA[[#This Row],[DISC 1-]]-NOTA[[#This Row],[DISC 2-]])*NOTA[[#This Row],[DISC 3]])</f>
        <v/>
      </c>
      <c r="AB404" s="37" t="str">
        <f>IF(NOTA[[#This Row],[JUMLAH]]="","",NOTA[[#This Row],[DISC 1-]]+NOTA[[#This Row],[DISC 2-]]+NOTA[[#This Row],[DISC 3-]])</f>
        <v/>
      </c>
      <c r="AC404" s="37" t="str">
        <f>IF(NOTA[[#This Row],[JUMLAH]]="","",NOTA[[#This Row],[JUMLAH]]-NOTA[[#This Row],[DISC]])</f>
        <v/>
      </c>
      <c r="AD404" s="37"/>
      <c r="AE4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4" s="37" t="str">
        <f>IF(OR(NOTA[[#This Row],[QTY]]="",NOTA[[#This Row],[HARGA SATUAN]]="",),"",NOTA[[#This Row],[QTY]]*NOTA[[#This Row],[HARGA SATUAN]])</f>
        <v/>
      </c>
      <c r="AI404" s="26" t="str">
        <f ca="1">IF(NOTA[[#This Row],[ID_H]]="","",INDEX(NOTA[TANGGAL],MATCH(,INDIRECT(ADDRESS(ROW(NOTA[TANGGAL]),COLUMN(NOTA[TANGGAL]))&amp;":"&amp;ADDRESS(ROW(),COLUMN(NOTA[TANGGAL]))),-1)))</f>
        <v/>
      </c>
      <c r="AJ404" s="26" t="str">
        <f ca="1">IF(NOTA[[#This Row],[ID_H]]="","",INDEX(NOTA[TGL.NOTA],MATCH(,INDIRECT(ADDRESS(ROW(NOTA[TGL.NOTA]),COLUMN(NOTA[TGL.NOTA]))&amp;":"&amp;ADDRESS(ROW(),COLUMN(NOTA[TGL.NOTA]))),-1)))</f>
        <v/>
      </c>
      <c r="AK404" s="26" t="str">
        <f ca="1">IF(NOTA[[#This Row],[ID_H]]="","",INDEX(NOTA[NO.NOTA],MATCH(NOTA[[#This Row],[ID_H]],NOTA[ID_H],0)))</f>
        <v/>
      </c>
      <c r="AL404" s="28" t="str">
        <f ca="1">IF(NOTA[[#This Row],[NAMA BARANG]]="","",INDEX(NOTA[SUPPLIER],MATCH(,INDIRECT(ADDRESS(ROW(NOTA[ID]),COLUMN(NOTA[ID]))&amp;":"&amp;ADDRESS(ROW(),COLUMN(NOTA[ID]))),-1)))</f>
        <v/>
      </c>
      <c r="AM404" s="28" t="str">
        <f ca="1">IF(NOTA[[#This Row],[ID_H]]="","",IF(NOTA[[#This Row],[FAKTUR]]="",INDIRECT(ADDRESS(ROW()-1,COLUMN())),NOTA[[#This Row],[FAKTUR]]))</f>
        <v/>
      </c>
      <c r="AN404" s="25" t="str">
        <f ca="1">IF(NOTA[[#This Row],[ID]]="","",COUNTIF(NOTA[ID_H],NOTA[[#This Row],[ID_H]]))</f>
        <v/>
      </c>
      <c r="AO404" s="25" t="str">
        <f ca="1">IF(NOTA[[#This Row],[TGL.NOTA]]="",IF(NOTA[[#This Row],[SUPPLIER_H]]="","",AO403),MONTH(NOTA[[#This Row],[TGL.NOTA]]))</f>
        <v/>
      </c>
      <c r="AP4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4" s="25"/>
      <c r="AU404" s="25" t="str">
        <f>IF(NOTA[[#This Row],[CONCAT1]]="","",MATCH(NOTA[[#This Row],[CONCAT1]],[3]!db[NB NOTA_C],0))</f>
        <v/>
      </c>
      <c r="AV404" s="25" t="str">
        <f>IF(NOTA[[#This Row],[QTY/ CTN]]="","",TRUE)</f>
        <v/>
      </c>
      <c r="AW404" s="25" t="str">
        <f ca="1">IF(NOTA[[#This Row],[ID_H]]="","",IF(NOTA[[#This Row],[Column3]]=TRUE,NOTA[[#This Row],[QTY/ CTN]],INDEX([3]!db[QTY/ CTN],NOTA[[#This Row],[//DB]])))</f>
        <v/>
      </c>
      <c r="AX4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4" s="25" t="str">
        <f ca="1">IF(NOTA[[#This Row],[ID_H]]="","",MATCH(NOTA[[#This Row],[NB NOTA_C_QTY]],[3]!db[NB NOTA_C_QTY+F],0))</f>
        <v/>
      </c>
      <c r="AZ404" s="38" t="str">
        <f ca="1">IF(NOTA[[#This Row],[NB NOTA_C_QTY]]="","",ROW()-2)</f>
        <v/>
      </c>
    </row>
    <row r="405" spans="1:52" ht="20.100000000000001" customHeight="1">
      <c r="A4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5" s="25" t="str">
        <f ca="1">IF(NOTA[[#This Row],[NAMA BARANG]]="","",INDEX(NOTA[ID],MATCH(,INDIRECT(ADDRESS(ROW(NOTA[ID]),COLUMN(NOTA[ID]))&amp;":"&amp;ADDRESS(ROW(),COLUMN(NOTA[ID]))),-1)))</f>
        <v/>
      </c>
      <c r="E405" s="33"/>
      <c r="H405" s="34"/>
      <c r="Q405" s="29"/>
      <c r="R405" s="35"/>
      <c r="S405" s="36"/>
      <c r="V405" s="37"/>
      <c r="W405" s="32"/>
      <c r="X405" s="37" t="str">
        <f>IF(NOTA[[#This Row],[HARGA/ CTN]]="",NOTA[[#This Row],[JUMLAH_H]],NOTA[[#This Row],[HARGA/ CTN]]*IF(NOTA[[#This Row],[C]]="",0,NOTA[[#This Row],[C]]))</f>
        <v/>
      </c>
      <c r="Y405" s="37" t="str">
        <f>IF(NOTA[[#This Row],[JUMLAH]]="","",NOTA[[#This Row],[JUMLAH]]*NOTA[[#This Row],[DISC 1]])</f>
        <v/>
      </c>
      <c r="Z405" s="37" t="str">
        <f>IF(NOTA[[#This Row],[JUMLAH]]="","",(NOTA[[#This Row],[JUMLAH]]-NOTA[[#This Row],[DISC 1-]])*NOTA[[#This Row],[DISC 2]])</f>
        <v/>
      </c>
      <c r="AA405" s="37" t="str">
        <f>IF(NOTA[[#This Row],[JUMLAH]]="","",(NOTA[[#This Row],[JUMLAH]]-NOTA[[#This Row],[DISC 1-]]-NOTA[[#This Row],[DISC 2-]])*NOTA[[#This Row],[DISC 3]])</f>
        <v/>
      </c>
      <c r="AB405" s="37" t="str">
        <f>IF(NOTA[[#This Row],[JUMLAH]]="","",NOTA[[#This Row],[DISC 1-]]+NOTA[[#This Row],[DISC 2-]]+NOTA[[#This Row],[DISC 3-]])</f>
        <v/>
      </c>
      <c r="AC405" s="37" t="str">
        <f>IF(NOTA[[#This Row],[JUMLAH]]="","",NOTA[[#This Row],[JUMLAH]]-NOTA[[#This Row],[DISC]])</f>
        <v/>
      </c>
      <c r="AD405" s="37"/>
      <c r="AE4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5" s="37" t="str">
        <f>IF(OR(NOTA[[#This Row],[QTY]]="",NOTA[[#This Row],[HARGA SATUAN]]="",),"",NOTA[[#This Row],[QTY]]*NOTA[[#This Row],[HARGA SATUAN]])</f>
        <v/>
      </c>
      <c r="AI405" s="26" t="str">
        <f ca="1">IF(NOTA[[#This Row],[ID_H]]="","",INDEX(NOTA[TANGGAL],MATCH(,INDIRECT(ADDRESS(ROW(NOTA[TANGGAL]),COLUMN(NOTA[TANGGAL]))&amp;":"&amp;ADDRESS(ROW(),COLUMN(NOTA[TANGGAL]))),-1)))</f>
        <v/>
      </c>
      <c r="AJ405" s="26" t="str">
        <f ca="1">IF(NOTA[[#This Row],[ID_H]]="","",INDEX(NOTA[TGL.NOTA],MATCH(,INDIRECT(ADDRESS(ROW(NOTA[TGL.NOTA]),COLUMN(NOTA[TGL.NOTA]))&amp;":"&amp;ADDRESS(ROW(),COLUMN(NOTA[TGL.NOTA]))),-1)))</f>
        <v/>
      </c>
      <c r="AK405" s="26" t="str">
        <f ca="1">IF(NOTA[[#This Row],[ID_H]]="","",INDEX(NOTA[NO.NOTA],MATCH(NOTA[[#This Row],[ID_H]],NOTA[ID_H],0)))</f>
        <v/>
      </c>
      <c r="AL405" s="28" t="str">
        <f ca="1">IF(NOTA[[#This Row],[NAMA BARANG]]="","",INDEX(NOTA[SUPPLIER],MATCH(,INDIRECT(ADDRESS(ROW(NOTA[ID]),COLUMN(NOTA[ID]))&amp;":"&amp;ADDRESS(ROW(),COLUMN(NOTA[ID]))),-1)))</f>
        <v/>
      </c>
      <c r="AM405" s="28" t="str">
        <f ca="1">IF(NOTA[[#This Row],[ID_H]]="","",IF(NOTA[[#This Row],[FAKTUR]]="",INDIRECT(ADDRESS(ROW()-1,COLUMN())),NOTA[[#This Row],[FAKTUR]]))</f>
        <v/>
      </c>
      <c r="AN405" s="25" t="str">
        <f ca="1">IF(NOTA[[#This Row],[ID]]="","",COUNTIF(NOTA[ID_H],NOTA[[#This Row],[ID_H]]))</f>
        <v/>
      </c>
      <c r="AO405" s="25" t="str">
        <f ca="1">IF(NOTA[[#This Row],[TGL.NOTA]]="",IF(NOTA[[#This Row],[SUPPLIER_H]]="","",AO404),MONTH(NOTA[[#This Row],[TGL.NOTA]]))</f>
        <v/>
      </c>
      <c r="AP4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5" s="25"/>
      <c r="AU405" s="25" t="str">
        <f>IF(NOTA[[#This Row],[CONCAT1]]="","",MATCH(NOTA[[#This Row],[CONCAT1]],[3]!db[NB NOTA_C],0))</f>
        <v/>
      </c>
      <c r="AV405" s="25" t="str">
        <f>IF(NOTA[[#This Row],[QTY/ CTN]]="","",TRUE)</f>
        <v/>
      </c>
      <c r="AW405" s="25" t="str">
        <f ca="1">IF(NOTA[[#This Row],[ID_H]]="","",IF(NOTA[[#This Row],[Column3]]=TRUE,NOTA[[#This Row],[QTY/ CTN]],INDEX([3]!db[QTY/ CTN],NOTA[[#This Row],[//DB]])))</f>
        <v/>
      </c>
      <c r="AX4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5" s="25" t="str">
        <f ca="1">IF(NOTA[[#This Row],[ID_H]]="","",MATCH(NOTA[[#This Row],[NB NOTA_C_QTY]],[3]!db[NB NOTA_C_QTY+F],0))</f>
        <v/>
      </c>
      <c r="AZ405" s="38" t="str">
        <f ca="1">IF(NOTA[[#This Row],[NB NOTA_C_QTY]]="","",ROW()-2)</f>
        <v/>
      </c>
    </row>
    <row r="406" spans="1:52" ht="20.100000000000001" customHeight="1">
      <c r="A4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6" s="25" t="str">
        <f ca="1">IF(NOTA[[#This Row],[NAMA BARANG]]="","",INDEX(NOTA[ID],MATCH(,INDIRECT(ADDRESS(ROW(NOTA[ID]),COLUMN(NOTA[ID]))&amp;":"&amp;ADDRESS(ROW(),COLUMN(NOTA[ID]))),-1)))</f>
        <v/>
      </c>
      <c r="E406" s="33"/>
      <c r="H406" s="34"/>
      <c r="Q406" s="29"/>
      <c r="R406" s="35"/>
      <c r="S406" s="36"/>
      <c r="V406" s="37"/>
      <c r="W406" s="32"/>
      <c r="X406" s="37" t="str">
        <f>IF(NOTA[[#This Row],[HARGA/ CTN]]="",NOTA[[#This Row],[JUMLAH_H]],NOTA[[#This Row],[HARGA/ CTN]]*IF(NOTA[[#This Row],[C]]="",0,NOTA[[#This Row],[C]]))</f>
        <v/>
      </c>
      <c r="Y406" s="37" t="str">
        <f>IF(NOTA[[#This Row],[JUMLAH]]="","",NOTA[[#This Row],[JUMLAH]]*NOTA[[#This Row],[DISC 1]])</f>
        <v/>
      </c>
      <c r="Z406" s="37" t="str">
        <f>IF(NOTA[[#This Row],[JUMLAH]]="","",(NOTA[[#This Row],[JUMLAH]]-NOTA[[#This Row],[DISC 1-]])*NOTA[[#This Row],[DISC 2]])</f>
        <v/>
      </c>
      <c r="AA406" s="37" t="str">
        <f>IF(NOTA[[#This Row],[JUMLAH]]="","",(NOTA[[#This Row],[JUMLAH]]-NOTA[[#This Row],[DISC 1-]]-NOTA[[#This Row],[DISC 2-]])*NOTA[[#This Row],[DISC 3]])</f>
        <v/>
      </c>
      <c r="AB406" s="37" t="str">
        <f>IF(NOTA[[#This Row],[JUMLAH]]="","",NOTA[[#This Row],[DISC 1-]]+NOTA[[#This Row],[DISC 2-]]+NOTA[[#This Row],[DISC 3-]])</f>
        <v/>
      </c>
      <c r="AC406" s="37" t="str">
        <f>IF(NOTA[[#This Row],[JUMLAH]]="","",NOTA[[#This Row],[JUMLAH]]-NOTA[[#This Row],[DISC]])</f>
        <v/>
      </c>
      <c r="AD406" s="37"/>
      <c r="AE4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6" s="37" t="str">
        <f>IF(OR(NOTA[[#This Row],[QTY]]="",NOTA[[#This Row],[HARGA SATUAN]]="",),"",NOTA[[#This Row],[QTY]]*NOTA[[#This Row],[HARGA SATUAN]])</f>
        <v/>
      </c>
      <c r="AI406" s="26" t="str">
        <f ca="1">IF(NOTA[[#This Row],[ID_H]]="","",INDEX(NOTA[TANGGAL],MATCH(,INDIRECT(ADDRESS(ROW(NOTA[TANGGAL]),COLUMN(NOTA[TANGGAL]))&amp;":"&amp;ADDRESS(ROW(),COLUMN(NOTA[TANGGAL]))),-1)))</f>
        <v/>
      </c>
      <c r="AJ406" s="26" t="str">
        <f ca="1">IF(NOTA[[#This Row],[ID_H]]="","",INDEX(NOTA[TGL.NOTA],MATCH(,INDIRECT(ADDRESS(ROW(NOTA[TGL.NOTA]),COLUMN(NOTA[TGL.NOTA]))&amp;":"&amp;ADDRESS(ROW(),COLUMN(NOTA[TGL.NOTA]))),-1)))</f>
        <v/>
      </c>
      <c r="AK406" s="26" t="str">
        <f ca="1">IF(NOTA[[#This Row],[ID_H]]="","",INDEX(NOTA[NO.NOTA],MATCH(NOTA[[#This Row],[ID_H]],NOTA[ID_H],0)))</f>
        <v/>
      </c>
      <c r="AL406" s="28" t="str">
        <f ca="1">IF(NOTA[[#This Row],[NAMA BARANG]]="","",INDEX(NOTA[SUPPLIER],MATCH(,INDIRECT(ADDRESS(ROW(NOTA[ID]),COLUMN(NOTA[ID]))&amp;":"&amp;ADDRESS(ROW(),COLUMN(NOTA[ID]))),-1)))</f>
        <v/>
      </c>
      <c r="AM406" s="28" t="str">
        <f ca="1">IF(NOTA[[#This Row],[ID_H]]="","",IF(NOTA[[#This Row],[FAKTUR]]="",INDIRECT(ADDRESS(ROW()-1,COLUMN())),NOTA[[#This Row],[FAKTUR]]))</f>
        <v/>
      </c>
      <c r="AN406" s="25" t="str">
        <f ca="1">IF(NOTA[[#This Row],[ID]]="","",COUNTIF(NOTA[ID_H],NOTA[[#This Row],[ID_H]]))</f>
        <v/>
      </c>
      <c r="AO406" s="25" t="str">
        <f ca="1">IF(NOTA[[#This Row],[TGL.NOTA]]="",IF(NOTA[[#This Row],[SUPPLIER_H]]="","",AO405),MONTH(NOTA[[#This Row],[TGL.NOTA]]))</f>
        <v/>
      </c>
      <c r="AP4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6" s="25"/>
      <c r="AU406" s="25" t="str">
        <f>IF(NOTA[[#This Row],[CONCAT1]]="","",MATCH(NOTA[[#This Row],[CONCAT1]],[3]!db[NB NOTA_C],0))</f>
        <v/>
      </c>
      <c r="AV406" s="25" t="str">
        <f>IF(NOTA[[#This Row],[QTY/ CTN]]="","",TRUE)</f>
        <v/>
      </c>
      <c r="AW406" s="25" t="str">
        <f ca="1">IF(NOTA[[#This Row],[ID_H]]="","",IF(NOTA[[#This Row],[Column3]]=TRUE,NOTA[[#This Row],[QTY/ CTN]],INDEX([3]!db[QTY/ CTN],NOTA[[#This Row],[//DB]])))</f>
        <v/>
      </c>
      <c r="AX4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6" s="25" t="str">
        <f ca="1">IF(NOTA[[#This Row],[ID_H]]="","",MATCH(NOTA[[#This Row],[NB NOTA_C_QTY]],[3]!db[NB NOTA_C_QTY+F],0))</f>
        <v/>
      </c>
      <c r="AZ406" s="38" t="str">
        <f ca="1">IF(NOTA[[#This Row],[NB NOTA_C_QTY]]="","",ROW()-2)</f>
        <v/>
      </c>
    </row>
    <row r="407" spans="1:52" ht="20.100000000000001" customHeight="1">
      <c r="A4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7" s="25" t="str">
        <f ca="1">IF(NOTA[[#This Row],[NAMA BARANG]]="","",INDEX(NOTA[ID],MATCH(,INDIRECT(ADDRESS(ROW(NOTA[ID]),COLUMN(NOTA[ID]))&amp;":"&amp;ADDRESS(ROW(),COLUMN(NOTA[ID]))),-1)))</f>
        <v/>
      </c>
      <c r="E407" s="33"/>
      <c r="H407" s="34"/>
      <c r="Q407" s="29"/>
      <c r="R407" s="35"/>
      <c r="S407" s="36"/>
      <c r="V407" s="37"/>
      <c r="W407" s="32"/>
      <c r="X407" s="37" t="str">
        <f>IF(NOTA[[#This Row],[HARGA/ CTN]]="",NOTA[[#This Row],[JUMLAH_H]],NOTA[[#This Row],[HARGA/ CTN]]*IF(NOTA[[#This Row],[C]]="",0,NOTA[[#This Row],[C]]))</f>
        <v/>
      </c>
      <c r="Y407" s="37" t="str">
        <f>IF(NOTA[[#This Row],[JUMLAH]]="","",NOTA[[#This Row],[JUMLAH]]*NOTA[[#This Row],[DISC 1]])</f>
        <v/>
      </c>
      <c r="Z407" s="37" t="str">
        <f>IF(NOTA[[#This Row],[JUMLAH]]="","",(NOTA[[#This Row],[JUMLAH]]-NOTA[[#This Row],[DISC 1-]])*NOTA[[#This Row],[DISC 2]])</f>
        <v/>
      </c>
      <c r="AA407" s="37" t="str">
        <f>IF(NOTA[[#This Row],[JUMLAH]]="","",(NOTA[[#This Row],[JUMLAH]]-NOTA[[#This Row],[DISC 1-]]-NOTA[[#This Row],[DISC 2-]])*NOTA[[#This Row],[DISC 3]])</f>
        <v/>
      </c>
      <c r="AB407" s="37" t="str">
        <f>IF(NOTA[[#This Row],[JUMLAH]]="","",NOTA[[#This Row],[DISC 1-]]+NOTA[[#This Row],[DISC 2-]]+NOTA[[#This Row],[DISC 3-]])</f>
        <v/>
      </c>
      <c r="AC407" s="37" t="str">
        <f>IF(NOTA[[#This Row],[JUMLAH]]="","",NOTA[[#This Row],[JUMLAH]]-NOTA[[#This Row],[DISC]])</f>
        <v/>
      </c>
      <c r="AD407" s="37"/>
      <c r="AE4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7" s="37" t="str">
        <f>IF(OR(NOTA[[#This Row],[QTY]]="",NOTA[[#This Row],[HARGA SATUAN]]="",),"",NOTA[[#This Row],[QTY]]*NOTA[[#This Row],[HARGA SATUAN]])</f>
        <v/>
      </c>
      <c r="AI407" s="26" t="str">
        <f ca="1">IF(NOTA[[#This Row],[ID_H]]="","",INDEX(NOTA[TANGGAL],MATCH(,INDIRECT(ADDRESS(ROW(NOTA[TANGGAL]),COLUMN(NOTA[TANGGAL]))&amp;":"&amp;ADDRESS(ROW(),COLUMN(NOTA[TANGGAL]))),-1)))</f>
        <v/>
      </c>
      <c r="AJ407" s="26" t="str">
        <f ca="1">IF(NOTA[[#This Row],[ID_H]]="","",INDEX(NOTA[TGL.NOTA],MATCH(,INDIRECT(ADDRESS(ROW(NOTA[TGL.NOTA]),COLUMN(NOTA[TGL.NOTA]))&amp;":"&amp;ADDRESS(ROW(),COLUMN(NOTA[TGL.NOTA]))),-1)))</f>
        <v/>
      </c>
      <c r="AK407" s="26" t="str">
        <f ca="1">IF(NOTA[[#This Row],[ID_H]]="","",INDEX(NOTA[NO.NOTA],MATCH(NOTA[[#This Row],[ID_H]],NOTA[ID_H],0)))</f>
        <v/>
      </c>
      <c r="AL407" s="28" t="str">
        <f ca="1">IF(NOTA[[#This Row],[NAMA BARANG]]="","",INDEX(NOTA[SUPPLIER],MATCH(,INDIRECT(ADDRESS(ROW(NOTA[ID]),COLUMN(NOTA[ID]))&amp;":"&amp;ADDRESS(ROW(),COLUMN(NOTA[ID]))),-1)))</f>
        <v/>
      </c>
      <c r="AM407" s="28" t="str">
        <f ca="1">IF(NOTA[[#This Row],[ID_H]]="","",IF(NOTA[[#This Row],[FAKTUR]]="",INDIRECT(ADDRESS(ROW()-1,COLUMN())),NOTA[[#This Row],[FAKTUR]]))</f>
        <v/>
      </c>
      <c r="AN407" s="25" t="str">
        <f ca="1">IF(NOTA[[#This Row],[ID]]="","",COUNTIF(NOTA[ID_H],NOTA[[#This Row],[ID_H]]))</f>
        <v/>
      </c>
      <c r="AO407" s="25" t="str">
        <f ca="1">IF(NOTA[[#This Row],[TGL.NOTA]]="",IF(NOTA[[#This Row],[SUPPLIER_H]]="","",AO406),MONTH(NOTA[[#This Row],[TGL.NOTA]]))</f>
        <v/>
      </c>
      <c r="AP4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7" s="25"/>
      <c r="AU407" s="25" t="str">
        <f>IF(NOTA[[#This Row],[CONCAT1]]="","",MATCH(NOTA[[#This Row],[CONCAT1]],[3]!db[NB NOTA_C],0))</f>
        <v/>
      </c>
      <c r="AV407" s="25" t="str">
        <f>IF(NOTA[[#This Row],[QTY/ CTN]]="","",TRUE)</f>
        <v/>
      </c>
      <c r="AW407" s="25" t="str">
        <f ca="1">IF(NOTA[[#This Row],[ID_H]]="","",IF(NOTA[[#This Row],[Column3]]=TRUE,NOTA[[#This Row],[QTY/ CTN]],INDEX([3]!db[QTY/ CTN],NOTA[[#This Row],[//DB]])))</f>
        <v/>
      </c>
      <c r="AX4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7" s="25" t="str">
        <f ca="1">IF(NOTA[[#This Row],[ID_H]]="","",MATCH(NOTA[[#This Row],[NB NOTA_C_QTY]],[3]!db[NB NOTA_C_QTY+F],0))</f>
        <v/>
      </c>
      <c r="AZ407" s="38" t="str">
        <f ca="1">IF(NOTA[[#This Row],[NB NOTA_C_QTY]]="","",ROW()-2)</f>
        <v/>
      </c>
    </row>
    <row r="408" spans="1:52" ht="20.100000000000001" customHeight="1">
      <c r="A4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8" s="25" t="str">
        <f ca="1">IF(NOTA[[#This Row],[NAMA BARANG]]="","",INDEX(NOTA[ID],MATCH(,INDIRECT(ADDRESS(ROW(NOTA[ID]),COLUMN(NOTA[ID]))&amp;":"&amp;ADDRESS(ROW(),COLUMN(NOTA[ID]))),-1)))</f>
        <v/>
      </c>
      <c r="E408" s="33"/>
      <c r="H408" s="34"/>
      <c r="Q408" s="29"/>
      <c r="R408" s="35"/>
      <c r="S408" s="36"/>
      <c r="V408" s="37"/>
      <c r="W408" s="32"/>
      <c r="X408" s="37" t="str">
        <f>IF(NOTA[[#This Row],[HARGA/ CTN]]="",NOTA[[#This Row],[JUMLAH_H]],NOTA[[#This Row],[HARGA/ CTN]]*IF(NOTA[[#This Row],[C]]="",0,NOTA[[#This Row],[C]]))</f>
        <v/>
      </c>
      <c r="Y408" s="37" t="str">
        <f>IF(NOTA[[#This Row],[JUMLAH]]="","",NOTA[[#This Row],[JUMLAH]]*NOTA[[#This Row],[DISC 1]])</f>
        <v/>
      </c>
      <c r="Z408" s="37" t="str">
        <f>IF(NOTA[[#This Row],[JUMLAH]]="","",(NOTA[[#This Row],[JUMLAH]]-NOTA[[#This Row],[DISC 1-]])*NOTA[[#This Row],[DISC 2]])</f>
        <v/>
      </c>
      <c r="AA408" s="37" t="str">
        <f>IF(NOTA[[#This Row],[JUMLAH]]="","",(NOTA[[#This Row],[JUMLAH]]-NOTA[[#This Row],[DISC 1-]]-NOTA[[#This Row],[DISC 2-]])*NOTA[[#This Row],[DISC 3]])</f>
        <v/>
      </c>
      <c r="AB408" s="37" t="str">
        <f>IF(NOTA[[#This Row],[JUMLAH]]="","",NOTA[[#This Row],[DISC 1-]]+NOTA[[#This Row],[DISC 2-]]+NOTA[[#This Row],[DISC 3-]])</f>
        <v/>
      </c>
      <c r="AC408" s="37" t="str">
        <f>IF(NOTA[[#This Row],[JUMLAH]]="","",NOTA[[#This Row],[JUMLAH]]-NOTA[[#This Row],[DISC]])</f>
        <v/>
      </c>
      <c r="AD408" s="37"/>
      <c r="AE4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8" s="37" t="str">
        <f>IF(OR(NOTA[[#This Row],[QTY]]="",NOTA[[#This Row],[HARGA SATUAN]]="",),"",NOTA[[#This Row],[QTY]]*NOTA[[#This Row],[HARGA SATUAN]])</f>
        <v/>
      </c>
      <c r="AI408" s="26" t="str">
        <f ca="1">IF(NOTA[[#This Row],[ID_H]]="","",INDEX(NOTA[TANGGAL],MATCH(,INDIRECT(ADDRESS(ROW(NOTA[TANGGAL]),COLUMN(NOTA[TANGGAL]))&amp;":"&amp;ADDRESS(ROW(),COLUMN(NOTA[TANGGAL]))),-1)))</f>
        <v/>
      </c>
      <c r="AJ408" s="26" t="str">
        <f ca="1">IF(NOTA[[#This Row],[ID_H]]="","",INDEX(NOTA[TGL.NOTA],MATCH(,INDIRECT(ADDRESS(ROW(NOTA[TGL.NOTA]),COLUMN(NOTA[TGL.NOTA]))&amp;":"&amp;ADDRESS(ROW(),COLUMN(NOTA[TGL.NOTA]))),-1)))</f>
        <v/>
      </c>
      <c r="AK408" s="26" t="str">
        <f ca="1">IF(NOTA[[#This Row],[ID_H]]="","",INDEX(NOTA[NO.NOTA],MATCH(NOTA[[#This Row],[ID_H]],NOTA[ID_H],0)))</f>
        <v/>
      </c>
      <c r="AL408" s="28" t="str">
        <f ca="1">IF(NOTA[[#This Row],[NAMA BARANG]]="","",INDEX(NOTA[SUPPLIER],MATCH(,INDIRECT(ADDRESS(ROW(NOTA[ID]),COLUMN(NOTA[ID]))&amp;":"&amp;ADDRESS(ROW(),COLUMN(NOTA[ID]))),-1)))</f>
        <v/>
      </c>
      <c r="AM408" s="28" t="str">
        <f ca="1">IF(NOTA[[#This Row],[ID_H]]="","",IF(NOTA[[#This Row],[FAKTUR]]="",INDIRECT(ADDRESS(ROW()-1,COLUMN())),NOTA[[#This Row],[FAKTUR]]))</f>
        <v/>
      </c>
      <c r="AN408" s="25" t="str">
        <f ca="1">IF(NOTA[[#This Row],[ID]]="","",COUNTIF(NOTA[ID_H],NOTA[[#This Row],[ID_H]]))</f>
        <v/>
      </c>
      <c r="AO408" s="25" t="str">
        <f ca="1">IF(NOTA[[#This Row],[TGL.NOTA]]="",IF(NOTA[[#This Row],[SUPPLIER_H]]="","",AO407),MONTH(NOTA[[#This Row],[TGL.NOTA]]))</f>
        <v/>
      </c>
      <c r="AP4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8" s="25"/>
      <c r="AU408" s="25" t="str">
        <f>IF(NOTA[[#This Row],[CONCAT1]]="","",MATCH(NOTA[[#This Row],[CONCAT1]],[3]!db[NB NOTA_C],0))</f>
        <v/>
      </c>
      <c r="AV408" s="25" t="str">
        <f>IF(NOTA[[#This Row],[QTY/ CTN]]="","",TRUE)</f>
        <v/>
      </c>
      <c r="AW408" s="25" t="str">
        <f ca="1">IF(NOTA[[#This Row],[ID_H]]="","",IF(NOTA[[#This Row],[Column3]]=TRUE,NOTA[[#This Row],[QTY/ CTN]],INDEX([3]!db[QTY/ CTN],NOTA[[#This Row],[//DB]])))</f>
        <v/>
      </c>
      <c r="AX4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8" s="25" t="str">
        <f ca="1">IF(NOTA[[#This Row],[ID_H]]="","",MATCH(NOTA[[#This Row],[NB NOTA_C_QTY]],[3]!db[NB NOTA_C_QTY+F],0))</f>
        <v/>
      </c>
      <c r="AZ408" s="38" t="str">
        <f ca="1">IF(NOTA[[#This Row],[NB NOTA_C_QTY]]="","",ROW()-2)</f>
        <v/>
      </c>
    </row>
    <row r="409" spans="1:52" ht="20.100000000000001" customHeight="1">
      <c r="A4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9" s="25" t="str">
        <f ca="1">IF(NOTA[[#This Row],[NAMA BARANG]]="","",INDEX(NOTA[ID],MATCH(,INDIRECT(ADDRESS(ROW(NOTA[ID]),COLUMN(NOTA[ID]))&amp;":"&amp;ADDRESS(ROW(),COLUMN(NOTA[ID]))),-1)))</f>
        <v/>
      </c>
      <c r="E409" s="33"/>
      <c r="H409" s="34"/>
      <c r="Q409" s="29"/>
      <c r="R409" s="35"/>
      <c r="S409" s="36"/>
      <c r="V409" s="37"/>
      <c r="W409" s="32"/>
      <c r="X409" s="37" t="str">
        <f>IF(NOTA[[#This Row],[HARGA/ CTN]]="",NOTA[[#This Row],[JUMLAH_H]],NOTA[[#This Row],[HARGA/ CTN]]*IF(NOTA[[#This Row],[C]]="",0,NOTA[[#This Row],[C]]))</f>
        <v/>
      </c>
      <c r="Y409" s="37" t="str">
        <f>IF(NOTA[[#This Row],[JUMLAH]]="","",NOTA[[#This Row],[JUMLAH]]*NOTA[[#This Row],[DISC 1]])</f>
        <v/>
      </c>
      <c r="Z409" s="37" t="str">
        <f>IF(NOTA[[#This Row],[JUMLAH]]="","",(NOTA[[#This Row],[JUMLAH]]-NOTA[[#This Row],[DISC 1-]])*NOTA[[#This Row],[DISC 2]])</f>
        <v/>
      </c>
      <c r="AA409" s="37" t="str">
        <f>IF(NOTA[[#This Row],[JUMLAH]]="","",(NOTA[[#This Row],[JUMLAH]]-NOTA[[#This Row],[DISC 1-]]-NOTA[[#This Row],[DISC 2-]])*NOTA[[#This Row],[DISC 3]])</f>
        <v/>
      </c>
      <c r="AB409" s="37" t="str">
        <f>IF(NOTA[[#This Row],[JUMLAH]]="","",NOTA[[#This Row],[DISC 1-]]+NOTA[[#This Row],[DISC 2-]]+NOTA[[#This Row],[DISC 3-]])</f>
        <v/>
      </c>
      <c r="AC409" s="37" t="str">
        <f>IF(NOTA[[#This Row],[JUMLAH]]="","",NOTA[[#This Row],[JUMLAH]]-NOTA[[#This Row],[DISC]])</f>
        <v/>
      </c>
      <c r="AD409" s="37"/>
      <c r="AE4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9" s="37" t="str">
        <f>IF(OR(NOTA[[#This Row],[QTY]]="",NOTA[[#This Row],[HARGA SATUAN]]="",),"",NOTA[[#This Row],[QTY]]*NOTA[[#This Row],[HARGA SATUAN]])</f>
        <v/>
      </c>
      <c r="AI409" s="26" t="str">
        <f ca="1">IF(NOTA[[#This Row],[ID_H]]="","",INDEX(NOTA[TANGGAL],MATCH(,INDIRECT(ADDRESS(ROW(NOTA[TANGGAL]),COLUMN(NOTA[TANGGAL]))&amp;":"&amp;ADDRESS(ROW(),COLUMN(NOTA[TANGGAL]))),-1)))</f>
        <v/>
      </c>
      <c r="AJ409" s="26" t="str">
        <f ca="1">IF(NOTA[[#This Row],[ID_H]]="","",INDEX(NOTA[TGL.NOTA],MATCH(,INDIRECT(ADDRESS(ROW(NOTA[TGL.NOTA]),COLUMN(NOTA[TGL.NOTA]))&amp;":"&amp;ADDRESS(ROW(),COLUMN(NOTA[TGL.NOTA]))),-1)))</f>
        <v/>
      </c>
      <c r="AK409" s="26" t="str">
        <f ca="1">IF(NOTA[[#This Row],[ID_H]]="","",INDEX(NOTA[NO.NOTA],MATCH(NOTA[[#This Row],[ID_H]],NOTA[ID_H],0)))</f>
        <v/>
      </c>
      <c r="AL409" s="28" t="str">
        <f ca="1">IF(NOTA[[#This Row],[NAMA BARANG]]="","",INDEX(NOTA[SUPPLIER],MATCH(,INDIRECT(ADDRESS(ROW(NOTA[ID]),COLUMN(NOTA[ID]))&amp;":"&amp;ADDRESS(ROW(),COLUMN(NOTA[ID]))),-1)))</f>
        <v/>
      </c>
      <c r="AM409" s="28" t="str">
        <f ca="1">IF(NOTA[[#This Row],[ID_H]]="","",IF(NOTA[[#This Row],[FAKTUR]]="",INDIRECT(ADDRESS(ROW()-1,COLUMN())),NOTA[[#This Row],[FAKTUR]]))</f>
        <v/>
      </c>
      <c r="AN409" s="25" t="str">
        <f ca="1">IF(NOTA[[#This Row],[ID]]="","",COUNTIF(NOTA[ID_H],NOTA[[#This Row],[ID_H]]))</f>
        <v/>
      </c>
      <c r="AO409" s="25" t="str">
        <f ca="1">IF(NOTA[[#This Row],[TGL.NOTA]]="",IF(NOTA[[#This Row],[SUPPLIER_H]]="","",AO408),MONTH(NOTA[[#This Row],[TGL.NOTA]]))</f>
        <v/>
      </c>
      <c r="AP4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9" s="25"/>
      <c r="AU409" s="25" t="str">
        <f>IF(NOTA[[#This Row],[CONCAT1]]="","",MATCH(NOTA[[#This Row],[CONCAT1]],[3]!db[NB NOTA_C],0))</f>
        <v/>
      </c>
      <c r="AV409" s="25" t="str">
        <f>IF(NOTA[[#This Row],[QTY/ CTN]]="","",TRUE)</f>
        <v/>
      </c>
      <c r="AW409" s="25" t="str">
        <f ca="1">IF(NOTA[[#This Row],[ID_H]]="","",IF(NOTA[[#This Row],[Column3]]=TRUE,NOTA[[#This Row],[QTY/ CTN]],INDEX([3]!db[QTY/ CTN],NOTA[[#This Row],[//DB]])))</f>
        <v/>
      </c>
      <c r="AX4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9" s="25" t="str">
        <f ca="1">IF(NOTA[[#This Row],[ID_H]]="","",MATCH(NOTA[[#This Row],[NB NOTA_C_QTY]],[3]!db[NB NOTA_C_QTY+F],0))</f>
        <v/>
      </c>
      <c r="AZ409" s="38" t="str">
        <f ca="1">IF(NOTA[[#This Row],[NB NOTA_C_QTY]]="","",ROW()-2)</f>
        <v/>
      </c>
    </row>
    <row r="410" spans="1:52" ht="20.100000000000001" customHeight="1">
      <c r="A4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0" s="25" t="str">
        <f ca="1">IF(NOTA[[#This Row],[NAMA BARANG]]="","",INDEX(NOTA[ID],MATCH(,INDIRECT(ADDRESS(ROW(NOTA[ID]),COLUMN(NOTA[ID]))&amp;":"&amp;ADDRESS(ROW(),COLUMN(NOTA[ID]))),-1)))</f>
        <v/>
      </c>
      <c r="E410" s="33"/>
      <c r="H410" s="34"/>
      <c r="Q410" s="29"/>
      <c r="R410" s="35"/>
      <c r="S410" s="36"/>
      <c r="V410" s="37"/>
      <c r="W410" s="32"/>
      <c r="X410" s="37" t="str">
        <f>IF(NOTA[[#This Row],[HARGA/ CTN]]="",NOTA[[#This Row],[JUMLAH_H]],NOTA[[#This Row],[HARGA/ CTN]]*IF(NOTA[[#This Row],[C]]="",0,NOTA[[#This Row],[C]]))</f>
        <v/>
      </c>
      <c r="Y410" s="37" t="str">
        <f>IF(NOTA[[#This Row],[JUMLAH]]="","",NOTA[[#This Row],[JUMLAH]]*NOTA[[#This Row],[DISC 1]])</f>
        <v/>
      </c>
      <c r="Z410" s="37" t="str">
        <f>IF(NOTA[[#This Row],[JUMLAH]]="","",(NOTA[[#This Row],[JUMLAH]]-NOTA[[#This Row],[DISC 1-]])*NOTA[[#This Row],[DISC 2]])</f>
        <v/>
      </c>
      <c r="AA410" s="37" t="str">
        <f>IF(NOTA[[#This Row],[JUMLAH]]="","",(NOTA[[#This Row],[JUMLAH]]-NOTA[[#This Row],[DISC 1-]]-NOTA[[#This Row],[DISC 2-]])*NOTA[[#This Row],[DISC 3]])</f>
        <v/>
      </c>
      <c r="AB410" s="37" t="str">
        <f>IF(NOTA[[#This Row],[JUMLAH]]="","",NOTA[[#This Row],[DISC 1-]]+NOTA[[#This Row],[DISC 2-]]+NOTA[[#This Row],[DISC 3-]])</f>
        <v/>
      </c>
      <c r="AC410" s="37" t="str">
        <f>IF(NOTA[[#This Row],[JUMLAH]]="","",NOTA[[#This Row],[JUMLAH]]-NOTA[[#This Row],[DISC]])</f>
        <v/>
      </c>
      <c r="AD410" s="37"/>
      <c r="AE4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0" s="37" t="str">
        <f>IF(OR(NOTA[[#This Row],[QTY]]="",NOTA[[#This Row],[HARGA SATUAN]]="",),"",NOTA[[#This Row],[QTY]]*NOTA[[#This Row],[HARGA SATUAN]])</f>
        <v/>
      </c>
      <c r="AI410" s="26" t="str">
        <f ca="1">IF(NOTA[[#This Row],[ID_H]]="","",INDEX(NOTA[TANGGAL],MATCH(,INDIRECT(ADDRESS(ROW(NOTA[TANGGAL]),COLUMN(NOTA[TANGGAL]))&amp;":"&amp;ADDRESS(ROW(),COLUMN(NOTA[TANGGAL]))),-1)))</f>
        <v/>
      </c>
      <c r="AJ410" s="26" t="str">
        <f ca="1">IF(NOTA[[#This Row],[ID_H]]="","",INDEX(NOTA[TGL.NOTA],MATCH(,INDIRECT(ADDRESS(ROW(NOTA[TGL.NOTA]),COLUMN(NOTA[TGL.NOTA]))&amp;":"&amp;ADDRESS(ROW(),COLUMN(NOTA[TGL.NOTA]))),-1)))</f>
        <v/>
      </c>
      <c r="AK410" s="26" t="str">
        <f ca="1">IF(NOTA[[#This Row],[ID_H]]="","",INDEX(NOTA[NO.NOTA],MATCH(NOTA[[#This Row],[ID_H]],NOTA[ID_H],0)))</f>
        <v/>
      </c>
      <c r="AL410" s="28" t="str">
        <f ca="1">IF(NOTA[[#This Row],[NAMA BARANG]]="","",INDEX(NOTA[SUPPLIER],MATCH(,INDIRECT(ADDRESS(ROW(NOTA[ID]),COLUMN(NOTA[ID]))&amp;":"&amp;ADDRESS(ROW(),COLUMN(NOTA[ID]))),-1)))</f>
        <v/>
      </c>
      <c r="AM410" s="28" t="str">
        <f ca="1">IF(NOTA[[#This Row],[ID_H]]="","",IF(NOTA[[#This Row],[FAKTUR]]="",INDIRECT(ADDRESS(ROW()-1,COLUMN())),NOTA[[#This Row],[FAKTUR]]))</f>
        <v/>
      </c>
      <c r="AN410" s="25" t="str">
        <f ca="1">IF(NOTA[[#This Row],[ID]]="","",COUNTIF(NOTA[ID_H],NOTA[[#This Row],[ID_H]]))</f>
        <v/>
      </c>
      <c r="AO410" s="25" t="str">
        <f ca="1">IF(NOTA[[#This Row],[TGL.NOTA]]="",IF(NOTA[[#This Row],[SUPPLIER_H]]="","",AO409),MONTH(NOTA[[#This Row],[TGL.NOTA]]))</f>
        <v/>
      </c>
      <c r="AP4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0" s="25"/>
      <c r="AU410" s="25" t="str">
        <f>IF(NOTA[[#This Row],[CONCAT1]]="","",MATCH(NOTA[[#This Row],[CONCAT1]],[3]!db[NB NOTA_C],0))</f>
        <v/>
      </c>
      <c r="AV410" s="25" t="str">
        <f>IF(NOTA[[#This Row],[QTY/ CTN]]="","",TRUE)</f>
        <v/>
      </c>
      <c r="AW410" s="25" t="str">
        <f ca="1">IF(NOTA[[#This Row],[ID_H]]="","",IF(NOTA[[#This Row],[Column3]]=TRUE,NOTA[[#This Row],[QTY/ CTN]],INDEX([3]!db[QTY/ CTN],NOTA[[#This Row],[//DB]])))</f>
        <v/>
      </c>
      <c r="AX4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0" s="25" t="str">
        <f ca="1">IF(NOTA[[#This Row],[ID_H]]="","",MATCH(NOTA[[#This Row],[NB NOTA_C_QTY]],[3]!db[NB NOTA_C_QTY+F],0))</f>
        <v/>
      </c>
      <c r="AZ410" s="38" t="str">
        <f ca="1">IF(NOTA[[#This Row],[NB NOTA_C_QTY]]="","",ROW()-2)</f>
        <v/>
      </c>
    </row>
    <row r="411" spans="1:52" ht="20.100000000000001" customHeight="1">
      <c r="A4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1" s="25" t="str">
        <f ca="1">IF(NOTA[[#This Row],[NAMA BARANG]]="","",INDEX(NOTA[ID],MATCH(,INDIRECT(ADDRESS(ROW(NOTA[ID]),COLUMN(NOTA[ID]))&amp;":"&amp;ADDRESS(ROW(),COLUMN(NOTA[ID]))),-1)))</f>
        <v/>
      </c>
      <c r="E411" s="33"/>
      <c r="H411" s="34"/>
      <c r="Q411" s="29"/>
      <c r="R411" s="35"/>
      <c r="S411" s="36"/>
      <c r="V411" s="37"/>
      <c r="W411" s="32"/>
      <c r="X411" s="37" t="str">
        <f>IF(NOTA[[#This Row],[HARGA/ CTN]]="",NOTA[[#This Row],[JUMLAH_H]],NOTA[[#This Row],[HARGA/ CTN]]*IF(NOTA[[#This Row],[C]]="",0,NOTA[[#This Row],[C]]))</f>
        <v/>
      </c>
      <c r="Y411" s="37" t="str">
        <f>IF(NOTA[[#This Row],[JUMLAH]]="","",NOTA[[#This Row],[JUMLAH]]*NOTA[[#This Row],[DISC 1]])</f>
        <v/>
      </c>
      <c r="Z411" s="37" t="str">
        <f>IF(NOTA[[#This Row],[JUMLAH]]="","",(NOTA[[#This Row],[JUMLAH]]-NOTA[[#This Row],[DISC 1-]])*NOTA[[#This Row],[DISC 2]])</f>
        <v/>
      </c>
      <c r="AA411" s="37" t="str">
        <f>IF(NOTA[[#This Row],[JUMLAH]]="","",(NOTA[[#This Row],[JUMLAH]]-NOTA[[#This Row],[DISC 1-]]-NOTA[[#This Row],[DISC 2-]])*NOTA[[#This Row],[DISC 3]])</f>
        <v/>
      </c>
      <c r="AB411" s="37" t="str">
        <f>IF(NOTA[[#This Row],[JUMLAH]]="","",NOTA[[#This Row],[DISC 1-]]+NOTA[[#This Row],[DISC 2-]]+NOTA[[#This Row],[DISC 3-]])</f>
        <v/>
      </c>
      <c r="AC411" s="37" t="str">
        <f>IF(NOTA[[#This Row],[JUMLAH]]="","",NOTA[[#This Row],[JUMLAH]]-NOTA[[#This Row],[DISC]])</f>
        <v/>
      </c>
      <c r="AD411" s="37"/>
      <c r="AE4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1" s="37" t="str">
        <f>IF(OR(NOTA[[#This Row],[QTY]]="",NOTA[[#This Row],[HARGA SATUAN]]="",),"",NOTA[[#This Row],[QTY]]*NOTA[[#This Row],[HARGA SATUAN]])</f>
        <v/>
      </c>
      <c r="AI411" s="26" t="str">
        <f ca="1">IF(NOTA[[#This Row],[ID_H]]="","",INDEX(NOTA[TANGGAL],MATCH(,INDIRECT(ADDRESS(ROW(NOTA[TANGGAL]),COLUMN(NOTA[TANGGAL]))&amp;":"&amp;ADDRESS(ROW(),COLUMN(NOTA[TANGGAL]))),-1)))</f>
        <v/>
      </c>
      <c r="AJ411" s="26" t="str">
        <f ca="1">IF(NOTA[[#This Row],[ID_H]]="","",INDEX(NOTA[TGL.NOTA],MATCH(,INDIRECT(ADDRESS(ROW(NOTA[TGL.NOTA]),COLUMN(NOTA[TGL.NOTA]))&amp;":"&amp;ADDRESS(ROW(),COLUMN(NOTA[TGL.NOTA]))),-1)))</f>
        <v/>
      </c>
      <c r="AK411" s="26" t="str">
        <f ca="1">IF(NOTA[[#This Row],[ID_H]]="","",INDEX(NOTA[NO.NOTA],MATCH(NOTA[[#This Row],[ID_H]],NOTA[ID_H],0)))</f>
        <v/>
      </c>
      <c r="AL411" s="28" t="str">
        <f ca="1">IF(NOTA[[#This Row],[NAMA BARANG]]="","",INDEX(NOTA[SUPPLIER],MATCH(,INDIRECT(ADDRESS(ROW(NOTA[ID]),COLUMN(NOTA[ID]))&amp;":"&amp;ADDRESS(ROW(),COLUMN(NOTA[ID]))),-1)))</f>
        <v/>
      </c>
      <c r="AM411" s="28" t="str">
        <f ca="1">IF(NOTA[[#This Row],[ID_H]]="","",IF(NOTA[[#This Row],[FAKTUR]]="",INDIRECT(ADDRESS(ROW()-1,COLUMN())),NOTA[[#This Row],[FAKTUR]]))</f>
        <v/>
      </c>
      <c r="AN411" s="25" t="str">
        <f ca="1">IF(NOTA[[#This Row],[ID]]="","",COUNTIF(NOTA[ID_H],NOTA[[#This Row],[ID_H]]))</f>
        <v/>
      </c>
      <c r="AO411" s="25" t="str">
        <f ca="1">IF(NOTA[[#This Row],[TGL.NOTA]]="",IF(NOTA[[#This Row],[SUPPLIER_H]]="","",AO410),MONTH(NOTA[[#This Row],[TGL.NOTA]]))</f>
        <v/>
      </c>
      <c r="AP4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1" s="25"/>
      <c r="AU411" s="25" t="str">
        <f>IF(NOTA[[#This Row],[CONCAT1]]="","",MATCH(NOTA[[#This Row],[CONCAT1]],[3]!db[NB NOTA_C],0))</f>
        <v/>
      </c>
      <c r="AV411" s="25" t="str">
        <f>IF(NOTA[[#This Row],[QTY/ CTN]]="","",TRUE)</f>
        <v/>
      </c>
      <c r="AW411" s="25" t="str">
        <f ca="1">IF(NOTA[[#This Row],[ID_H]]="","",IF(NOTA[[#This Row],[Column3]]=TRUE,NOTA[[#This Row],[QTY/ CTN]],INDEX([3]!db[QTY/ CTN],NOTA[[#This Row],[//DB]])))</f>
        <v/>
      </c>
      <c r="AX4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1" s="25" t="str">
        <f ca="1">IF(NOTA[[#This Row],[ID_H]]="","",MATCH(NOTA[[#This Row],[NB NOTA_C_QTY]],[3]!db[NB NOTA_C_QTY+F],0))</f>
        <v/>
      </c>
      <c r="AZ411" s="38" t="str">
        <f ca="1">IF(NOTA[[#This Row],[NB NOTA_C_QTY]]="","",ROW()-2)</f>
        <v/>
      </c>
    </row>
    <row r="412" spans="1:52" ht="20.100000000000001" customHeight="1">
      <c r="A4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2" s="25" t="str">
        <f ca="1">IF(NOTA[[#This Row],[NAMA BARANG]]="","",INDEX(NOTA[ID],MATCH(,INDIRECT(ADDRESS(ROW(NOTA[ID]),COLUMN(NOTA[ID]))&amp;":"&amp;ADDRESS(ROW(),COLUMN(NOTA[ID]))),-1)))</f>
        <v/>
      </c>
      <c r="E412" s="33"/>
      <c r="H412" s="34"/>
      <c r="Q412" s="29"/>
      <c r="R412" s="35"/>
      <c r="S412" s="36"/>
      <c r="V412" s="37"/>
      <c r="W412" s="32"/>
      <c r="X412" s="37" t="str">
        <f>IF(NOTA[[#This Row],[HARGA/ CTN]]="",NOTA[[#This Row],[JUMLAH_H]],NOTA[[#This Row],[HARGA/ CTN]]*IF(NOTA[[#This Row],[C]]="",0,NOTA[[#This Row],[C]]))</f>
        <v/>
      </c>
      <c r="Y412" s="37" t="str">
        <f>IF(NOTA[[#This Row],[JUMLAH]]="","",NOTA[[#This Row],[JUMLAH]]*NOTA[[#This Row],[DISC 1]])</f>
        <v/>
      </c>
      <c r="Z412" s="37" t="str">
        <f>IF(NOTA[[#This Row],[JUMLAH]]="","",(NOTA[[#This Row],[JUMLAH]]-NOTA[[#This Row],[DISC 1-]])*NOTA[[#This Row],[DISC 2]])</f>
        <v/>
      </c>
      <c r="AA412" s="37" t="str">
        <f>IF(NOTA[[#This Row],[JUMLAH]]="","",(NOTA[[#This Row],[JUMLAH]]-NOTA[[#This Row],[DISC 1-]]-NOTA[[#This Row],[DISC 2-]])*NOTA[[#This Row],[DISC 3]])</f>
        <v/>
      </c>
      <c r="AB412" s="37" t="str">
        <f>IF(NOTA[[#This Row],[JUMLAH]]="","",NOTA[[#This Row],[DISC 1-]]+NOTA[[#This Row],[DISC 2-]]+NOTA[[#This Row],[DISC 3-]])</f>
        <v/>
      </c>
      <c r="AC412" s="37" t="str">
        <f>IF(NOTA[[#This Row],[JUMLAH]]="","",NOTA[[#This Row],[JUMLAH]]-NOTA[[#This Row],[DISC]])</f>
        <v/>
      </c>
      <c r="AD412" s="37"/>
      <c r="AE4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2" s="37" t="str">
        <f>IF(OR(NOTA[[#This Row],[QTY]]="",NOTA[[#This Row],[HARGA SATUAN]]="",),"",NOTA[[#This Row],[QTY]]*NOTA[[#This Row],[HARGA SATUAN]])</f>
        <v/>
      </c>
      <c r="AI412" s="26" t="str">
        <f ca="1">IF(NOTA[[#This Row],[ID_H]]="","",INDEX(NOTA[TANGGAL],MATCH(,INDIRECT(ADDRESS(ROW(NOTA[TANGGAL]),COLUMN(NOTA[TANGGAL]))&amp;":"&amp;ADDRESS(ROW(),COLUMN(NOTA[TANGGAL]))),-1)))</f>
        <v/>
      </c>
      <c r="AJ412" s="26" t="str">
        <f ca="1">IF(NOTA[[#This Row],[ID_H]]="","",INDEX(NOTA[TGL.NOTA],MATCH(,INDIRECT(ADDRESS(ROW(NOTA[TGL.NOTA]),COLUMN(NOTA[TGL.NOTA]))&amp;":"&amp;ADDRESS(ROW(),COLUMN(NOTA[TGL.NOTA]))),-1)))</f>
        <v/>
      </c>
      <c r="AK412" s="26" t="str">
        <f ca="1">IF(NOTA[[#This Row],[ID_H]]="","",INDEX(NOTA[NO.NOTA],MATCH(NOTA[[#This Row],[ID_H]],NOTA[ID_H],0)))</f>
        <v/>
      </c>
      <c r="AL412" s="28" t="str">
        <f ca="1">IF(NOTA[[#This Row],[NAMA BARANG]]="","",INDEX(NOTA[SUPPLIER],MATCH(,INDIRECT(ADDRESS(ROW(NOTA[ID]),COLUMN(NOTA[ID]))&amp;":"&amp;ADDRESS(ROW(),COLUMN(NOTA[ID]))),-1)))</f>
        <v/>
      </c>
      <c r="AM412" s="28" t="str">
        <f ca="1">IF(NOTA[[#This Row],[ID_H]]="","",IF(NOTA[[#This Row],[FAKTUR]]="",INDIRECT(ADDRESS(ROW()-1,COLUMN())),NOTA[[#This Row],[FAKTUR]]))</f>
        <v/>
      </c>
      <c r="AN412" s="25" t="str">
        <f ca="1">IF(NOTA[[#This Row],[ID]]="","",COUNTIF(NOTA[ID_H],NOTA[[#This Row],[ID_H]]))</f>
        <v/>
      </c>
      <c r="AO412" s="25" t="str">
        <f ca="1">IF(NOTA[[#This Row],[TGL.NOTA]]="",IF(NOTA[[#This Row],[SUPPLIER_H]]="","",AO411),MONTH(NOTA[[#This Row],[TGL.NOTA]]))</f>
        <v/>
      </c>
      <c r="AP4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2" s="25"/>
      <c r="AU412" s="25" t="str">
        <f>IF(NOTA[[#This Row],[CONCAT1]]="","",MATCH(NOTA[[#This Row],[CONCAT1]],[3]!db[NB NOTA_C],0))</f>
        <v/>
      </c>
      <c r="AV412" s="25" t="str">
        <f>IF(NOTA[[#This Row],[QTY/ CTN]]="","",TRUE)</f>
        <v/>
      </c>
      <c r="AW412" s="25" t="str">
        <f ca="1">IF(NOTA[[#This Row],[ID_H]]="","",IF(NOTA[[#This Row],[Column3]]=TRUE,NOTA[[#This Row],[QTY/ CTN]],INDEX([3]!db[QTY/ CTN],NOTA[[#This Row],[//DB]])))</f>
        <v/>
      </c>
      <c r="AX4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2" s="25" t="str">
        <f ca="1">IF(NOTA[[#This Row],[ID_H]]="","",MATCH(NOTA[[#This Row],[NB NOTA_C_QTY]],[3]!db[NB NOTA_C_QTY+F],0))</f>
        <v/>
      </c>
      <c r="AZ412" s="38" t="str">
        <f ca="1">IF(NOTA[[#This Row],[NB NOTA_C_QTY]]="","",ROW()-2)</f>
        <v/>
      </c>
    </row>
    <row r="413" spans="1:52" ht="20.100000000000001" customHeight="1">
      <c r="A4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3" s="25" t="str">
        <f ca="1">IF(NOTA[[#This Row],[NAMA BARANG]]="","",INDEX(NOTA[ID],MATCH(,INDIRECT(ADDRESS(ROW(NOTA[ID]),COLUMN(NOTA[ID]))&amp;":"&amp;ADDRESS(ROW(),COLUMN(NOTA[ID]))),-1)))</f>
        <v/>
      </c>
      <c r="E413" s="33"/>
      <c r="H413" s="34"/>
      <c r="Q413" s="29"/>
      <c r="R413" s="35"/>
      <c r="S413" s="36"/>
      <c r="V413" s="37"/>
      <c r="W413" s="32"/>
      <c r="X413" s="37" t="str">
        <f>IF(NOTA[[#This Row],[HARGA/ CTN]]="",NOTA[[#This Row],[JUMLAH_H]],NOTA[[#This Row],[HARGA/ CTN]]*IF(NOTA[[#This Row],[C]]="",0,NOTA[[#This Row],[C]]))</f>
        <v/>
      </c>
      <c r="Y413" s="37" t="str">
        <f>IF(NOTA[[#This Row],[JUMLAH]]="","",NOTA[[#This Row],[JUMLAH]]*NOTA[[#This Row],[DISC 1]])</f>
        <v/>
      </c>
      <c r="Z413" s="37" t="str">
        <f>IF(NOTA[[#This Row],[JUMLAH]]="","",(NOTA[[#This Row],[JUMLAH]]-NOTA[[#This Row],[DISC 1-]])*NOTA[[#This Row],[DISC 2]])</f>
        <v/>
      </c>
      <c r="AA413" s="37" t="str">
        <f>IF(NOTA[[#This Row],[JUMLAH]]="","",(NOTA[[#This Row],[JUMLAH]]-NOTA[[#This Row],[DISC 1-]]-NOTA[[#This Row],[DISC 2-]])*NOTA[[#This Row],[DISC 3]])</f>
        <v/>
      </c>
      <c r="AB413" s="37" t="str">
        <f>IF(NOTA[[#This Row],[JUMLAH]]="","",NOTA[[#This Row],[DISC 1-]]+NOTA[[#This Row],[DISC 2-]]+NOTA[[#This Row],[DISC 3-]])</f>
        <v/>
      </c>
      <c r="AC413" s="37" t="str">
        <f>IF(NOTA[[#This Row],[JUMLAH]]="","",NOTA[[#This Row],[JUMLAH]]-NOTA[[#This Row],[DISC]])</f>
        <v/>
      </c>
      <c r="AD413" s="37"/>
      <c r="AE4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3" s="37" t="str">
        <f>IF(OR(NOTA[[#This Row],[QTY]]="",NOTA[[#This Row],[HARGA SATUAN]]="",),"",NOTA[[#This Row],[QTY]]*NOTA[[#This Row],[HARGA SATUAN]])</f>
        <v/>
      </c>
      <c r="AI413" s="26" t="str">
        <f ca="1">IF(NOTA[[#This Row],[ID_H]]="","",INDEX(NOTA[TANGGAL],MATCH(,INDIRECT(ADDRESS(ROW(NOTA[TANGGAL]),COLUMN(NOTA[TANGGAL]))&amp;":"&amp;ADDRESS(ROW(),COLUMN(NOTA[TANGGAL]))),-1)))</f>
        <v/>
      </c>
      <c r="AJ413" s="26" t="str">
        <f ca="1">IF(NOTA[[#This Row],[ID_H]]="","",INDEX(NOTA[TGL.NOTA],MATCH(,INDIRECT(ADDRESS(ROW(NOTA[TGL.NOTA]),COLUMN(NOTA[TGL.NOTA]))&amp;":"&amp;ADDRESS(ROW(),COLUMN(NOTA[TGL.NOTA]))),-1)))</f>
        <v/>
      </c>
      <c r="AK413" s="26" t="str">
        <f ca="1">IF(NOTA[[#This Row],[ID_H]]="","",INDEX(NOTA[NO.NOTA],MATCH(NOTA[[#This Row],[ID_H]],NOTA[ID_H],0)))</f>
        <v/>
      </c>
      <c r="AL413" s="28" t="str">
        <f ca="1">IF(NOTA[[#This Row],[NAMA BARANG]]="","",INDEX(NOTA[SUPPLIER],MATCH(,INDIRECT(ADDRESS(ROW(NOTA[ID]),COLUMN(NOTA[ID]))&amp;":"&amp;ADDRESS(ROW(),COLUMN(NOTA[ID]))),-1)))</f>
        <v/>
      </c>
      <c r="AM413" s="28" t="str">
        <f ca="1">IF(NOTA[[#This Row],[ID_H]]="","",IF(NOTA[[#This Row],[FAKTUR]]="",INDIRECT(ADDRESS(ROW()-1,COLUMN())),NOTA[[#This Row],[FAKTUR]]))</f>
        <v/>
      </c>
      <c r="AN413" s="25" t="str">
        <f ca="1">IF(NOTA[[#This Row],[ID]]="","",COUNTIF(NOTA[ID_H],NOTA[[#This Row],[ID_H]]))</f>
        <v/>
      </c>
      <c r="AO413" s="25" t="str">
        <f ca="1">IF(NOTA[[#This Row],[TGL.NOTA]]="",IF(NOTA[[#This Row],[SUPPLIER_H]]="","",AO412),MONTH(NOTA[[#This Row],[TGL.NOTA]]))</f>
        <v/>
      </c>
      <c r="AP4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3" s="25"/>
      <c r="AU413" s="25" t="str">
        <f>IF(NOTA[[#This Row],[CONCAT1]]="","",MATCH(NOTA[[#This Row],[CONCAT1]],[3]!db[NB NOTA_C],0))</f>
        <v/>
      </c>
      <c r="AV413" s="25" t="str">
        <f>IF(NOTA[[#This Row],[QTY/ CTN]]="","",TRUE)</f>
        <v/>
      </c>
      <c r="AW413" s="25" t="str">
        <f ca="1">IF(NOTA[[#This Row],[ID_H]]="","",IF(NOTA[[#This Row],[Column3]]=TRUE,NOTA[[#This Row],[QTY/ CTN]],INDEX([3]!db[QTY/ CTN],NOTA[[#This Row],[//DB]])))</f>
        <v/>
      </c>
      <c r="AX4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3" s="25" t="str">
        <f ca="1">IF(NOTA[[#This Row],[ID_H]]="","",MATCH(NOTA[[#This Row],[NB NOTA_C_QTY]],[3]!db[NB NOTA_C_QTY+F],0))</f>
        <v/>
      </c>
      <c r="AZ413" s="38" t="str">
        <f ca="1">IF(NOTA[[#This Row],[NB NOTA_C_QTY]]="","",ROW()-2)</f>
        <v/>
      </c>
    </row>
    <row r="414" spans="1:52" ht="20.100000000000001" customHeight="1">
      <c r="A4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4" s="25" t="str">
        <f ca="1">IF(NOTA[[#This Row],[NAMA BARANG]]="","",INDEX(NOTA[ID],MATCH(,INDIRECT(ADDRESS(ROW(NOTA[ID]),COLUMN(NOTA[ID]))&amp;":"&amp;ADDRESS(ROW(),COLUMN(NOTA[ID]))),-1)))</f>
        <v/>
      </c>
      <c r="E414" s="33"/>
      <c r="H414" s="34"/>
      <c r="Q414" s="29"/>
      <c r="R414" s="35"/>
      <c r="S414" s="36"/>
      <c r="V414" s="37"/>
      <c r="W414" s="32"/>
      <c r="X414" s="37" t="str">
        <f>IF(NOTA[[#This Row],[HARGA/ CTN]]="",NOTA[[#This Row],[JUMLAH_H]],NOTA[[#This Row],[HARGA/ CTN]]*IF(NOTA[[#This Row],[C]]="",0,NOTA[[#This Row],[C]]))</f>
        <v/>
      </c>
      <c r="Y414" s="37" t="str">
        <f>IF(NOTA[[#This Row],[JUMLAH]]="","",NOTA[[#This Row],[JUMLAH]]*NOTA[[#This Row],[DISC 1]])</f>
        <v/>
      </c>
      <c r="Z414" s="37" t="str">
        <f>IF(NOTA[[#This Row],[JUMLAH]]="","",(NOTA[[#This Row],[JUMLAH]]-NOTA[[#This Row],[DISC 1-]])*NOTA[[#This Row],[DISC 2]])</f>
        <v/>
      </c>
      <c r="AA414" s="37" t="str">
        <f>IF(NOTA[[#This Row],[JUMLAH]]="","",(NOTA[[#This Row],[JUMLAH]]-NOTA[[#This Row],[DISC 1-]]-NOTA[[#This Row],[DISC 2-]])*NOTA[[#This Row],[DISC 3]])</f>
        <v/>
      </c>
      <c r="AB414" s="37" t="str">
        <f>IF(NOTA[[#This Row],[JUMLAH]]="","",NOTA[[#This Row],[DISC 1-]]+NOTA[[#This Row],[DISC 2-]]+NOTA[[#This Row],[DISC 3-]])</f>
        <v/>
      </c>
      <c r="AC414" s="37" t="str">
        <f>IF(NOTA[[#This Row],[JUMLAH]]="","",NOTA[[#This Row],[JUMLAH]]-NOTA[[#This Row],[DISC]])</f>
        <v/>
      </c>
      <c r="AD414" s="37"/>
      <c r="AE4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4" s="37" t="str">
        <f>IF(OR(NOTA[[#This Row],[QTY]]="",NOTA[[#This Row],[HARGA SATUAN]]="",),"",NOTA[[#This Row],[QTY]]*NOTA[[#This Row],[HARGA SATUAN]])</f>
        <v/>
      </c>
      <c r="AI414" s="26" t="str">
        <f ca="1">IF(NOTA[[#This Row],[ID_H]]="","",INDEX(NOTA[TANGGAL],MATCH(,INDIRECT(ADDRESS(ROW(NOTA[TANGGAL]),COLUMN(NOTA[TANGGAL]))&amp;":"&amp;ADDRESS(ROW(),COLUMN(NOTA[TANGGAL]))),-1)))</f>
        <v/>
      </c>
      <c r="AJ414" s="26" t="str">
        <f ca="1">IF(NOTA[[#This Row],[ID_H]]="","",INDEX(NOTA[TGL.NOTA],MATCH(,INDIRECT(ADDRESS(ROW(NOTA[TGL.NOTA]),COLUMN(NOTA[TGL.NOTA]))&amp;":"&amp;ADDRESS(ROW(),COLUMN(NOTA[TGL.NOTA]))),-1)))</f>
        <v/>
      </c>
      <c r="AK414" s="26" t="str">
        <f ca="1">IF(NOTA[[#This Row],[ID_H]]="","",INDEX(NOTA[NO.NOTA],MATCH(NOTA[[#This Row],[ID_H]],NOTA[ID_H],0)))</f>
        <v/>
      </c>
      <c r="AL414" s="28" t="str">
        <f ca="1">IF(NOTA[[#This Row],[NAMA BARANG]]="","",INDEX(NOTA[SUPPLIER],MATCH(,INDIRECT(ADDRESS(ROW(NOTA[ID]),COLUMN(NOTA[ID]))&amp;":"&amp;ADDRESS(ROW(),COLUMN(NOTA[ID]))),-1)))</f>
        <v/>
      </c>
      <c r="AM414" s="28" t="str">
        <f ca="1">IF(NOTA[[#This Row],[ID_H]]="","",IF(NOTA[[#This Row],[FAKTUR]]="",INDIRECT(ADDRESS(ROW()-1,COLUMN())),NOTA[[#This Row],[FAKTUR]]))</f>
        <v/>
      </c>
      <c r="AN414" s="25" t="str">
        <f ca="1">IF(NOTA[[#This Row],[ID]]="","",COUNTIF(NOTA[ID_H],NOTA[[#This Row],[ID_H]]))</f>
        <v/>
      </c>
      <c r="AO414" s="25" t="str">
        <f ca="1">IF(NOTA[[#This Row],[TGL.NOTA]]="",IF(NOTA[[#This Row],[SUPPLIER_H]]="","",AO413),MONTH(NOTA[[#This Row],[TGL.NOTA]]))</f>
        <v/>
      </c>
      <c r="AP4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4" s="25"/>
      <c r="AU414" s="25" t="str">
        <f>IF(NOTA[[#This Row],[CONCAT1]]="","",MATCH(NOTA[[#This Row],[CONCAT1]],[3]!db[NB NOTA_C],0))</f>
        <v/>
      </c>
      <c r="AV414" s="25" t="str">
        <f>IF(NOTA[[#This Row],[QTY/ CTN]]="","",TRUE)</f>
        <v/>
      </c>
      <c r="AW414" s="25" t="str">
        <f ca="1">IF(NOTA[[#This Row],[ID_H]]="","",IF(NOTA[[#This Row],[Column3]]=TRUE,NOTA[[#This Row],[QTY/ CTN]],INDEX([3]!db[QTY/ CTN],NOTA[[#This Row],[//DB]])))</f>
        <v/>
      </c>
      <c r="AX4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4" s="25" t="str">
        <f ca="1">IF(NOTA[[#This Row],[ID_H]]="","",MATCH(NOTA[[#This Row],[NB NOTA_C_QTY]],[3]!db[NB NOTA_C_QTY+F],0))</f>
        <v/>
      </c>
      <c r="AZ414" s="38" t="str">
        <f ca="1">IF(NOTA[[#This Row],[NB NOTA_C_QTY]]="","",ROW()-2)</f>
        <v/>
      </c>
    </row>
    <row r="415" spans="1:52" ht="20.100000000000001" customHeight="1">
      <c r="A4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5" s="25" t="str">
        <f ca="1">IF(NOTA[[#This Row],[NAMA BARANG]]="","",INDEX(NOTA[ID],MATCH(,INDIRECT(ADDRESS(ROW(NOTA[ID]),COLUMN(NOTA[ID]))&amp;":"&amp;ADDRESS(ROW(),COLUMN(NOTA[ID]))),-1)))</f>
        <v/>
      </c>
      <c r="E415" s="33"/>
      <c r="H415" s="34"/>
      <c r="Q415" s="29"/>
      <c r="R415" s="35"/>
      <c r="S415" s="36"/>
      <c r="V415" s="37"/>
      <c r="W415" s="32"/>
      <c r="X415" s="37" t="str">
        <f>IF(NOTA[[#This Row],[HARGA/ CTN]]="",NOTA[[#This Row],[JUMLAH_H]],NOTA[[#This Row],[HARGA/ CTN]]*IF(NOTA[[#This Row],[C]]="",0,NOTA[[#This Row],[C]]))</f>
        <v/>
      </c>
      <c r="Y415" s="37" t="str">
        <f>IF(NOTA[[#This Row],[JUMLAH]]="","",NOTA[[#This Row],[JUMLAH]]*NOTA[[#This Row],[DISC 1]])</f>
        <v/>
      </c>
      <c r="Z415" s="37" t="str">
        <f>IF(NOTA[[#This Row],[JUMLAH]]="","",(NOTA[[#This Row],[JUMLAH]]-NOTA[[#This Row],[DISC 1-]])*NOTA[[#This Row],[DISC 2]])</f>
        <v/>
      </c>
      <c r="AA415" s="37" t="str">
        <f>IF(NOTA[[#This Row],[JUMLAH]]="","",(NOTA[[#This Row],[JUMLAH]]-NOTA[[#This Row],[DISC 1-]]-NOTA[[#This Row],[DISC 2-]])*NOTA[[#This Row],[DISC 3]])</f>
        <v/>
      </c>
      <c r="AB415" s="37" t="str">
        <f>IF(NOTA[[#This Row],[JUMLAH]]="","",NOTA[[#This Row],[DISC 1-]]+NOTA[[#This Row],[DISC 2-]]+NOTA[[#This Row],[DISC 3-]])</f>
        <v/>
      </c>
      <c r="AC415" s="37" t="str">
        <f>IF(NOTA[[#This Row],[JUMLAH]]="","",NOTA[[#This Row],[JUMLAH]]-NOTA[[#This Row],[DISC]])</f>
        <v/>
      </c>
      <c r="AD415" s="37"/>
      <c r="AE4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5" s="37" t="str">
        <f>IF(OR(NOTA[[#This Row],[QTY]]="",NOTA[[#This Row],[HARGA SATUAN]]="",),"",NOTA[[#This Row],[QTY]]*NOTA[[#This Row],[HARGA SATUAN]])</f>
        <v/>
      </c>
      <c r="AI415" s="26" t="str">
        <f ca="1">IF(NOTA[[#This Row],[ID_H]]="","",INDEX(NOTA[TANGGAL],MATCH(,INDIRECT(ADDRESS(ROW(NOTA[TANGGAL]),COLUMN(NOTA[TANGGAL]))&amp;":"&amp;ADDRESS(ROW(),COLUMN(NOTA[TANGGAL]))),-1)))</f>
        <v/>
      </c>
      <c r="AJ415" s="26" t="str">
        <f ca="1">IF(NOTA[[#This Row],[ID_H]]="","",INDEX(NOTA[TGL.NOTA],MATCH(,INDIRECT(ADDRESS(ROW(NOTA[TGL.NOTA]),COLUMN(NOTA[TGL.NOTA]))&amp;":"&amp;ADDRESS(ROW(),COLUMN(NOTA[TGL.NOTA]))),-1)))</f>
        <v/>
      </c>
      <c r="AK415" s="26" t="str">
        <f ca="1">IF(NOTA[[#This Row],[ID_H]]="","",INDEX(NOTA[NO.NOTA],MATCH(NOTA[[#This Row],[ID_H]],NOTA[ID_H],0)))</f>
        <v/>
      </c>
      <c r="AL415" s="28" t="str">
        <f ca="1">IF(NOTA[[#This Row],[NAMA BARANG]]="","",INDEX(NOTA[SUPPLIER],MATCH(,INDIRECT(ADDRESS(ROW(NOTA[ID]),COLUMN(NOTA[ID]))&amp;":"&amp;ADDRESS(ROW(),COLUMN(NOTA[ID]))),-1)))</f>
        <v/>
      </c>
      <c r="AM415" s="28" t="str">
        <f ca="1">IF(NOTA[[#This Row],[ID_H]]="","",IF(NOTA[[#This Row],[FAKTUR]]="",INDIRECT(ADDRESS(ROW()-1,COLUMN())),NOTA[[#This Row],[FAKTUR]]))</f>
        <v/>
      </c>
      <c r="AN415" s="25" t="str">
        <f ca="1">IF(NOTA[[#This Row],[ID]]="","",COUNTIF(NOTA[ID_H],NOTA[[#This Row],[ID_H]]))</f>
        <v/>
      </c>
      <c r="AO415" s="25" t="str">
        <f ca="1">IF(NOTA[[#This Row],[TGL.NOTA]]="",IF(NOTA[[#This Row],[SUPPLIER_H]]="","",AO414),MONTH(NOTA[[#This Row],[TGL.NOTA]]))</f>
        <v/>
      </c>
      <c r="AP4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5" s="25"/>
      <c r="AU415" s="25" t="str">
        <f>IF(NOTA[[#This Row],[CONCAT1]]="","",MATCH(NOTA[[#This Row],[CONCAT1]],[3]!db[NB NOTA_C],0))</f>
        <v/>
      </c>
      <c r="AV415" s="25" t="str">
        <f>IF(NOTA[[#This Row],[QTY/ CTN]]="","",TRUE)</f>
        <v/>
      </c>
      <c r="AW415" s="25" t="str">
        <f ca="1">IF(NOTA[[#This Row],[ID_H]]="","",IF(NOTA[[#This Row],[Column3]]=TRUE,NOTA[[#This Row],[QTY/ CTN]],INDEX([3]!db[QTY/ CTN],NOTA[[#This Row],[//DB]])))</f>
        <v/>
      </c>
      <c r="AX4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5" s="25" t="str">
        <f ca="1">IF(NOTA[[#This Row],[ID_H]]="","",MATCH(NOTA[[#This Row],[NB NOTA_C_QTY]],[3]!db[NB NOTA_C_QTY+F],0))</f>
        <v/>
      </c>
      <c r="AZ415" s="38" t="str">
        <f ca="1">IF(NOTA[[#This Row],[NB NOTA_C_QTY]]="","",ROW()-2)</f>
        <v/>
      </c>
    </row>
    <row r="416" spans="1:52" ht="20.100000000000001" customHeight="1">
      <c r="A4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6" s="25" t="str">
        <f ca="1">IF(NOTA[[#This Row],[NAMA BARANG]]="","",INDEX(NOTA[ID],MATCH(,INDIRECT(ADDRESS(ROW(NOTA[ID]),COLUMN(NOTA[ID]))&amp;":"&amp;ADDRESS(ROW(),COLUMN(NOTA[ID]))),-1)))</f>
        <v/>
      </c>
      <c r="E416" s="33"/>
      <c r="H416" s="34"/>
      <c r="Q416" s="29"/>
      <c r="R416" s="35"/>
      <c r="S416" s="36"/>
      <c r="V416" s="37"/>
      <c r="W416" s="32"/>
      <c r="X416" s="37" t="str">
        <f>IF(NOTA[[#This Row],[HARGA/ CTN]]="",NOTA[[#This Row],[JUMLAH_H]],NOTA[[#This Row],[HARGA/ CTN]]*IF(NOTA[[#This Row],[C]]="",0,NOTA[[#This Row],[C]]))</f>
        <v/>
      </c>
      <c r="Y416" s="37" t="str">
        <f>IF(NOTA[[#This Row],[JUMLAH]]="","",NOTA[[#This Row],[JUMLAH]]*NOTA[[#This Row],[DISC 1]])</f>
        <v/>
      </c>
      <c r="Z416" s="37" t="str">
        <f>IF(NOTA[[#This Row],[JUMLAH]]="","",(NOTA[[#This Row],[JUMLAH]]-NOTA[[#This Row],[DISC 1-]])*NOTA[[#This Row],[DISC 2]])</f>
        <v/>
      </c>
      <c r="AA416" s="37" t="str">
        <f>IF(NOTA[[#This Row],[JUMLAH]]="","",(NOTA[[#This Row],[JUMLAH]]-NOTA[[#This Row],[DISC 1-]]-NOTA[[#This Row],[DISC 2-]])*NOTA[[#This Row],[DISC 3]])</f>
        <v/>
      </c>
      <c r="AB416" s="37" t="str">
        <f>IF(NOTA[[#This Row],[JUMLAH]]="","",NOTA[[#This Row],[DISC 1-]]+NOTA[[#This Row],[DISC 2-]]+NOTA[[#This Row],[DISC 3-]])</f>
        <v/>
      </c>
      <c r="AC416" s="37" t="str">
        <f>IF(NOTA[[#This Row],[JUMLAH]]="","",NOTA[[#This Row],[JUMLAH]]-NOTA[[#This Row],[DISC]])</f>
        <v/>
      </c>
      <c r="AD416" s="37"/>
      <c r="AE4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6" s="37" t="str">
        <f>IF(OR(NOTA[[#This Row],[QTY]]="",NOTA[[#This Row],[HARGA SATUAN]]="",),"",NOTA[[#This Row],[QTY]]*NOTA[[#This Row],[HARGA SATUAN]])</f>
        <v/>
      </c>
      <c r="AI416" s="26" t="str">
        <f ca="1">IF(NOTA[[#This Row],[ID_H]]="","",INDEX(NOTA[TANGGAL],MATCH(,INDIRECT(ADDRESS(ROW(NOTA[TANGGAL]),COLUMN(NOTA[TANGGAL]))&amp;":"&amp;ADDRESS(ROW(),COLUMN(NOTA[TANGGAL]))),-1)))</f>
        <v/>
      </c>
      <c r="AJ416" s="26" t="str">
        <f ca="1">IF(NOTA[[#This Row],[ID_H]]="","",INDEX(NOTA[TGL.NOTA],MATCH(,INDIRECT(ADDRESS(ROW(NOTA[TGL.NOTA]),COLUMN(NOTA[TGL.NOTA]))&amp;":"&amp;ADDRESS(ROW(),COLUMN(NOTA[TGL.NOTA]))),-1)))</f>
        <v/>
      </c>
      <c r="AK416" s="26" t="str">
        <f ca="1">IF(NOTA[[#This Row],[ID_H]]="","",INDEX(NOTA[NO.NOTA],MATCH(NOTA[[#This Row],[ID_H]],NOTA[ID_H],0)))</f>
        <v/>
      </c>
      <c r="AL416" s="28" t="str">
        <f ca="1">IF(NOTA[[#This Row],[NAMA BARANG]]="","",INDEX(NOTA[SUPPLIER],MATCH(,INDIRECT(ADDRESS(ROW(NOTA[ID]),COLUMN(NOTA[ID]))&amp;":"&amp;ADDRESS(ROW(),COLUMN(NOTA[ID]))),-1)))</f>
        <v/>
      </c>
      <c r="AM416" s="28" t="str">
        <f ca="1">IF(NOTA[[#This Row],[ID_H]]="","",IF(NOTA[[#This Row],[FAKTUR]]="",INDIRECT(ADDRESS(ROW()-1,COLUMN())),NOTA[[#This Row],[FAKTUR]]))</f>
        <v/>
      </c>
      <c r="AN416" s="25" t="str">
        <f ca="1">IF(NOTA[[#This Row],[ID]]="","",COUNTIF(NOTA[ID_H],NOTA[[#This Row],[ID_H]]))</f>
        <v/>
      </c>
      <c r="AO416" s="25" t="str">
        <f ca="1">IF(NOTA[[#This Row],[TGL.NOTA]]="",IF(NOTA[[#This Row],[SUPPLIER_H]]="","",AO415),MONTH(NOTA[[#This Row],[TGL.NOTA]]))</f>
        <v/>
      </c>
      <c r="AP4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6" s="25"/>
      <c r="AU416" s="25" t="str">
        <f>IF(NOTA[[#This Row],[CONCAT1]]="","",MATCH(NOTA[[#This Row],[CONCAT1]],[3]!db[NB NOTA_C],0))</f>
        <v/>
      </c>
      <c r="AV416" s="25" t="str">
        <f>IF(NOTA[[#This Row],[QTY/ CTN]]="","",TRUE)</f>
        <v/>
      </c>
      <c r="AW416" s="25" t="str">
        <f ca="1">IF(NOTA[[#This Row],[ID_H]]="","",IF(NOTA[[#This Row],[Column3]]=TRUE,NOTA[[#This Row],[QTY/ CTN]],INDEX([3]!db[QTY/ CTN],NOTA[[#This Row],[//DB]])))</f>
        <v/>
      </c>
      <c r="AX4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6" s="25" t="str">
        <f ca="1">IF(NOTA[[#This Row],[ID_H]]="","",MATCH(NOTA[[#This Row],[NB NOTA_C_QTY]],[3]!db[NB NOTA_C_QTY+F],0))</f>
        <v/>
      </c>
      <c r="AZ416" s="38" t="str">
        <f ca="1">IF(NOTA[[#This Row],[NB NOTA_C_QTY]]="","",ROW()-2)</f>
        <v/>
      </c>
    </row>
    <row r="417" spans="1:52" ht="20.100000000000001" customHeight="1">
      <c r="A4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7" s="25" t="str">
        <f ca="1">IF(NOTA[[#This Row],[NAMA BARANG]]="","",INDEX(NOTA[ID],MATCH(,INDIRECT(ADDRESS(ROW(NOTA[ID]),COLUMN(NOTA[ID]))&amp;":"&amp;ADDRESS(ROW(),COLUMN(NOTA[ID]))),-1)))</f>
        <v/>
      </c>
      <c r="E417" s="33"/>
      <c r="H417" s="34"/>
      <c r="Q417" s="29"/>
      <c r="R417" s="35"/>
      <c r="S417" s="36"/>
      <c r="V417" s="37"/>
      <c r="W417" s="32"/>
      <c r="X417" s="37" t="str">
        <f>IF(NOTA[[#This Row],[HARGA/ CTN]]="",NOTA[[#This Row],[JUMLAH_H]],NOTA[[#This Row],[HARGA/ CTN]]*IF(NOTA[[#This Row],[C]]="",0,NOTA[[#This Row],[C]]))</f>
        <v/>
      </c>
      <c r="Y417" s="37" t="str">
        <f>IF(NOTA[[#This Row],[JUMLAH]]="","",NOTA[[#This Row],[JUMLAH]]*NOTA[[#This Row],[DISC 1]])</f>
        <v/>
      </c>
      <c r="Z417" s="37" t="str">
        <f>IF(NOTA[[#This Row],[JUMLAH]]="","",(NOTA[[#This Row],[JUMLAH]]-NOTA[[#This Row],[DISC 1-]])*NOTA[[#This Row],[DISC 2]])</f>
        <v/>
      </c>
      <c r="AA417" s="37" t="str">
        <f>IF(NOTA[[#This Row],[JUMLAH]]="","",(NOTA[[#This Row],[JUMLAH]]-NOTA[[#This Row],[DISC 1-]]-NOTA[[#This Row],[DISC 2-]])*NOTA[[#This Row],[DISC 3]])</f>
        <v/>
      </c>
      <c r="AB417" s="37" t="str">
        <f>IF(NOTA[[#This Row],[JUMLAH]]="","",NOTA[[#This Row],[DISC 1-]]+NOTA[[#This Row],[DISC 2-]]+NOTA[[#This Row],[DISC 3-]])</f>
        <v/>
      </c>
      <c r="AC417" s="37" t="str">
        <f>IF(NOTA[[#This Row],[JUMLAH]]="","",NOTA[[#This Row],[JUMLAH]]-NOTA[[#This Row],[DISC]])</f>
        <v/>
      </c>
      <c r="AD417" s="37"/>
      <c r="AE4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7" s="37" t="str">
        <f>IF(OR(NOTA[[#This Row],[QTY]]="",NOTA[[#This Row],[HARGA SATUAN]]="",),"",NOTA[[#This Row],[QTY]]*NOTA[[#This Row],[HARGA SATUAN]])</f>
        <v/>
      </c>
      <c r="AI417" s="26" t="str">
        <f ca="1">IF(NOTA[[#This Row],[ID_H]]="","",INDEX(NOTA[TANGGAL],MATCH(,INDIRECT(ADDRESS(ROW(NOTA[TANGGAL]),COLUMN(NOTA[TANGGAL]))&amp;":"&amp;ADDRESS(ROW(),COLUMN(NOTA[TANGGAL]))),-1)))</f>
        <v/>
      </c>
      <c r="AJ417" s="26" t="str">
        <f ca="1">IF(NOTA[[#This Row],[ID_H]]="","",INDEX(NOTA[TGL.NOTA],MATCH(,INDIRECT(ADDRESS(ROW(NOTA[TGL.NOTA]),COLUMN(NOTA[TGL.NOTA]))&amp;":"&amp;ADDRESS(ROW(),COLUMN(NOTA[TGL.NOTA]))),-1)))</f>
        <v/>
      </c>
      <c r="AK417" s="26" t="str">
        <f ca="1">IF(NOTA[[#This Row],[ID_H]]="","",INDEX(NOTA[NO.NOTA],MATCH(NOTA[[#This Row],[ID_H]],NOTA[ID_H],0)))</f>
        <v/>
      </c>
      <c r="AL417" s="28" t="str">
        <f ca="1">IF(NOTA[[#This Row],[NAMA BARANG]]="","",INDEX(NOTA[SUPPLIER],MATCH(,INDIRECT(ADDRESS(ROW(NOTA[ID]),COLUMN(NOTA[ID]))&amp;":"&amp;ADDRESS(ROW(),COLUMN(NOTA[ID]))),-1)))</f>
        <v/>
      </c>
      <c r="AM417" s="28" t="str">
        <f ca="1">IF(NOTA[[#This Row],[ID_H]]="","",IF(NOTA[[#This Row],[FAKTUR]]="",INDIRECT(ADDRESS(ROW()-1,COLUMN())),NOTA[[#This Row],[FAKTUR]]))</f>
        <v/>
      </c>
      <c r="AN417" s="25" t="str">
        <f ca="1">IF(NOTA[[#This Row],[ID]]="","",COUNTIF(NOTA[ID_H],NOTA[[#This Row],[ID_H]]))</f>
        <v/>
      </c>
      <c r="AO417" s="25" t="str">
        <f ca="1">IF(NOTA[[#This Row],[TGL.NOTA]]="",IF(NOTA[[#This Row],[SUPPLIER_H]]="","",AO416),MONTH(NOTA[[#This Row],[TGL.NOTA]]))</f>
        <v/>
      </c>
      <c r="AP4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7" s="25"/>
      <c r="AU417" s="25" t="str">
        <f>IF(NOTA[[#This Row],[CONCAT1]]="","",MATCH(NOTA[[#This Row],[CONCAT1]],[3]!db[NB NOTA_C],0))</f>
        <v/>
      </c>
      <c r="AV417" s="25" t="str">
        <f>IF(NOTA[[#This Row],[QTY/ CTN]]="","",TRUE)</f>
        <v/>
      </c>
      <c r="AW417" s="25" t="str">
        <f ca="1">IF(NOTA[[#This Row],[ID_H]]="","",IF(NOTA[[#This Row],[Column3]]=TRUE,NOTA[[#This Row],[QTY/ CTN]],INDEX([3]!db[QTY/ CTN],NOTA[[#This Row],[//DB]])))</f>
        <v/>
      </c>
      <c r="AX4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7" s="25" t="str">
        <f ca="1">IF(NOTA[[#This Row],[ID_H]]="","",MATCH(NOTA[[#This Row],[NB NOTA_C_QTY]],[3]!db[NB NOTA_C_QTY+F],0))</f>
        <v/>
      </c>
      <c r="AZ417" s="38" t="str">
        <f ca="1">IF(NOTA[[#This Row],[NB NOTA_C_QTY]]="","",ROW()-2)</f>
        <v/>
      </c>
    </row>
    <row r="418" spans="1:52" ht="20.100000000000001" customHeight="1">
      <c r="A4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8" s="25" t="str">
        <f ca="1">IF(NOTA[[#This Row],[NAMA BARANG]]="","",INDEX(NOTA[ID],MATCH(,INDIRECT(ADDRESS(ROW(NOTA[ID]),COLUMN(NOTA[ID]))&amp;":"&amp;ADDRESS(ROW(),COLUMN(NOTA[ID]))),-1)))</f>
        <v/>
      </c>
      <c r="E418" s="33"/>
      <c r="H418" s="34"/>
      <c r="Q418" s="29"/>
      <c r="R418" s="35"/>
      <c r="S418" s="36"/>
      <c r="V418" s="37"/>
      <c r="W418" s="32"/>
      <c r="X418" s="37" t="str">
        <f>IF(NOTA[[#This Row],[HARGA/ CTN]]="",NOTA[[#This Row],[JUMLAH_H]],NOTA[[#This Row],[HARGA/ CTN]]*IF(NOTA[[#This Row],[C]]="",0,NOTA[[#This Row],[C]]))</f>
        <v/>
      </c>
      <c r="Y418" s="37" t="str">
        <f>IF(NOTA[[#This Row],[JUMLAH]]="","",NOTA[[#This Row],[JUMLAH]]*NOTA[[#This Row],[DISC 1]])</f>
        <v/>
      </c>
      <c r="Z418" s="37" t="str">
        <f>IF(NOTA[[#This Row],[JUMLAH]]="","",(NOTA[[#This Row],[JUMLAH]]-NOTA[[#This Row],[DISC 1-]])*NOTA[[#This Row],[DISC 2]])</f>
        <v/>
      </c>
      <c r="AA418" s="37" t="str">
        <f>IF(NOTA[[#This Row],[JUMLAH]]="","",(NOTA[[#This Row],[JUMLAH]]-NOTA[[#This Row],[DISC 1-]]-NOTA[[#This Row],[DISC 2-]])*NOTA[[#This Row],[DISC 3]])</f>
        <v/>
      </c>
      <c r="AB418" s="37" t="str">
        <f>IF(NOTA[[#This Row],[JUMLAH]]="","",NOTA[[#This Row],[DISC 1-]]+NOTA[[#This Row],[DISC 2-]]+NOTA[[#This Row],[DISC 3-]])</f>
        <v/>
      </c>
      <c r="AC418" s="37" t="str">
        <f>IF(NOTA[[#This Row],[JUMLAH]]="","",NOTA[[#This Row],[JUMLAH]]-NOTA[[#This Row],[DISC]])</f>
        <v/>
      </c>
      <c r="AD418" s="37"/>
      <c r="AE4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8" s="37" t="str">
        <f>IF(OR(NOTA[[#This Row],[QTY]]="",NOTA[[#This Row],[HARGA SATUAN]]="",),"",NOTA[[#This Row],[QTY]]*NOTA[[#This Row],[HARGA SATUAN]])</f>
        <v/>
      </c>
      <c r="AI418" s="26" t="str">
        <f ca="1">IF(NOTA[[#This Row],[ID_H]]="","",INDEX(NOTA[TANGGAL],MATCH(,INDIRECT(ADDRESS(ROW(NOTA[TANGGAL]),COLUMN(NOTA[TANGGAL]))&amp;":"&amp;ADDRESS(ROW(),COLUMN(NOTA[TANGGAL]))),-1)))</f>
        <v/>
      </c>
      <c r="AJ418" s="26" t="str">
        <f ca="1">IF(NOTA[[#This Row],[ID_H]]="","",INDEX(NOTA[TGL.NOTA],MATCH(,INDIRECT(ADDRESS(ROW(NOTA[TGL.NOTA]),COLUMN(NOTA[TGL.NOTA]))&amp;":"&amp;ADDRESS(ROW(),COLUMN(NOTA[TGL.NOTA]))),-1)))</f>
        <v/>
      </c>
      <c r="AK418" s="26" t="str">
        <f ca="1">IF(NOTA[[#This Row],[ID_H]]="","",INDEX(NOTA[NO.NOTA],MATCH(NOTA[[#This Row],[ID_H]],NOTA[ID_H],0)))</f>
        <v/>
      </c>
      <c r="AL418" s="28" t="str">
        <f ca="1">IF(NOTA[[#This Row],[NAMA BARANG]]="","",INDEX(NOTA[SUPPLIER],MATCH(,INDIRECT(ADDRESS(ROW(NOTA[ID]),COLUMN(NOTA[ID]))&amp;":"&amp;ADDRESS(ROW(),COLUMN(NOTA[ID]))),-1)))</f>
        <v/>
      </c>
      <c r="AM418" s="28" t="str">
        <f ca="1">IF(NOTA[[#This Row],[ID_H]]="","",IF(NOTA[[#This Row],[FAKTUR]]="",INDIRECT(ADDRESS(ROW()-1,COLUMN())),NOTA[[#This Row],[FAKTUR]]))</f>
        <v/>
      </c>
      <c r="AN418" s="25" t="str">
        <f ca="1">IF(NOTA[[#This Row],[ID]]="","",COUNTIF(NOTA[ID_H],NOTA[[#This Row],[ID_H]]))</f>
        <v/>
      </c>
      <c r="AO418" s="25" t="str">
        <f ca="1">IF(NOTA[[#This Row],[TGL.NOTA]]="",IF(NOTA[[#This Row],[SUPPLIER_H]]="","",AO417),MONTH(NOTA[[#This Row],[TGL.NOTA]]))</f>
        <v/>
      </c>
      <c r="AP4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8" s="25"/>
      <c r="AU418" s="25" t="str">
        <f>IF(NOTA[[#This Row],[CONCAT1]]="","",MATCH(NOTA[[#This Row],[CONCAT1]],[3]!db[NB NOTA_C],0))</f>
        <v/>
      </c>
      <c r="AV418" s="25" t="str">
        <f>IF(NOTA[[#This Row],[QTY/ CTN]]="","",TRUE)</f>
        <v/>
      </c>
      <c r="AW418" s="25" t="str">
        <f ca="1">IF(NOTA[[#This Row],[ID_H]]="","",IF(NOTA[[#This Row],[Column3]]=TRUE,NOTA[[#This Row],[QTY/ CTN]],INDEX([3]!db[QTY/ CTN],NOTA[[#This Row],[//DB]])))</f>
        <v/>
      </c>
      <c r="AX4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8" s="25" t="str">
        <f ca="1">IF(NOTA[[#This Row],[ID_H]]="","",MATCH(NOTA[[#This Row],[NB NOTA_C_QTY]],[3]!db[NB NOTA_C_QTY+F],0))</f>
        <v/>
      </c>
      <c r="AZ418" s="38" t="str">
        <f ca="1">IF(NOTA[[#This Row],[NB NOTA_C_QTY]]="","",ROW()-2)</f>
        <v/>
      </c>
    </row>
    <row r="419" spans="1:52" ht="20.100000000000001" customHeight="1">
      <c r="A4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9" s="25" t="str">
        <f ca="1">IF(NOTA[[#This Row],[NAMA BARANG]]="","",INDEX(NOTA[ID],MATCH(,INDIRECT(ADDRESS(ROW(NOTA[ID]),COLUMN(NOTA[ID]))&amp;":"&amp;ADDRESS(ROW(),COLUMN(NOTA[ID]))),-1)))</f>
        <v/>
      </c>
      <c r="E419" s="33"/>
      <c r="H419" s="34"/>
      <c r="Q419" s="29"/>
      <c r="R419" s="35"/>
      <c r="S419" s="36"/>
      <c r="V419" s="37"/>
      <c r="W419" s="32"/>
      <c r="X419" s="37" t="str">
        <f>IF(NOTA[[#This Row],[HARGA/ CTN]]="",NOTA[[#This Row],[JUMLAH_H]],NOTA[[#This Row],[HARGA/ CTN]]*IF(NOTA[[#This Row],[C]]="",0,NOTA[[#This Row],[C]]))</f>
        <v/>
      </c>
      <c r="Y419" s="37" t="str">
        <f>IF(NOTA[[#This Row],[JUMLAH]]="","",NOTA[[#This Row],[JUMLAH]]*NOTA[[#This Row],[DISC 1]])</f>
        <v/>
      </c>
      <c r="Z419" s="37" t="str">
        <f>IF(NOTA[[#This Row],[JUMLAH]]="","",(NOTA[[#This Row],[JUMLAH]]-NOTA[[#This Row],[DISC 1-]])*NOTA[[#This Row],[DISC 2]])</f>
        <v/>
      </c>
      <c r="AA419" s="37" t="str">
        <f>IF(NOTA[[#This Row],[JUMLAH]]="","",(NOTA[[#This Row],[JUMLAH]]-NOTA[[#This Row],[DISC 1-]]-NOTA[[#This Row],[DISC 2-]])*NOTA[[#This Row],[DISC 3]])</f>
        <v/>
      </c>
      <c r="AB419" s="37" t="str">
        <f>IF(NOTA[[#This Row],[JUMLAH]]="","",NOTA[[#This Row],[DISC 1-]]+NOTA[[#This Row],[DISC 2-]]+NOTA[[#This Row],[DISC 3-]])</f>
        <v/>
      </c>
      <c r="AC419" s="37" t="str">
        <f>IF(NOTA[[#This Row],[JUMLAH]]="","",NOTA[[#This Row],[JUMLAH]]-NOTA[[#This Row],[DISC]])</f>
        <v/>
      </c>
      <c r="AD419" s="37"/>
      <c r="AE4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9" s="37" t="str">
        <f>IF(OR(NOTA[[#This Row],[QTY]]="",NOTA[[#This Row],[HARGA SATUAN]]="",),"",NOTA[[#This Row],[QTY]]*NOTA[[#This Row],[HARGA SATUAN]])</f>
        <v/>
      </c>
      <c r="AI419" s="26" t="str">
        <f ca="1">IF(NOTA[[#This Row],[ID_H]]="","",INDEX(NOTA[TANGGAL],MATCH(,INDIRECT(ADDRESS(ROW(NOTA[TANGGAL]),COLUMN(NOTA[TANGGAL]))&amp;":"&amp;ADDRESS(ROW(),COLUMN(NOTA[TANGGAL]))),-1)))</f>
        <v/>
      </c>
      <c r="AJ419" s="26" t="str">
        <f ca="1">IF(NOTA[[#This Row],[ID_H]]="","",INDEX(NOTA[TGL.NOTA],MATCH(,INDIRECT(ADDRESS(ROW(NOTA[TGL.NOTA]),COLUMN(NOTA[TGL.NOTA]))&amp;":"&amp;ADDRESS(ROW(),COLUMN(NOTA[TGL.NOTA]))),-1)))</f>
        <v/>
      </c>
      <c r="AK419" s="26" t="str">
        <f ca="1">IF(NOTA[[#This Row],[ID_H]]="","",INDEX(NOTA[NO.NOTA],MATCH(NOTA[[#This Row],[ID_H]],NOTA[ID_H],0)))</f>
        <v/>
      </c>
      <c r="AL419" s="28" t="str">
        <f ca="1">IF(NOTA[[#This Row],[NAMA BARANG]]="","",INDEX(NOTA[SUPPLIER],MATCH(,INDIRECT(ADDRESS(ROW(NOTA[ID]),COLUMN(NOTA[ID]))&amp;":"&amp;ADDRESS(ROW(),COLUMN(NOTA[ID]))),-1)))</f>
        <v/>
      </c>
      <c r="AM419" s="28" t="str">
        <f ca="1">IF(NOTA[[#This Row],[ID_H]]="","",IF(NOTA[[#This Row],[FAKTUR]]="",INDIRECT(ADDRESS(ROW()-1,COLUMN())),NOTA[[#This Row],[FAKTUR]]))</f>
        <v/>
      </c>
      <c r="AN419" s="25" t="str">
        <f ca="1">IF(NOTA[[#This Row],[ID]]="","",COUNTIF(NOTA[ID_H],NOTA[[#This Row],[ID_H]]))</f>
        <v/>
      </c>
      <c r="AO419" s="25" t="str">
        <f ca="1">IF(NOTA[[#This Row],[TGL.NOTA]]="",IF(NOTA[[#This Row],[SUPPLIER_H]]="","",AO418),MONTH(NOTA[[#This Row],[TGL.NOTA]]))</f>
        <v/>
      </c>
      <c r="AP4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9" s="25"/>
      <c r="AU419" s="25" t="str">
        <f>IF(NOTA[[#This Row],[CONCAT1]]="","",MATCH(NOTA[[#This Row],[CONCAT1]],[3]!db[NB NOTA_C],0))</f>
        <v/>
      </c>
      <c r="AV419" s="25" t="str">
        <f>IF(NOTA[[#This Row],[QTY/ CTN]]="","",TRUE)</f>
        <v/>
      </c>
      <c r="AW419" s="25" t="str">
        <f ca="1">IF(NOTA[[#This Row],[ID_H]]="","",IF(NOTA[[#This Row],[Column3]]=TRUE,NOTA[[#This Row],[QTY/ CTN]],INDEX([3]!db[QTY/ CTN],NOTA[[#This Row],[//DB]])))</f>
        <v/>
      </c>
      <c r="AX4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9" s="25" t="str">
        <f ca="1">IF(NOTA[[#This Row],[ID_H]]="","",MATCH(NOTA[[#This Row],[NB NOTA_C_QTY]],[3]!db[NB NOTA_C_QTY+F],0))</f>
        <v/>
      </c>
      <c r="AZ419" s="38" t="str">
        <f ca="1">IF(NOTA[[#This Row],[NB NOTA_C_QTY]]="","",ROW()-2)</f>
        <v/>
      </c>
    </row>
    <row r="420" spans="1:52" ht="20.100000000000001" customHeight="1">
      <c r="A4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0" s="25" t="str">
        <f ca="1">IF(NOTA[[#This Row],[NAMA BARANG]]="","",INDEX(NOTA[ID],MATCH(,INDIRECT(ADDRESS(ROW(NOTA[ID]),COLUMN(NOTA[ID]))&amp;":"&amp;ADDRESS(ROW(),COLUMN(NOTA[ID]))),-1)))</f>
        <v/>
      </c>
      <c r="E420" s="33"/>
      <c r="H420" s="34"/>
      <c r="Q420" s="29"/>
      <c r="R420" s="35"/>
      <c r="S420" s="36"/>
      <c r="V420" s="37"/>
      <c r="W420" s="32"/>
      <c r="X420" s="37" t="str">
        <f>IF(NOTA[[#This Row],[HARGA/ CTN]]="",NOTA[[#This Row],[JUMLAH_H]],NOTA[[#This Row],[HARGA/ CTN]]*IF(NOTA[[#This Row],[C]]="",0,NOTA[[#This Row],[C]]))</f>
        <v/>
      </c>
      <c r="Y420" s="37" t="str">
        <f>IF(NOTA[[#This Row],[JUMLAH]]="","",NOTA[[#This Row],[JUMLAH]]*NOTA[[#This Row],[DISC 1]])</f>
        <v/>
      </c>
      <c r="Z420" s="37" t="str">
        <f>IF(NOTA[[#This Row],[JUMLAH]]="","",(NOTA[[#This Row],[JUMLAH]]-NOTA[[#This Row],[DISC 1-]])*NOTA[[#This Row],[DISC 2]])</f>
        <v/>
      </c>
      <c r="AA420" s="37" t="str">
        <f>IF(NOTA[[#This Row],[JUMLAH]]="","",(NOTA[[#This Row],[JUMLAH]]-NOTA[[#This Row],[DISC 1-]]-NOTA[[#This Row],[DISC 2-]])*NOTA[[#This Row],[DISC 3]])</f>
        <v/>
      </c>
      <c r="AB420" s="37" t="str">
        <f>IF(NOTA[[#This Row],[JUMLAH]]="","",NOTA[[#This Row],[DISC 1-]]+NOTA[[#This Row],[DISC 2-]]+NOTA[[#This Row],[DISC 3-]])</f>
        <v/>
      </c>
      <c r="AC420" s="37" t="str">
        <f>IF(NOTA[[#This Row],[JUMLAH]]="","",NOTA[[#This Row],[JUMLAH]]-NOTA[[#This Row],[DISC]])</f>
        <v/>
      </c>
      <c r="AD420" s="37"/>
      <c r="AE4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0" s="37" t="str">
        <f>IF(OR(NOTA[[#This Row],[QTY]]="",NOTA[[#This Row],[HARGA SATUAN]]="",),"",NOTA[[#This Row],[QTY]]*NOTA[[#This Row],[HARGA SATUAN]])</f>
        <v/>
      </c>
      <c r="AI420" s="26" t="str">
        <f ca="1">IF(NOTA[[#This Row],[ID_H]]="","",INDEX(NOTA[TANGGAL],MATCH(,INDIRECT(ADDRESS(ROW(NOTA[TANGGAL]),COLUMN(NOTA[TANGGAL]))&amp;":"&amp;ADDRESS(ROW(),COLUMN(NOTA[TANGGAL]))),-1)))</f>
        <v/>
      </c>
      <c r="AJ420" s="26" t="str">
        <f ca="1">IF(NOTA[[#This Row],[ID_H]]="","",INDEX(NOTA[TGL.NOTA],MATCH(,INDIRECT(ADDRESS(ROW(NOTA[TGL.NOTA]),COLUMN(NOTA[TGL.NOTA]))&amp;":"&amp;ADDRESS(ROW(),COLUMN(NOTA[TGL.NOTA]))),-1)))</f>
        <v/>
      </c>
      <c r="AK420" s="26" t="str">
        <f ca="1">IF(NOTA[[#This Row],[ID_H]]="","",INDEX(NOTA[NO.NOTA],MATCH(NOTA[[#This Row],[ID_H]],NOTA[ID_H],0)))</f>
        <v/>
      </c>
      <c r="AL420" s="28" t="str">
        <f ca="1">IF(NOTA[[#This Row],[NAMA BARANG]]="","",INDEX(NOTA[SUPPLIER],MATCH(,INDIRECT(ADDRESS(ROW(NOTA[ID]),COLUMN(NOTA[ID]))&amp;":"&amp;ADDRESS(ROW(),COLUMN(NOTA[ID]))),-1)))</f>
        <v/>
      </c>
      <c r="AM420" s="28" t="str">
        <f ca="1">IF(NOTA[[#This Row],[ID_H]]="","",IF(NOTA[[#This Row],[FAKTUR]]="",INDIRECT(ADDRESS(ROW()-1,COLUMN())),NOTA[[#This Row],[FAKTUR]]))</f>
        <v/>
      </c>
      <c r="AN420" s="25" t="str">
        <f ca="1">IF(NOTA[[#This Row],[ID]]="","",COUNTIF(NOTA[ID_H],NOTA[[#This Row],[ID_H]]))</f>
        <v/>
      </c>
      <c r="AO420" s="25" t="str">
        <f ca="1">IF(NOTA[[#This Row],[TGL.NOTA]]="",IF(NOTA[[#This Row],[SUPPLIER_H]]="","",AO419),MONTH(NOTA[[#This Row],[TGL.NOTA]]))</f>
        <v/>
      </c>
      <c r="AP4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0" s="25"/>
      <c r="AU420" s="25" t="str">
        <f>IF(NOTA[[#This Row],[CONCAT1]]="","",MATCH(NOTA[[#This Row],[CONCAT1]],[3]!db[NB NOTA_C],0))</f>
        <v/>
      </c>
      <c r="AV420" s="25" t="str">
        <f>IF(NOTA[[#This Row],[QTY/ CTN]]="","",TRUE)</f>
        <v/>
      </c>
      <c r="AW420" s="25" t="str">
        <f ca="1">IF(NOTA[[#This Row],[ID_H]]="","",IF(NOTA[[#This Row],[Column3]]=TRUE,NOTA[[#This Row],[QTY/ CTN]],INDEX([3]!db[QTY/ CTN],NOTA[[#This Row],[//DB]])))</f>
        <v/>
      </c>
      <c r="AX4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0" s="25" t="str">
        <f ca="1">IF(NOTA[[#This Row],[ID_H]]="","",MATCH(NOTA[[#This Row],[NB NOTA_C_QTY]],[3]!db[NB NOTA_C_QTY+F],0))</f>
        <v/>
      </c>
      <c r="AZ420" s="38" t="str">
        <f ca="1">IF(NOTA[[#This Row],[NB NOTA_C_QTY]]="","",ROW()-2)</f>
        <v/>
      </c>
    </row>
    <row r="421" spans="1:52" ht="20.100000000000001" customHeight="1">
      <c r="A4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1" s="25" t="str">
        <f ca="1">IF(NOTA[[#This Row],[NAMA BARANG]]="","",INDEX(NOTA[ID],MATCH(,INDIRECT(ADDRESS(ROW(NOTA[ID]),COLUMN(NOTA[ID]))&amp;":"&amp;ADDRESS(ROW(),COLUMN(NOTA[ID]))),-1)))</f>
        <v/>
      </c>
      <c r="E421" s="33"/>
      <c r="H421" s="34"/>
      <c r="Q421" s="29"/>
      <c r="R421" s="35"/>
      <c r="S421" s="36"/>
      <c r="V421" s="37"/>
      <c r="W421" s="32"/>
      <c r="X421" s="37" t="str">
        <f>IF(NOTA[[#This Row],[HARGA/ CTN]]="",NOTA[[#This Row],[JUMLAH_H]],NOTA[[#This Row],[HARGA/ CTN]]*IF(NOTA[[#This Row],[C]]="",0,NOTA[[#This Row],[C]]))</f>
        <v/>
      </c>
      <c r="Y421" s="37" t="str">
        <f>IF(NOTA[[#This Row],[JUMLAH]]="","",NOTA[[#This Row],[JUMLAH]]*NOTA[[#This Row],[DISC 1]])</f>
        <v/>
      </c>
      <c r="Z421" s="37" t="str">
        <f>IF(NOTA[[#This Row],[JUMLAH]]="","",(NOTA[[#This Row],[JUMLAH]]-NOTA[[#This Row],[DISC 1-]])*NOTA[[#This Row],[DISC 2]])</f>
        <v/>
      </c>
      <c r="AA421" s="37" t="str">
        <f>IF(NOTA[[#This Row],[JUMLAH]]="","",(NOTA[[#This Row],[JUMLAH]]-NOTA[[#This Row],[DISC 1-]]-NOTA[[#This Row],[DISC 2-]])*NOTA[[#This Row],[DISC 3]])</f>
        <v/>
      </c>
      <c r="AB421" s="37" t="str">
        <f>IF(NOTA[[#This Row],[JUMLAH]]="","",NOTA[[#This Row],[DISC 1-]]+NOTA[[#This Row],[DISC 2-]]+NOTA[[#This Row],[DISC 3-]])</f>
        <v/>
      </c>
      <c r="AC421" s="37" t="str">
        <f>IF(NOTA[[#This Row],[JUMLAH]]="","",NOTA[[#This Row],[JUMLAH]]-NOTA[[#This Row],[DISC]])</f>
        <v/>
      </c>
      <c r="AD421" s="37"/>
      <c r="AE4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1" s="37" t="str">
        <f>IF(OR(NOTA[[#This Row],[QTY]]="",NOTA[[#This Row],[HARGA SATUAN]]="",),"",NOTA[[#This Row],[QTY]]*NOTA[[#This Row],[HARGA SATUAN]])</f>
        <v/>
      </c>
      <c r="AI421" s="26" t="str">
        <f ca="1">IF(NOTA[[#This Row],[ID_H]]="","",INDEX(NOTA[TANGGAL],MATCH(,INDIRECT(ADDRESS(ROW(NOTA[TANGGAL]),COLUMN(NOTA[TANGGAL]))&amp;":"&amp;ADDRESS(ROW(),COLUMN(NOTA[TANGGAL]))),-1)))</f>
        <v/>
      </c>
      <c r="AJ421" s="26" t="str">
        <f ca="1">IF(NOTA[[#This Row],[ID_H]]="","",INDEX(NOTA[TGL.NOTA],MATCH(,INDIRECT(ADDRESS(ROW(NOTA[TGL.NOTA]),COLUMN(NOTA[TGL.NOTA]))&amp;":"&amp;ADDRESS(ROW(),COLUMN(NOTA[TGL.NOTA]))),-1)))</f>
        <v/>
      </c>
      <c r="AK421" s="26" t="str">
        <f ca="1">IF(NOTA[[#This Row],[ID_H]]="","",INDEX(NOTA[NO.NOTA],MATCH(NOTA[[#This Row],[ID_H]],NOTA[ID_H],0)))</f>
        <v/>
      </c>
      <c r="AL421" s="28" t="str">
        <f ca="1">IF(NOTA[[#This Row],[NAMA BARANG]]="","",INDEX(NOTA[SUPPLIER],MATCH(,INDIRECT(ADDRESS(ROW(NOTA[ID]),COLUMN(NOTA[ID]))&amp;":"&amp;ADDRESS(ROW(),COLUMN(NOTA[ID]))),-1)))</f>
        <v/>
      </c>
      <c r="AM421" s="28" t="str">
        <f ca="1">IF(NOTA[[#This Row],[ID_H]]="","",IF(NOTA[[#This Row],[FAKTUR]]="",INDIRECT(ADDRESS(ROW()-1,COLUMN())),NOTA[[#This Row],[FAKTUR]]))</f>
        <v/>
      </c>
      <c r="AN421" s="25" t="str">
        <f ca="1">IF(NOTA[[#This Row],[ID]]="","",COUNTIF(NOTA[ID_H],NOTA[[#This Row],[ID_H]]))</f>
        <v/>
      </c>
      <c r="AO421" s="25" t="str">
        <f ca="1">IF(NOTA[[#This Row],[TGL.NOTA]]="",IF(NOTA[[#This Row],[SUPPLIER_H]]="","",AO420),MONTH(NOTA[[#This Row],[TGL.NOTA]]))</f>
        <v/>
      </c>
      <c r="AP4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1" s="25"/>
      <c r="AU421" s="25" t="str">
        <f>IF(NOTA[[#This Row],[CONCAT1]]="","",MATCH(NOTA[[#This Row],[CONCAT1]],[3]!db[NB NOTA_C],0))</f>
        <v/>
      </c>
      <c r="AV421" s="25" t="str">
        <f>IF(NOTA[[#This Row],[QTY/ CTN]]="","",TRUE)</f>
        <v/>
      </c>
      <c r="AW421" s="25" t="str">
        <f ca="1">IF(NOTA[[#This Row],[ID_H]]="","",IF(NOTA[[#This Row],[Column3]]=TRUE,NOTA[[#This Row],[QTY/ CTN]],INDEX([3]!db[QTY/ CTN],NOTA[[#This Row],[//DB]])))</f>
        <v/>
      </c>
      <c r="AX4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1" s="25" t="str">
        <f ca="1">IF(NOTA[[#This Row],[ID_H]]="","",MATCH(NOTA[[#This Row],[NB NOTA_C_QTY]],[3]!db[NB NOTA_C_QTY+F],0))</f>
        <v/>
      </c>
      <c r="AZ421" s="38" t="str">
        <f ca="1">IF(NOTA[[#This Row],[NB NOTA_C_QTY]]="","",ROW()-2)</f>
        <v/>
      </c>
    </row>
    <row r="422" spans="1:52" ht="20.100000000000001" customHeight="1">
      <c r="A4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2" s="25" t="str">
        <f ca="1">IF(NOTA[[#This Row],[NAMA BARANG]]="","",INDEX(NOTA[ID],MATCH(,INDIRECT(ADDRESS(ROW(NOTA[ID]),COLUMN(NOTA[ID]))&amp;":"&amp;ADDRESS(ROW(),COLUMN(NOTA[ID]))),-1)))</f>
        <v/>
      </c>
      <c r="E422" s="33"/>
      <c r="H422" s="34"/>
      <c r="Q422" s="29"/>
      <c r="R422" s="35"/>
      <c r="S422" s="36"/>
      <c r="V422" s="37"/>
      <c r="W422" s="32"/>
      <c r="X422" s="37" t="str">
        <f>IF(NOTA[[#This Row],[HARGA/ CTN]]="",NOTA[[#This Row],[JUMLAH_H]],NOTA[[#This Row],[HARGA/ CTN]]*IF(NOTA[[#This Row],[C]]="",0,NOTA[[#This Row],[C]]))</f>
        <v/>
      </c>
      <c r="Y422" s="37" t="str">
        <f>IF(NOTA[[#This Row],[JUMLAH]]="","",NOTA[[#This Row],[JUMLAH]]*NOTA[[#This Row],[DISC 1]])</f>
        <v/>
      </c>
      <c r="Z422" s="37" t="str">
        <f>IF(NOTA[[#This Row],[JUMLAH]]="","",(NOTA[[#This Row],[JUMLAH]]-NOTA[[#This Row],[DISC 1-]])*NOTA[[#This Row],[DISC 2]])</f>
        <v/>
      </c>
      <c r="AA422" s="37" t="str">
        <f>IF(NOTA[[#This Row],[JUMLAH]]="","",(NOTA[[#This Row],[JUMLAH]]-NOTA[[#This Row],[DISC 1-]]-NOTA[[#This Row],[DISC 2-]])*NOTA[[#This Row],[DISC 3]])</f>
        <v/>
      </c>
      <c r="AB422" s="37" t="str">
        <f>IF(NOTA[[#This Row],[JUMLAH]]="","",NOTA[[#This Row],[DISC 1-]]+NOTA[[#This Row],[DISC 2-]]+NOTA[[#This Row],[DISC 3-]])</f>
        <v/>
      </c>
      <c r="AC422" s="37" t="str">
        <f>IF(NOTA[[#This Row],[JUMLAH]]="","",NOTA[[#This Row],[JUMLAH]]-NOTA[[#This Row],[DISC]])</f>
        <v/>
      </c>
      <c r="AD422" s="37"/>
      <c r="AE4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2" s="37" t="str">
        <f>IF(OR(NOTA[[#This Row],[QTY]]="",NOTA[[#This Row],[HARGA SATUAN]]="",),"",NOTA[[#This Row],[QTY]]*NOTA[[#This Row],[HARGA SATUAN]])</f>
        <v/>
      </c>
      <c r="AI422" s="26" t="str">
        <f ca="1">IF(NOTA[[#This Row],[ID_H]]="","",INDEX(NOTA[TANGGAL],MATCH(,INDIRECT(ADDRESS(ROW(NOTA[TANGGAL]),COLUMN(NOTA[TANGGAL]))&amp;":"&amp;ADDRESS(ROW(),COLUMN(NOTA[TANGGAL]))),-1)))</f>
        <v/>
      </c>
      <c r="AJ422" s="26" t="str">
        <f ca="1">IF(NOTA[[#This Row],[ID_H]]="","",INDEX(NOTA[TGL.NOTA],MATCH(,INDIRECT(ADDRESS(ROW(NOTA[TGL.NOTA]),COLUMN(NOTA[TGL.NOTA]))&amp;":"&amp;ADDRESS(ROW(),COLUMN(NOTA[TGL.NOTA]))),-1)))</f>
        <v/>
      </c>
      <c r="AK422" s="26" t="str">
        <f ca="1">IF(NOTA[[#This Row],[ID_H]]="","",INDEX(NOTA[NO.NOTA],MATCH(NOTA[[#This Row],[ID_H]],NOTA[ID_H],0)))</f>
        <v/>
      </c>
      <c r="AL422" s="28" t="str">
        <f ca="1">IF(NOTA[[#This Row],[NAMA BARANG]]="","",INDEX(NOTA[SUPPLIER],MATCH(,INDIRECT(ADDRESS(ROW(NOTA[ID]),COLUMN(NOTA[ID]))&amp;":"&amp;ADDRESS(ROW(),COLUMN(NOTA[ID]))),-1)))</f>
        <v/>
      </c>
      <c r="AM422" s="28" t="str">
        <f ca="1">IF(NOTA[[#This Row],[ID_H]]="","",IF(NOTA[[#This Row],[FAKTUR]]="",INDIRECT(ADDRESS(ROW()-1,COLUMN())),NOTA[[#This Row],[FAKTUR]]))</f>
        <v/>
      </c>
      <c r="AN422" s="25" t="str">
        <f ca="1">IF(NOTA[[#This Row],[ID]]="","",COUNTIF(NOTA[ID_H],NOTA[[#This Row],[ID_H]]))</f>
        <v/>
      </c>
      <c r="AO422" s="25" t="str">
        <f ca="1">IF(NOTA[[#This Row],[TGL.NOTA]]="",IF(NOTA[[#This Row],[SUPPLIER_H]]="","",AO421),MONTH(NOTA[[#This Row],[TGL.NOTA]]))</f>
        <v/>
      </c>
      <c r="AP4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2" s="25"/>
      <c r="AU422" s="25" t="str">
        <f>IF(NOTA[[#This Row],[CONCAT1]]="","",MATCH(NOTA[[#This Row],[CONCAT1]],[3]!db[NB NOTA_C],0))</f>
        <v/>
      </c>
      <c r="AV422" s="25" t="str">
        <f>IF(NOTA[[#This Row],[QTY/ CTN]]="","",TRUE)</f>
        <v/>
      </c>
      <c r="AW422" s="25" t="str">
        <f ca="1">IF(NOTA[[#This Row],[ID_H]]="","",IF(NOTA[[#This Row],[Column3]]=TRUE,NOTA[[#This Row],[QTY/ CTN]],INDEX([3]!db[QTY/ CTN],NOTA[[#This Row],[//DB]])))</f>
        <v/>
      </c>
      <c r="AX4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2" s="25" t="str">
        <f ca="1">IF(NOTA[[#This Row],[ID_H]]="","",MATCH(NOTA[[#This Row],[NB NOTA_C_QTY]],[3]!db[NB NOTA_C_QTY+F],0))</f>
        <v/>
      </c>
      <c r="AZ422" s="38" t="str">
        <f ca="1">IF(NOTA[[#This Row],[NB NOTA_C_QTY]]="","",ROW()-2)</f>
        <v/>
      </c>
    </row>
    <row r="423" spans="1:52" ht="20.100000000000001" customHeight="1">
      <c r="A4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3" s="25" t="str">
        <f ca="1">IF(NOTA[[#This Row],[NAMA BARANG]]="","",INDEX(NOTA[ID],MATCH(,INDIRECT(ADDRESS(ROW(NOTA[ID]),COLUMN(NOTA[ID]))&amp;":"&amp;ADDRESS(ROW(),COLUMN(NOTA[ID]))),-1)))</f>
        <v/>
      </c>
      <c r="E423" s="33"/>
      <c r="H423" s="34"/>
      <c r="Q423" s="29"/>
      <c r="R423" s="35"/>
      <c r="S423" s="36"/>
      <c r="V423" s="37"/>
      <c r="W423" s="32"/>
      <c r="X423" s="37" t="str">
        <f>IF(NOTA[[#This Row],[HARGA/ CTN]]="",NOTA[[#This Row],[JUMLAH_H]],NOTA[[#This Row],[HARGA/ CTN]]*IF(NOTA[[#This Row],[C]]="",0,NOTA[[#This Row],[C]]))</f>
        <v/>
      </c>
      <c r="Y423" s="37" t="str">
        <f>IF(NOTA[[#This Row],[JUMLAH]]="","",NOTA[[#This Row],[JUMLAH]]*NOTA[[#This Row],[DISC 1]])</f>
        <v/>
      </c>
      <c r="Z423" s="37" t="str">
        <f>IF(NOTA[[#This Row],[JUMLAH]]="","",(NOTA[[#This Row],[JUMLAH]]-NOTA[[#This Row],[DISC 1-]])*NOTA[[#This Row],[DISC 2]])</f>
        <v/>
      </c>
      <c r="AA423" s="37" t="str">
        <f>IF(NOTA[[#This Row],[JUMLAH]]="","",(NOTA[[#This Row],[JUMLAH]]-NOTA[[#This Row],[DISC 1-]]-NOTA[[#This Row],[DISC 2-]])*NOTA[[#This Row],[DISC 3]])</f>
        <v/>
      </c>
      <c r="AB423" s="37" t="str">
        <f>IF(NOTA[[#This Row],[JUMLAH]]="","",NOTA[[#This Row],[DISC 1-]]+NOTA[[#This Row],[DISC 2-]]+NOTA[[#This Row],[DISC 3-]])</f>
        <v/>
      </c>
      <c r="AC423" s="37" t="str">
        <f>IF(NOTA[[#This Row],[JUMLAH]]="","",NOTA[[#This Row],[JUMLAH]]-NOTA[[#This Row],[DISC]])</f>
        <v/>
      </c>
      <c r="AD423" s="37"/>
      <c r="AE4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3" s="37" t="str">
        <f>IF(OR(NOTA[[#This Row],[QTY]]="",NOTA[[#This Row],[HARGA SATUAN]]="",),"",NOTA[[#This Row],[QTY]]*NOTA[[#This Row],[HARGA SATUAN]])</f>
        <v/>
      </c>
      <c r="AI423" s="26" t="str">
        <f ca="1">IF(NOTA[[#This Row],[ID_H]]="","",INDEX(NOTA[TANGGAL],MATCH(,INDIRECT(ADDRESS(ROW(NOTA[TANGGAL]),COLUMN(NOTA[TANGGAL]))&amp;":"&amp;ADDRESS(ROW(),COLUMN(NOTA[TANGGAL]))),-1)))</f>
        <v/>
      </c>
      <c r="AJ423" s="26" t="str">
        <f ca="1">IF(NOTA[[#This Row],[ID_H]]="","",INDEX(NOTA[TGL.NOTA],MATCH(,INDIRECT(ADDRESS(ROW(NOTA[TGL.NOTA]),COLUMN(NOTA[TGL.NOTA]))&amp;":"&amp;ADDRESS(ROW(),COLUMN(NOTA[TGL.NOTA]))),-1)))</f>
        <v/>
      </c>
      <c r="AK423" s="26" t="str">
        <f ca="1">IF(NOTA[[#This Row],[ID_H]]="","",INDEX(NOTA[NO.NOTA],MATCH(NOTA[[#This Row],[ID_H]],NOTA[ID_H],0)))</f>
        <v/>
      </c>
      <c r="AL423" s="28" t="str">
        <f ca="1">IF(NOTA[[#This Row],[NAMA BARANG]]="","",INDEX(NOTA[SUPPLIER],MATCH(,INDIRECT(ADDRESS(ROW(NOTA[ID]),COLUMN(NOTA[ID]))&amp;":"&amp;ADDRESS(ROW(),COLUMN(NOTA[ID]))),-1)))</f>
        <v/>
      </c>
      <c r="AM423" s="28" t="str">
        <f ca="1">IF(NOTA[[#This Row],[ID_H]]="","",IF(NOTA[[#This Row],[FAKTUR]]="",INDIRECT(ADDRESS(ROW()-1,COLUMN())),NOTA[[#This Row],[FAKTUR]]))</f>
        <v/>
      </c>
      <c r="AN423" s="25" t="str">
        <f ca="1">IF(NOTA[[#This Row],[ID]]="","",COUNTIF(NOTA[ID_H],NOTA[[#This Row],[ID_H]]))</f>
        <v/>
      </c>
      <c r="AO423" s="25" t="str">
        <f ca="1">IF(NOTA[[#This Row],[TGL.NOTA]]="",IF(NOTA[[#This Row],[SUPPLIER_H]]="","",AO422),MONTH(NOTA[[#This Row],[TGL.NOTA]]))</f>
        <v/>
      </c>
      <c r="AP4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3" s="25"/>
      <c r="AU423" s="25" t="str">
        <f>IF(NOTA[[#This Row],[CONCAT1]]="","",MATCH(NOTA[[#This Row],[CONCAT1]],[3]!db[NB NOTA_C],0))</f>
        <v/>
      </c>
      <c r="AV423" s="25" t="str">
        <f>IF(NOTA[[#This Row],[QTY/ CTN]]="","",TRUE)</f>
        <v/>
      </c>
      <c r="AW423" s="25" t="str">
        <f ca="1">IF(NOTA[[#This Row],[ID_H]]="","",IF(NOTA[[#This Row],[Column3]]=TRUE,NOTA[[#This Row],[QTY/ CTN]],INDEX([3]!db[QTY/ CTN],NOTA[[#This Row],[//DB]])))</f>
        <v/>
      </c>
      <c r="AX4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3" s="25" t="str">
        <f ca="1">IF(NOTA[[#This Row],[ID_H]]="","",MATCH(NOTA[[#This Row],[NB NOTA_C_QTY]],[3]!db[NB NOTA_C_QTY+F],0))</f>
        <v/>
      </c>
      <c r="AZ423" s="38" t="str">
        <f ca="1">IF(NOTA[[#This Row],[NB NOTA_C_QTY]]="","",ROW()-2)</f>
        <v/>
      </c>
    </row>
    <row r="424" spans="1:52" ht="20.100000000000001" customHeight="1">
      <c r="A4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4" s="25" t="str">
        <f ca="1">IF(NOTA[[#This Row],[NAMA BARANG]]="","",INDEX(NOTA[ID],MATCH(,INDIRECT(ADDRESS(ROW(NOTA[ID]),COLUMN(NOTA[ID]))&amp;":"&amp;ADDRESS(ROW(),COLUMN(NOTA[ID]))),-1)))</f>
        <v/>
      </c>
      <c r="E424" s="33"/>
      <c r="H424" s="34"/>
      <c r="Q424" s="29"/>
      <c r="R424" s="35"/>
      <c r="S424" s="36"/>
      <c r="V424" s="37"/>
      <c r="W424" s="32"/>
      <c r="X424" s="37" t="str">
        <f>IF(NOTA[[#This Row],[HARGA/ CTN]]="",NOTA[[#This Row],[JUMLAH_H]],NOTA[[#This Row],[HARGA/ CTN]]*IF(NOTA[[#This Row],[C]]="",0,NOTA[[#This Row],[C]]))</f>
        <v/>
      </c>
      <c r="Y424" s="37" t="str">
        <f>IF(NOTA[[#This Row],[JUMLAH]]="","",NOTA[[#This Row],[JUMLAH]]*NOTA[[#This Row],[DISC 1]])</f>
        <v/>
      </c>
      <c r="Z424" s="37" t="str">
        <f>IF(NOTA[[#This Row],[JUMLAH]]="","",(NOTA[[#This Row],[JUMLAH]]-NOTA[[#This Row],[DISC 1-]])*NOTA[[#This Row],[DISC 2]])</f>
        <v/>
      </c>
      <c r="AA424" s="37" t="str">
        <f>IF(NOTA[[#This Row],[JUMLAH]]="","",(NOTA[[#This Row],[JUMLAH]]-NOTA[[#This Row],[DISC 1-]]-NOTA[[#This Row],[DISC 2-]])*NOTA[[#This Row],[DISC 3]])</f>
        <v/>
      </c>
      <c r="AB424" s="37" t="str">
        <f>IF(NOTA[[#This Row],[JUMLAH]]="","",NOTA[[#This Row],[DISC 1-]]+NOTA[[#This Row],[DISC 2-]]+NOTA[[#This Row],[DISC 3-]])</f>
        <v/>
      </c>
      <c r="AC424" s="37" t="str">
        <f>IF(NOTA[[#This Row],[JUMLAH]]="","",NOTA[[#This Row],[JUMLAH]]-NOTA[[#This Row],[DISC]])</f>
        <v/>
      </c>
      <c r="AD424" s="37"/>
      <c r="AE4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4" s="37" t="str">
        <f>IF(OR(NOTA[[#This Row],[QTY]]="",NOTA[[#This Row],[HARGA SATUAN]]="",),"",NOTA[[#This Row],[QTY]]*NOTA[[#This Row],[HARGA SATUAN]])</f>
        <v/>
      </c>
      <c r="AI424" s="26" t="str">
        <f ca="1">IF(NOTA[[#This Row],[ID_H]]="","",INDEX(NOTA[TANGGAL],MATCH(,INDIRECT(ADDRESS(ROW(NOTA[TANGGAL]),COLUMN(NOTA[TANGGAL]))&amp;":"&amp;ADDRESS(ROW(),COLUMN(NOTA[TANGGAL]))),-1)))</f>
        <v/>
      </c>
      <c r="AJ424" s="26" t="str">
        <f ca="1">IF(NOTA[[#This Row],[ID_H]]="","",INDEX(NOTA[TGL.NOTA],MATCH(,INDIRECT(ADDRESS(ROW(NOTA[TGL.NOTA]),COLUMN(NOTA[TGL.NOTA]))&amp;":"&amp;ADDRESS(ROW(),COLUMN(NOTA[TGL.NOTA]))),-1)))</f>
        <v/>
      </c>
      <c r="AK424" s="26" t="str">
        <f ca="1">IF(NOTA[[#This Row],[ID_H]]="","",INDEX(NOTA[NO.NOTA],MATCH(NOTA[[#This Row],[ID_H]],NOTA[ID_H],0)))</f>
        <v/>
      </c>
      <c r="AL424" s="28" t="str">
        <f ca="1">IF(NOTA[[#This Row],[NAMA BARANG]]="","",INDEX(NOTA[SUPPLIER],MATCH(,INDIRECT(ADDRESS(ROW(NOTA[ID]),COLUMN(NOTA[ID]))&amp;":"&amp;ADDRESS(ROW(),COLUMN(NOTA[ID]))),-1)))</f>
        <v/>
      </c>
      <c r="AM424" s="28" t="str">
        <f ca="1">IF(NOTA[[#This Row],[ID_H]]="","",IF(NOTA[[#This Row],[FAKTUR]]="",INDIRECT(ADDRESS(ROW()-1,COLUMN())),NOTA[[#This Row],[FAKTUR]]))</f>
        <v/>
      </c>
      <c r="AN424" s="25" t="str">
        <f ca="1">IF(NOTA[[#This Row],[ID]]="","",COUNTIF(NOTA[ID_H],NOTA[[#This Row],[ID_H]]))</f>
        <v/>
      </c>
      <c r="AO424" s="25" t="str">
        <f ca="1">IF(NOTA[[#This Row],[TGL.NOTA]]="",IF(NOTA[[#This Row],[SUPPLIER_H]]="","",AO423),MONTH(NOTA[[#This Row],[TGL.NOTA]]))</f>
        <v/>
      </c>
      <c r="AP4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4" s="25"/>
      <c r="AU424" s="25" t="str">
        <f>IF(NOTA[[#This Row],[CONCAT1]]="","",MATCH(NOTA[[#This Row],[CONCAT1]],[3]!db[NB NOTA_C],0))</f>
        <v/>
      </c>
      <c r="AV424" s="25" t="str">
        <f>IF(NOTA[[#This Row],[QTY/ CTN]]="","",TRUE)</f>
        <v/>
      </c>
      <c r="AW424" s="25" t="str">
        <f ca="1">IF(NOTA[[#This Row],[ID_H]]="","",IF(NOTA[[#This Row],[Column3]]=TRUE,NOTA[[#This Row],[QTY/ CTN]],INDEX([3]!db[QTY/ CTN],NOTA[[#This Row],[//DB]])))</f>
        <v/>
      </c>
      <c r="AX4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4" s="25" t="str">
        <f ca="1">IF(NOTA[[#This Row],[ID_H]]="","",MATCH(NOTA[[#This Row],[NB NOTA_C_QTY]],[3]!db[NB NOTA_C_QTY+F],0))</f>
        <v/>
      </c>
      <c r="AZ424" s="38" t="str">
        <f ca="1">IF(NOTA[[#This Row],[NB NOTA_C_QTY]]="","",ROW()-2)</f>
        <v/>
      </c>
    </row>
    <row r="425" spans="1:52" ht="20.100000000000001" customHeight="1">
      <c r="A4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5" s="25" t="str">
        <f ca="1">IF(NOTA[[#This Row],[NAMA BARANG]]="","",INDEX(NOTA[ID],MATCH(,INDIRECT(ADDRESS(ROW(NOTA[ID]),COLUMN(NOTA[ID]))&amp;":"&amp;ADDRESS(ROW(),COLUMN(NOTA[ID]))),-1)))</f>
        <v/>
      </c>
      <c r="E425" s="33"/>
      <c r="H425" s="34"/>
      <c r="Q425" s="29"/>
      <c r="R425" s="35"/>
      <c r="S425" s="36"/>
      <c r="V425" s="37"/>
      <c r="W425" s="32"/>
      <c r="X425" s="37" t="str">
        <f>IF(NOTA[[#This Row],[HARGA/ CTN]]="",NOTA[[#This Row],[JUMLAH_H]],NOTA[[#This Row],[HARGA/ CTN]]*IF(NOTA[[#This Row],[C]]="",0,NOTA[[#This Row],[C]]))</f>
        <v/>
      </c>
      <c r="Y425" s="37" t="str">
        <f>IF(NOTA[[#This Row],[JUMLAH]]="","",NOTA[[#This Row],[JUMLAH]]*NOTA[[#This Row],[DISC 1]])</f>
        <v/>
      </c>
      <c r="Z425" s="37" t="str">
        <f>IF(NOTA[[#This Row],[JUMLAH]]="","",(NOTA[[#This Row],[JUMLAH]]-NOTA[[#This Row],[DISC 1-]])*NOTA[[#This Row],[DISC 2]])</f>
        <v/>
      </c>
      <c r="AA425" s="37" t="str">
        <f>IF(NOTA[[#This Row],[JUMLAH]]="","",(NOTA[[#This Row],[JUMLAH]]-NOTA[[#This Row],[DISC 1-]]-NOTA[[#This Row],[DISC 2-]])*NOTA[[#This Row],[DISC 3]])</f>
        <v/>
      </c>
      <c r="AB425" s="37" t="str">
        <f>IF(NOTA[[#This Row],[JUMLAH]]="","",NOTA[[#This Row],[DISC 1-]]+NOTA[[#This Row],[DISC 2-]]+NOTA[[#This Row],[DISC 3-]])</f>
        <v/>
      </c>
      <c r="AC425" s="37" t="str">
        <f>IF(NOTA[[#This Row],[JUMLAH]]="","",NOTA[[#This Row],[JUMLAH]]-NOTA[[#This Row],[DISC]])</f>
        <v/>
      </c>
      <c r="AD425" s="37"/>
      <c r="AE4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5" s="37" t="str">
        <f>IF(OR(NOTA[[#This Row],[QTY]]="",NOTA[[#This Row],[HARGA SATUAN]]="",),"",NOTA[[#This Row],[QTY]]*NOTA[[#This Row],[HARGA SATUAN]])</f>
        <v/>
      </c>
      <c r="AI425" s="26" t="str">
        <f ca="1">IF(NOTA[[#This Row],[ID_H]]="","",INDEX(NOTA[TANGGAL],MATCH(,INDIRECT(ADDRESS(ROW(NOTA[TANGGAL]),COLUMN(NOTA[TANGGAL]))&amp;":"&amp;ADDRESS(ROW(),COLUMN(NOTA[TANGGAL]))),-1)))</f>
        <v/>
      </c>
      <c r="AJ425" s="26" t="str">
        <f ca="1">IF(NOTA[[#This Row],[ID_H]]="","",INDEX(NOTA[TGL.NOTA],MATCH(,INDIRECT(ADDRESS(ROW(NOTA[TGL.NOTA]),COLUMN(NOTA[TGL.NOTA]))&amp;":"&amp;ADDRESS(ROW(),COLUMN(NOTA[TGL.NOTA]))),-1)))</f>
        <v/>
      </c>
      <c r="AK425" s="26" t="str">
        <f ca="1">IF(NOTA[[#This Row],[ID_H]]="","",INDEX(NOTA[NO.NOTA],MATCH(NOTA[[#This Row],[ID_H]],NOTA[ID_H],0)))</f>
        <v/>
      </c>
      <c r="AL425" s="28" t="str">
        <f ca="1">IF(NOTA[[#This Row],[NAMA BARANG]]="","",INDEX(NOTA[SUPPLIER],MATCH(,INDIRECT(ADDRESS(ROW(NOTA[ID]),COLUMN(NOTA[ID]))&amp;":"&amp;ADDRESS(ROW(),COLUMN(NOTA[ID]))),-1)))</f>
        <v/>
      </c>
      <c r="AM425" s="28" t="str">
        <f ca="1">IF(NOTA[[#This Row],[ID_H]]="","",IF(NOTA[[#This Row],[FAKTUR]]="",INDIRECT(ADDRESS(ROW()-1,COLUMN())),NOTA[[#This Row],[FAKTUR]]))</f>
        <v/>
      </c>
      <c r="AN425" s="25" t="str">
        <f ca="1">IF(NOTA[[#This Row],[ID]]="","",COUNTIF(NOTA[ID_H],NOTA[[#This Row],[ID_H]]))</f>
        <v/>
      </c>
      <c r="AO425" s="25" t="str">
        <f ca="1">IF(NOTA[[#This Row],[TGL.NOTA]]="",IF(NOTA[[#This Row],[SUPPLIER_H]]="","",AO424),MONTH(NOTA[[#This Row],[TGL.NOTA]]))</f>
        <v/>
      </c>
      <c r="AP4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5" s="25"/>
      <c r="AU425" s="25" t="str">
        <f>IF(NOTA[[#This Row],[CONCAT1]]="","",MATCH(NOTA[[#This Row],[CONCAT1]],[3]!db[NB NOTA_C],0))</f>
        <v/>
      </c>
      <c r="AV425" s="25" t="str">
        <f>IF(NOTA[[#This Row],[QTY/ CTN]]="","",TRUE)</f>
        <v/>
      </c>
      <c r="AW425" s="25" t="str">
        <f ca="1">IF(NOTA[[#This Row],[ID_H]]="","",IF(NOTA[[#This Row],[Column3]]=TRUE,NOTA[[#This Row],[QTY/ CTN]],INDEX([3]!db[QTY/ CTN],NOTA[[#This Row],[//DB]])))</f>
        <v/>
      </c>
      <c r="AX4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5" s="25" t="str">
        <f ca="1">IF(NOTA[[#This Row],[ID_H]]="","",MATCH(NOTA[[#This Row],[NB NOTA_C_QTY]],[3]!db[NB NOTA_C_QTY+F],0))</f>
        <v/>
      </c>
      <c r="AZ425" s="38" t="str">
        <f ca="1">IF(NOTA[[#This Row],[NB NOTA_C_QTY]]="","",ROW()-2)</f>
        <v/>
      </c>
    </row>
    <row r="426" spans="1:52" ht="20.100000000000001" customHeight="1">
      <c r="A4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6" s="25" t="str">
        <f ca="1">IF(NOTA[[#This Row],[NAMA BARANG]]="","",INDEX(NOTA[ID],MATCH(,INDIRECT(ADDRESS(ROW(NOTA[ID]),COLUMN(NOTA[ID]))&amp;":"&amp;ADDRESS(ROW(),COLUMN(NOTA[ID]))),-1)))</f>
        <v/>
      </c>
      <c r="E426" s="33"/>
      <c r="H426" s="34"/>
      <c r="Q426" s="29"/>
      <c r="R426" s="35"/>
      <c r="S426" s="36"/>
      <c r="V426" s="37"/>
      <c r="W426" s="32"/>
      <c r="X426" s="37" t="str">
        <f>IF(NOTA[[#This Row],[HARGA/ CTN]]="",NOTA[[#This Row],[JUMLAH_H]],NOTA[[#This Row],[HARGA/ CTN]]*IF(NOTA[[#This Row],[C]]="",0,NOTA[[#This Row],[C]]))</f>
        <v/>
      </c>
      <c r="Y426" s="37" t="str">
        <f>IF(NOTA[[#This Row],[JUMLAH]]="","",NOTA[[#This Row],[JUMLAH]]*NOTA[[#This Row],[DISC 1]])</f>
        <v/>
      </c>
      <c r="Z426" s="37" t="str">
        <f>IF(NOTA[[#This Row],[JUMLAH]]="","",(NOTA[[#This Row],[JUMLAH]]-NOTA[[#This Row],[DISC 1-]])*NOTA[[#This Row],[DISC 2]])</f>
        <v/>
      </c>
      <c r="AA426" s="37" t="str">
        <f>IF(NOTA[[#This Row],[JUMLAH]]="","",(NOTA[[#This Row],[JUMLAH]]-NOTA[[#This Row],[DISC 1-]]-NOTA[[#This Row],[DISC 2-]])*NOTA[[#This Row],[DISC 3]])</f>
        <v/>
      </c>
      <c r="AB426" s="37" t="str">
        <f>IF(NOTA[[#This Row],[JUMLAH]]="","",NOTA[[#This Row],[DISC 1-]]+NOTA[[#This Row],[DISC 2-]]+NOTA[[#This Row],[DISC 3-]])</f>
        <v/>
      </c>
      <c r="AC426" s="37" t="str">
        <f>IF(NOTA[[#This Row],[JUMLAH]]="","",NOTA[[#This Row],[JUMLAH]]-NOTA[[#This Row],[DISC]])</f>
        <v/>
      </c>
      <c r="AD426" s="37"/>
      <c r="AE4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6" s="37" t="str">
        <f>IF(OR(NOTA[[#This Row],[QTY]]="",NOTA[[#This Row],[HARGA SATUAN]]="",),"",NOTA[[#This Row],[QTY]]*NOTA[[#This Row],[HARGA SATUAN]])</f>
        <v/>
      </c>
      <c r="AI426" s="26" t="str">
        <f ca="1">IF(NOTA[[#This Row],[ID_H]]="","",INDEX(NOTA[TANGGAL],MATCH(,INDIRECT(ADDRESS(ROW(NOTA[TANGGAL]),COLUMN(NOTA[TANGGAL]))&amp;":"&amp;ADDRESS(ROW(),COLUMN(NOTA[TANGGAL]))),-1)))</f>
        <v/>
      </c>
      <c r="AJ426" s="26" t="str">
        <f ca="1">IF(NOTA[[#This Row],[ID_H]]="","",INDEX(NOTA[TGL.NOTA],MATCH(,INDIRECT(ADDRESS(ROW(NOTA[TGL.NOTA]),COLUMN(NOTA[TGL.NOTA]))&amp;":"&amp;ADDRESS(ROW(),COLUMN(NOTA[TGL.NOTA]))),-1)))</f>
        <v/>
      </c>
      <c r="AK426" s="26" t="str">
        <f ca="1">IF(NOTA[[#This Row],[ID_H]]="","",INDEX(NOTA[NO.NOTA],MATCH(NOTA[[#This Row],[ID_H]],NOTA[ID_H],0)))</f>
        <v/>
      </c>
      <c r="AL426" s="28" t="str">
        <f ca="1">IF(NOTA[[#This Row],[NAMA BARANG]]="","",INDEX(NOTA[SUPPLIER],MATCH(,INDIRECT(ADDRESS(ROW(NOTA[ID]),COLUMN(NOTA[ID]))&amp;":"&amp;ADDRESS(ROW(),COLUMN(NOTA[ID]))),-1)))</f>
        <v/>
      </c>
      <c r="AM426" s="28" t="str">
        <f ca="1">IF(NOTA[[#This Row],[ID_H]]="","",IF(NOTA[[#This Row],[FAKTUR]]="",INDIRECT(ADDRESS(ROW()-1,COLUMN())),NOTA[[#This Row],[FAKTUR]]))</f>
        <v/>
      </c>
      <c r="AN426" s="25" t="str">
        <f ca="1">IF(NOTA[[#This Row],[ID]]="","",COUNTIF(NOTA[ID_H],NOTA[[#This Row],[ID_H]]))</f>
        <v/>
      </c>
      <c r="AO426" s="25" t="str">
        <f ca="1">IF(NOTA[[#This Row],[TGL.NOTA]]="",IF(NOTA[[#This Row],[SUPPLIER_H]]="","",AO425),MONTH(NOTA[[#This Row],[TGL.NOTA]]))</f>
        <v/>
      </c>
      <c r="AP4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6" s="25"/>
      <c r="AU426" s="25" t="str">
        <f>IF(NOTA[[#This Row],[CONCAT1]]="","",MATCH(NOTA[[#This Row],[CONCAT1]],[3]!db[NB NOTA_C],0))</f>
        <v/>
      </c>
      <c r="AV426" s="25" t="str">
        <f>IF(NOTA[[#This Row],[QTY/ CTN]]="","",TRUE)</f>
        <v/>
      </c>
      <c r="AW426" s="25" t="str">
        <f ca="1">IF(NOTA[[#This Row],[ID_H]]="","",IF(NOTA[[#This Row],[Column3]]=TRUE,NOTA[[#This Row],[QTY/ CTN]],INDEX([3]!db[QTY/ CTN],NOTA[[#This Row],[//DB]])))</f>
        <v/>
      </c>
      <c r="AX4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6" s="25" t="str">
        <f ca="1">IF(NOTA[[#This Row],[ID_H]]="","",MATCH(NOTA[[#This Row],[NB NOTA_C_QTY]],[3]!db[NB NOTA_C_QTY+F],0))</f>
        <v/>
      </c>
      <c r="AZ426" s="38" t="str">
        <f ca="1">IF(NOTA[[#This Row],[NB NOTA_C_QTY]]="","",ROW()-2)</f>
        <v/>
      </c>
    </row>
    <row r="427" spans="1:52" ht="20.100000000000001" customHeight="1">
      <c r="A4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7" s="25" t="str">
        <f ca="1">IF(NOTA[[#This Row],[NAMA BARANG]]="","",INDEX(NOTA[ID],MATCH(,INDIRECT(ADDRESS(ROW(NOTA[ID]),COLUMN(NOTA[ID]))&amp;":"&amp;ADDRESS(ROW(),COLUMN(NOTA[ID]))),-1)))</f>
        <v/>
      </c>
      <c r="E427" s="33"/>
      <c r="H427" s="34"/>
      <c r="Q427" s="29"/>
      <c r="R427" s="35"/>
      <c r="S427" s="36"/>
      <c r="V427" s="37"/>
      <c r="W427" s="32"/>
      <c r="X427" s="37" t="str">
        <f>IF(NOTA[[#This Row],[HARGA/ CTN]]="",NOTA[[#This Row],[JUMLAH_H]],NOTA[[#This Row],[HARGA/ CTN]]*IF(NOTA[[#This Row],[C]]="",0,NOTA[[#This Row],[C]]))</f>
        <v/>
      </c>
      <c r="Y427" s="37" t="str">
        <f>IF(NOTA[[#This Row],[JUMLAH]]="","",NOTA[[#This Row],[JUMLAH]]*NOTA[[#This Row],[DISC 1]])</f>
        <v/>
      </c>
      <c r="Z427" s="37" t="str">
        <f>IF(NOTA[[#This Row],[JUMLAH]]="","",(NOTA[[#This Row],[JUMLAH]]-NOTA[[#This Row],[DISC 1-]])*NOTA[[#This Row],[DISC 2]])</f>
        <v/>
      </c>
      <c r="AA427" s="37" t="str">
        <f>IF(NOTA[[#This Row],[JUMLAH]]="","",(NOTA[[#This Row],[JUMLAH]]-NOTA[[#This Row],[DISC 1-]]-NOTA[[#This Row],[DISC 2-]])*NOTA[[#This Row],[DISC 3]])</f>
        <v/>
      </c>
      <c r="AB427" s="37" t="str">
        <f>IF(NOTA[[#This Row],[JUMLAH]]="","",NOTA[[#This Row],[DISC 1-]]+NOTA[[#This Row],[DISC 2-]]+NOTA[[#This Row],[DISC 3-]])</f>
        <v/>
      </c>
      <c r="AC427" s="37" t="str">
        <f>IF(NOTA[[#This Row],[JUMLAH]]="","",NOTA[[#This Row],[JUMLAH]]-NOTA[[#This Row],[DISC]])</f>
        <v/>
      </c>
      <c r="AD427" s="37"/>
      <c r="AE4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7" s="37" t="str">
        <f>IF(OR(NOTA[[#This Row],[QTY]]="",NOTA[[#This Row],[HARGA SATUAN]]="",),"",NOTA[[#This Row],[QTY]]*NOTA[[#This Row],[HARGA SATUAN]])</f>
        <v/>
      </c>
      <c r="AI427" s="26" t="str">
        <f ca="1">IF(NOTA[[#This Row],[ID_H]]="","",INDEX(NOTA[TANGGAL],MATCH(,INDIRECT(ADDRESS(ROW(NOTA[TANGGAL]),COLUMN(NOTA[TANGGAL]))&amp;":"&amp;ADDRESS(ROW(),COLUMN(NOTA[TANGGAL]))),-1)))</f>
        <v/>
      </c>
      <c r="AJ427" s="26" t="str">
        <f ca="1">IF(NOTA[[#This Row],[ID_H]]="","",INDEX(NOTA[TGL.NOTA],MATCH(,INDIRECT(ADDRESS(ROW(NOTA[TGL.NOTA]),COLUMN(NOTA[TGL.NOTA]))&amp;":"&amp;ADDRESS(ROW(),COLUMN(NOTA[TGL.NOTA]))),-1)))</f>
        <v/>
      </c>
      <c r="AK427" s="26" t="str">
        <f ca="1">IF(NOTA[[#This Row],[ID_H]]="","",INDEX(NOTA[NO.NOTA],MATCH(NOTA[[#This Row],[ID_H]],NOTA[ID_H],0)))</f>
        <v/>
      </c>
      <c r="AL427" s="28" t="str">
        <f ca="1">IF(NOTA[[#This Row],[NAMA BARANG]]="","",INDEX(NOTA[SUPPLIER],MATCH(,INDIRECT(ADDRESS(ROW(NOTA[ID]),COLUMN(NOTA[ID]))&amp;":"&amp;ADDRESS(ROW(),COLUMN(NOTA[ID]))),-1)))</f>
        <v/>
      </c>
      <c r="AM427" s="28" t="str">
        <f ca="1">IF(NOTA[[#This Row],[ID_H]]="","",IF(NOTA[[#This Row],[FAKTUR]]="",INDIRECT(ADDRESS(ROW()-1,COLUMN())),NOTA[[#This Row],[FAKTUR]]))</f>
        <v/>
      </c>
      <c r="AN427" s="25" t="str">
        <f ca="1">IF(NOTA[[#This Row],[ID]]="","",COUNTIF(NOTA[ID_H],NOTA[[#This Row],[ID_H]]))</f>
        <v/>
      </c>
      <c r="AO427" s="25" t="str">
        <f ca="1">IF(NOTA[[#This Row],[TGL.NOTA]]="",IF(NOTA[[#This Row],[SUPPLIER_H]]="","",AO426),MONTH(NOTA[[#This Row],[TGL.NOTA]]))</f>
        <v/>
      </c>
      <c r="AP4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7" s="25"/>
      <c r="AU427" s="25" t="str">
        <f>IF(NOTA[[#This Row],[CONCAT1]]="","",MATCH(NOTA[[#This Row],[CONCAT1]],[3]!db[NB NOTA_C],0))</f>
        <v/>
      </c>
      <c r="AV427" s="25" t="str">
        <f>IF(NOTA[[#This Row],[QTY/ CTN]]="","",TRUE)</f>
        <v/>
      </c>
      <c r="AW427" s="25" t="str">
        <f ca="1">IF(NOTA[[#This Row],[ID_H]]="","",IF(NOTA[[#This Row],[Column3]]=TRUE,NOTA[[#This Row],[QTY/ CTN]],INDEX([3]!db[QTY/ CTN],NOTA[[#This Row],[//DB]])))</f>
        <v/>
      </c>
      <c r="AX4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7" s="25" t="str">
        <f ca="1">IF(NOTA[[#This Row],[ID_H]]="","",MATCH(NOTA[[#This Row],[NB NOTA_C_QTY]],[3]!db[NB NOTA_C_QTY+F],0))</f>
        <v/>
      </c>
      <c r="AZ427" s="38" t="str">
        <f ca="1">IF(NOTA[[#This Row],[NB NOTA_C_QTY]]="","",ROW()-2)</f>
        <v/>
      </c>
    </row>
    <row r="428" spans="1:52" ht="20.100000000000001" customHeight="1">
      <c r="A4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8" s="25" t="str">
        <f ca="1">IF(NOTA[[#This Row],[NAMA BARANG]]="","",INDEX(NOTA[ID],MATCH(,INDIRECT(ADDRESS(ROW(NOTA[ID]),COLUMN(NOTA[ID]))&amp;":"&amp;ADDRESS(ROW(),COLUMN(NOTA[ID]))),-1)))</f>
        <v/>
      </c>
      <c r="E428" s="33"/>
      <c r="H428" s="34"/>
      <c r="Q428" s="29"/>
      <c r="R428" s="35"/>
      <c r="S428" s="36"/>
      <c r="V428" s="37"/>
      <c r="W428" s="32"/>
      <c r="X428" s="37" t="str">
        <f>IF(NOTA[[#This Row],[HARGA/ CTN]]="",NOTA[[#This Row],[JUMLAH_H]],NOTA[[#This Row],[HARGA/ CTN]]*IF(NOTA[[#This Row],[C]]="",0,NOTA[[#This Row],[C]]))</f>
        <v/>
      </c>
      <c r="Y428" s="37" t="str">
        <f>IF(NOTA[[#This Row],[JUMLAH]]="","",NOTA[[#This Row],[JUMLAH]]*NOTA[[#This Row],[DISC 1]])</f>
        <v/>
      </c>
      <c r="Z428" s="37" t="str">
        <f>IF(NOTA[[#This Row],[JUMLAH]]="","",(NOTA[[#This Row],[JUMLAH]]-NOTA[[#This Row],[DISC 1-]])*NOTA[[#This Row],[DISC 2]])</f>
        <v/>
      </c>
      <c r="AA428" s="37" t="str">
        <f>IF(NOTA[[#This Row],[JUMLAH]]="","",(NOTA[[#This Row],[JUMLAH]]-NOTA[[#This Row],[DISC 1-]]-NOTA[[#This Row],[DISC 2-]])*NOTA[[#This Row],[DISC 3]])</f>
        <v/>
      </c>
      <c r="AB428" s="37" t="str">
        <f>IF(NOTA[[#This Row],[JUMLAH]]="","",NOTA[[#This Row],[DISC 1-]]+NOTA[[#This Row],[DISC 2-]]+NOTA[[#This Row],[DISC 3-]])</f>
        <v/>
      </c>
      <c r="AC428" s="37" t="str">
        <f>IF(NOTA[[#This Row],[JUMLAH]]="","",NOTA[[#This Row],[JUMLAH]]-NOTA[[#This Row],[DISC]])</f>
        <v/>
      </c>
      <c r="AD428" s="37"/>
      <c r="AE4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8" s="37" t="str">
        <f>IF(OR(NOTA[[#This Row],[QTY]]="",NOTA[[#This Row],[HARGA SATUAN]]="",),"",NOTA[[#This Row],[QTY]]*NOTA[[#This Row],[HARGA SATUAN]])</f>
        <v/>
      </c>
      <c r="AI428" s="26" t="str">
        <f ca="1">IF(NOTA[[#This Row],[ID_H]]="","",INDEX(NOTA[TANGGAL],MATCH(,INDIRECT(ADDRESS(ROW(NOTA[TANGGAL]),COLUMN(NOTA[TANGGAL]))&amp;":"&amp;ADDRESS(ROW(),COLUMN(NOTA[TANGGAL]))),-1)))</f>
        <v/>
      </c>
      <c r="AJ428" s="26" t="str">
        <f ca="1">IF(NOTA[[#This Row],[ID_H]]="","",INDEX(NOTA[TGL.NOTA],MATCH(,INDIRECT(ADDRESS(ROW(NOTA[TGL.NOTA]),COLUMN(NOTA[TGL.NOTA]))&amp;":"&amp;ADDRESS(ROW(),COLUMN(NOTA[TGL.NOTA]))),-1)))</f>
        <v/>
      </c>
      <c r="AK428" s="26" t="str">
        <f ca="1">IF(NOTA[[#This Row],[ID_H]]="","",INDEX(NOTA[NO.NOTA],MATCH(NOTA[[#This Row],[ID_H]],NOTA[ID_H],0)))</f>
        <v/>
      </c>
      <c r="AL428" s="28" t="str">
        <f ca="1">IF(NOTA[[#This Row],[NAMA BARANG]]="","",INDEX(NOTA[SUPPLIER],MATCH(,INDIRECT(ADDRESS(ROW(NOTA[ID]),COLUMN(NOTA[ID]))&amp;":"&amp;ADDRESS(ROW(),COLUMN(NOTA[ID]))),-1)))</f>
        <v/>
      </c>
      <c r="AM428" s="28" t="str">
        <f ca="1">IF(NOTA[[#This Row],[ID_H]]="","",IF(NOTA[[#This Row],[FAKTUR]]="",INDIRECT(ADDRESS(ROW()-1,COLUMN())),NOTA[[#This Row],[FAKTUR]]))</f>
        <v/>
      </c>
      <c r="AN428" s="25" t="str">
        <f ca="1">IF(NOTA[[#This Row],[ID]]="","",COUNTIF(NOTA[ID_H],NOTA[[#This Row],[ID_H]]))</f>
        <v/>
      </c>
      <c r="AO428" s="25" t="str">
        <f ca="1">IF(NOTA[[#This Row],[TGL.NOTA]]="",IF(NOTA[[#This Row],[SUPPLIER_H]]="","",AO427),MONTH(NOTA[[#This Row],[TGL.NOTA]]))</f>
        <v/>
      </c>
      <c r="AP4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8" s="25"/>
      <c r="AU428" s="25" t="str">
        <f>IF(NOTA[[#This Row],[CONCAT1]]="","",MATCH(NOTA[[#This Row],[CONCAT1]],[3]!db[NB NOTA_C],0))</f>
        <v/>
      </c>
      <c r="AV428" s="25" t="str">
        <f>IF(NOTA[[#This Row],[QTY/ CTN]]="","",TRUE)</f>
        <v/>
      </c>
      <c r="AW428" s="25" t="str">
        <f ca="1">IF(NOTA[[#This Row],[ID_H]]="","",IF(NOTA[[#This Row],[Column3]]=TRUE,NOTA[[#This Row],[QTY/ CTN]],INDEX([3]!db[QTY/ CTN],NOTA[[#This Row],[//DB]])))</f>
        <v/>
      </c>
      <c r="AX4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8" s="25" t="str">
        <f ca="1">IF(NOTA[[#This Row],[ID_H]]="","",MATCH(NOTA[[#This Row],[NB NOTA_C_QTY]],[3]!db[NB NOTA_C_QTY+F],0))</f>
        <v/>
      </c>
      <c r="AZ428" s="38" t="str">
        <f ca="1">IF(NOTA[[#This Row],[NB NOTA_C_QTY]]="","",ROW()-2)</f>
        <v/>
      </c>
    </row>
    <row r="429" spans="1:52" ht="20.100000000000001" customHeight="1">
      <c r="A4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9" s="25" t="str">
        <f ca="1">IF(NOTA[[#This Row],[NAMA BARANG]]="","",INDEX(NOTA[ID],MATCH(,INDIRECT(ADDRESS(ROW(NOTA[ID]),COLUMN(NOTA[ID]))&amp;":"&amp;ADDRESS(ROW(),COLUMN(NOTA[ID]))),-1)))</f>
        <v/>
      </c>
      <c r="E429" s="33"/>
      <c r="H429" s="34"/>
      <c r="Q429" s="29"/>
      <c r="R429" s="35"/>
      <c r="S429" s="36"/>
      <c r="V429" s="37"/>
      <c r="W429" s="32"/>
      <c r="X429" s="37" t="str">
        <f>IF(NOTA[[#This Row],[HARGA/ CTN]]="",NOTA[[#This Row],[JUMLAH_H]],NOTA[[#This Row],[HARGA/ CTN]]*IF(NOTA[[#This Row],[C]]="",0,NOTA[[#This Row],[C]]))</f>
        <v/>
      </c>
      <c r="Y429" s="37" t="str">
        <f>IF(NOTA[[#This Row],[JUMLAH]]="","",NOTA[[#This Row],[JUMLAH]]*NOTA[[#This Row],[DISC 1]])</f>
        <v/>
      </c>
      <c r="Z429" s="37" t="str">
        <f>IF(NOTA[[#This Row],[JUMLAH]]="","",(NOTA[[#This Row],[JUMLAH]]-NOTA[[#This Row],[DISC 1-]])*NOTA[[#This Row],[DISC 2]])</f>
        <v/>
      </c>
      <c r="AA429" s="37" t="str">
        <f>IF(NOTA[[#This Row],[JUMLAH]]="","",(NOTA[[#This Row],[JUMLAH]]-NOTA[[#This Row],[DISC 1-]]-NOTA[[#This Row],[DISC 2-]])*NOTA[[#This Row],[DISC 3]])</f>
        <v/>
      </c>
      <c r="AB429" s="37" t="str">
        <f>IF(NOTA[[#This Row],[JUMLAH]]="","",NOTA[[#This Row],[DISC 1-]]+NOTA[[#This Row],[DISC 2-]]+NOTA[[#This Row],[DISC 3-]])</f>
        <v/>
      </c>
      <c r="AC429" s="37" t="str">
        <f>IF(NOTA[[#This Row],[JUMLAH]]="","",NOTA[[#This Row],[JUMLAH]]-NOTA[[#This Row],[DISC]])</f>
        <v/>
      </c>
      <c r="AD429" s="37"/>
      <c r="AE4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9" s="37" t="str">
        <f>IF(OR(NOTA[[#This Row],[QTY]]="",NOTA[[#This Row],[HARGA SATUAN]]="",),"",NOTA[[#This Row],[QTY]]*NOTA[[#This Row],[HARGA SATUAN]])</f>
        <v/>
      </c>
      <c r="AI429" s="26" t="str">
        <f ca="1">IF(NOTA[[#This Row],[ID_H]]="","",INDEX(NOTA[TANGGAL],MATCH(,INDIRECT(ADDRESS(ROW(NOTA[TANGGAL]),COLUMN(NOTA[TANGGAL]))&amp;":"&amp;ADDRESS(ROW(),COLUMN(NOTA[TANGGAL]))),-1)))</f>
        <v/>
      </c>
      <c r="AJ429" s="26" t="str">
        <f ca="1">IF(NOTA[[#This Row],[ID_H]]="","",INDEX(NOTA[TGL.NOTA],MATCH(,INDIRECT(ADDRESS(ROW(NOTA[TGL.NOTA]),COLUMN(NOTA[TGL.NOTA]))&amp;":"&amp;ADDRESS(ROW(),COLUMN(NOTA[TGL.NOTA]))),-1)))</f>
        <v/>
      </c>
      <c r="AK429" s="26" t="str">
        <f ca="1">IF(NOTA[[#This Row],[ID_H]]="","",INDEX(NOTA[NO.NOTA],MATCH(NOTA[[#This Row],[ID_H]],NOTA[ID_H],0)))</f>
        <v/>
      </c>
      <c r="AL429" s="28" t="str">
        <f ca="1">IF(NOTA[[#This Row],[NAMA BARANG]]="","",INDEX(NOTA[SUPPLIER],MATCH(,INDIRECT(ADDRESS(ROW(NOTA[ID]),COLUMN(NOTA[ID]))&amp;":"&amp;ADDRESS(ROW(),COLUMN(NOTA[ID]))),-1)))</f>
        <v/>
      </c>
      <c r="AM429" s="28" t="str">
        <f ca="1">IF(NOTA[[#This Row],[ID_H]]="","",IF(NOTA[[#This Row],[FAKTUR]]="",INDIRECT(ADDRESS(ROW()-1,COLUMN())),NOTA[[#This Row],[FAKTUR]]))</f>
        <v/>
      </c>
      <c r="AN429" s="25" t="str">
        <f ca="1">IF(NOTA[[#This Row],[ID]]="","",COUNTIF(NOTA[ID_H],NOTA[[#This Row],[ID_H]]))</f>
        <v/>
      </c>
      <c r="AO429" s="25" t="str">
        <f ca="1">IF(NOTA[[#This Row],[TGL.NOTA]]="",IF(NOTA[[#This Row],[SUPPLIER_H]]="","",AO428),MONTH(NOTA[[#This Row],[TGL.NOTA]]))</f>
        <v/>
      </c>
      <c r="AP4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9" s="25"/>
      <c r="AU429" s="25" t="str">
        <f>IF(NOTA[[#This Row],[CONCAT1]]="","",MATCH(NOTA[[#This Row],[CONCAT1]],[3]!db[NB NOTA_C],0))</f>
        <v/>
      </c>
      <c r="AV429" s="25" t="str">
        <f>IF(NOTA[[#This Row],[QTY/ CTN]]="","",TRUE)</f>
        <v/>
      </c>
      <c r="AW429" s="25" t="str">
        <f ca="1">IF(NOTA[[#This Row],[ID_H]]="","",IF(NOTA[[#This Row],[Column3]]=TRUE,NOTA[[#This Row],[QTY/ CTN]],INDEX([3]!db[QTY/ CTN],NOTA[[#This Row],[//DB]])))</f>
        <v/>
      </c>
      <c r="AX4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9" s="25" t="str">
        <f ca="1">IF(NOTA[[#This Row],[ID_H]]="","",MATCH(NOTA[[#This Row],[NB NOTA_C_QTY]],[3]!db[NB NOTA_C_QTY+F],0))</f>
        <v/>
      </c>
      <c r="AZ429" s="38" t="str">
        <f ca="1">IF(NOTA[[#This Row],[NB NOTA_C_QTY]]="","",ROW()-2)</f>
        <v/>
      </c>
    </row>
    <row r="430" spans="1:52" ht="20.100000000000001" customHeight="1">
      <c r="A4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0" s="25" t="str">
        <f ca="1">IF(NOTA[[#This Row],[NAMA BARANG]]="","",INDEX(NOTA[ID],MATCH(,INDIRECT(ADDRESS(ROW(NOTA[ID]),COLUMN(NOTA[ID]))&amp;":"&amp;ADDRESS(ROW(),COLUMN(NOTA[ID]))),-1)))</f>
        <v/>
      </c>
      <c r="E430" s="33"/>
      <c r="H430" s="34"/>
      <c r="Q430" s="29"/>
      <c r="R430" s="35"/>
      <c r="S430" s="36"/>
      <c r="V430" s="37"/>
      <c r="W430" s="32"/>
      <c r="X430" s="37" t="str">
        <f>IF(NOTA[[#This Row],[HARGA/ CTN]]="",NOTA[[#This Row],[JUMLAH_H]],NOTA[[#This Row],[HARGA/ CTN]]*IF(NOTA[[#This Row],[C]]="",0,NOTA[[#This Row],[C]]))</f>
        <v/>
      </c>
      <c r="Y430" s="37" t="str">
        <f>IF(NOTA[[#This Row],[JUMLAH]]="","",NOTA[[#This Row],[JUMLAH]]*NOTA[[#This Row],[DISC 1]])</f>
        <v/>
      </c>
      <c r="Z430" s="37" t="str">
        <f>IF(NOTA[[#This Row],[JUMLAH]]="","",(NOTA[[#This Row],[JUMLAH]]-NOTA[[#This Row],[DISC 1-]])*NOTA[[#This Row],[DISC 2]])</f>
        <v/>
      </c>
      <c r="AA430" s="37" t="str">
        <f>IF(NOTA[[#This Row],[JUMLAH]]="","",(NOTA[[#This Row],[JUMLAH]]-NOTA[[#This Row],[DISC 1-]]-NOTA[[#This Row],[DISC 2-]])*NOTA[[#This Row],[DISC 3]])</f>
        <v/>
      </c>
      <c r="AB430" s="37" t="str">
        <f>IF(NOTA[[#This Row],[JUMLAH]]="","",NOTA[[#This Row],[DISC 1-]]+NOTA[[#This Row],[DISC 2-]]+NOTA[[#This Row],[DISC 3-]])</f>
        <v/>
      </c>
      <c r="AC430" s="37" t="str">
        <f>IF(NOTA[[#This Row],[JUMLAH]]="","",NOTA[[#This Row],[JUMLAH]]-NOTA[[#This Row],[DISC]])</f>
        <v/>
      </c>
      <c r="AD430" s="37"/>
      <c r="AE4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0" s="37" t="str">
        <f>IF(OR(NOTA[[#This Row],[QTY]]="",NOTA[[#This Row],[HARGA SATUAN]]="",),"",NOTA[[#This Row],[QTY]]*NOTA[[#This Row],[HARGA SATUAN]])</f>
        <v/>
      </c>
      <c r="AI430" s="26" t="str">
        <f ca="1">IF(NOTA[[#This Row],[ID_H]]="","",INDEX(NOTA[TANGGAL],MATCH(,INDIRECT(ADDRESS(ROW(NOTA[TANGGAL]),COLUMN(NOTA[TANGGAL]))&amp;":"&amp;ADDRESS(ROW(),COLUMN(NOTA[TANGGAL]))),-1)))</f>
        <v/>
      </c>
      <c r="AJ430" s="26" t="str">
        <f ca="1">IF(NOTA[[#This Row],[ID_H]]="","",INDEX(NOTA[TGL.NOTA],MATCH(,INDIRECT(ADDRESS(ROW(NOTA[TGL.NOTA]),COLUMN(NOTA[TGL.NOTA]))&amp;":"&amp;ADDRESS(ROW(),COLUMN(NOTA[TGL.NOTA]))),-1)))</f>
        <v/>
      </c>
      <c r="AK430" s="26" t="str">
        <f ca="1">IF(NOTA[[#This Row],[ID_H]]="","",INDEX(NOTA[NO.NOTA],MATCH(NOTA[[#This Row],[ID_H]],NOTA[ID_H],0)))</f>
        <v/>
      </c>
      <c r="AL430" s="28" t="str">
        <f ca="1">IF(NOTA[[#This Row],[NAMA BARANG]]="","",INDEX(NOTA[SUPPLIER],MATCH(,INDIRECT(ADDRESS(ROW(NOTA[ID]),COLUMN(NOTA[ID]))&amp;":"&amp;ADDRESS(ROW(),COLUMN(NOTA[ID]))),-1)))</f>
        <v/>
      </c>
      <c r="AM430" s="28" t="str">
        <f ca="1">IF(NOTA[[#This Row],[ID_H]]="","",IF(NOTA[[#This Row],[FAKTUR]]="",INDIRECT(ADDRESS(ROW()-1,COLUMN())),NOTA[[#This Row],[FAKTUR]]))</f>
        <v/>
      </c>
      <c r="AN430" s="25" t="str">
        <f ca="1">IF(NOTA[[#This Row],[ID]]="","",COUNTIF(NOTA[ID_H],NOTA[[#This Row],[ID_H]]))</f>
        <v/>
      </c>
      <c r="AO430" s="25" t="str">
        <f ca="1">IF(NOTA[[#This Row],[TGL.NOTA]]="",IF(NOTA[[#This Row],[SUPPLIER_H]]="","",AO429),MONTH(NOTA[[#This Row],[TGL.NOTA]]))</f>
        <v/>
      </c>
      <c r="AP4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0" s="25"/>
      <c r="AU430" s="25" t="str">
        <f>IF(NOTA[[#This Row],[CONCAT1]]="","",MATCH(NOTA[[#This Row],[CONCAT1]],[3]!db[NB NOTA_C],0))</f>
        <v/>
      </c>
      <c r="AV430" s="25" t="str">
        <f>IF(NOTA[[#This Row],[QTY/ CTN]]="","",TRUE)</f>
        <v/>
      </c>
      <c r="AW430" s="25" t="str">
        <f ca="1">IF(NOTA[[#This Row],[ID_H]]="","",IF(NOTA[[#This Row],[Column3]]=TRUE,NOTA[[#This Row],[QTY/ CTN]],INDEX([3]!db[QTY/ CTN],NOTA[[#This Row],[//DB]])))</f>
        <v/>
      </c>
      <c r="AX4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0" s="25" t="str">
        <f ca="1">IF(NOTA[[#This Row],[ID_H]]="","",MATCH(NOTA[[#This Row],[NB NOTA_C_QTY]],[3]!db[NB NOTA_C_QTY+F],0))</f>
        <v/>
      </c>
      <c r="AZ430" s="38" t="str">
        <f ca="1">IF(NOTA[[#This Row],[NB NOTA_C_QTY]]="","",ROW()-2)</f>
        <v/>
      </c>
    </row>
    <row r="431" spans="1:52" ht="20.100000000000001" customHeight="1">
      <c r="A4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1" s="25" t="str">
        <f ca="1">IF(NOTA[[#This Row],[NAMA BARANG]]="","",INDEX(NOTA[ID],MATCH(,INDIRECT(ADDRESS(ROW(NOTA[ID]),COLUMN(NOTA[ID]))&amp;":"&amp;ADDRESS(ROW(),COLUMN(NOTA[ID]))),-1)))</f>
        <v/>
      </c>
      <c r="E431" s="33"/>
      <c r="H431" s="34"/>
      <c r="Q431" s="29"/>
      <c r="R431" s="35"/>
      <c r="S431" s="36"/>
      <c r="V431" s="37"/>
      <c r="W431" s="32"/>
      <c r="X431" s="37" t="str">
        <f>IF(NOTA[[#This Row],[HARGA/ CTN]]="",NOTA[[#This Row],[JUMLAH_H]],NOTA[[#This Row],[HARGA/ CTN]]*IF(NOTA[[#This Row],[C]]="",0,NOTA[[#This Row],[C]]))</f>
        <v/>
      </c>
      <c r="Y431" s="37" t="str">
        <f>IF(NOTA[[#This Row],[JUMLAH]]="","",NOTA[[#This Row],[JUMLAH]]*NOTA[[#This Row],[DISC 1]])</f>
        <v/>
      </c>
      <c r="Z431" s="37" t="str">
        <f>IF(NOTA[[#This Row],[JUMLAH]]="","",(NOTA[[#This Row],[JUMLAH]]-NOTA[[#This Row],[DISC 1-]])*NOTA[[#This Row],[DISC 2]])</f>
        <v/>
      </c>
      <c r="AA431" s="37" t="str">
        <f>IF(NOTA[[#This Row],[JUMLAH]]="","",(NOTA[[#This Row],[JUMLAH]]-NOTA[[#This Row],[DISC 1-]]-NOTA[[#This Row],[DISC 2-]])*NOTA[[#This Row],[DISC 3]])</f>
        <v/>
      </c>
      <c r="AB431" s="37" t="str">
        <f>IF(NOTA[[#This Row],[JUMLAH]]="","",NOTA[[#This Row],[DISC 1-]]+NOTA[[#This Row],[DISC 2-]]+NOTA[[#This Row],[DISC 3-]])</f>
        <v/>
      </c>
      <c r="AC431" s="37" t="str">
        <f>IF(NOTA[[#This Row],[JUMLAH]]="","",NOTA[[#This Row],[JUMLAH]]-NOTA[[#This Row],[DISC]])</f>
        <v/>
      </c>
      <c r="AD431" s="37"/>
      <c r="AE4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1" s="37" t="str">
        <f>IF(OR(NOTA[[#This Row],[QTY]]="",NOTA[[#This Row],[HARGA SATUAN]]="",),"",NOTA[[#This Row],[QTY]]*NOTA[[#This Row],[HARGA SATUAN]])</f>
        <v/>
      </c>
      <c r="AI431" s="26" t="str">
        <f ca="1">IF(NOTA[[#This Row],[ID_H]]="","",INDEX(NOTA[TANGGAL],MATCH(,INDIRECT(ADDRESS(ROW(NOTA[TANGGAL]),COLUMN(NOTA[TANGGAL]))&amp;":"&amp;ADDRESS(ROW(),COLUMN(NOTA[TANGGAL]))),-1)))</f>
        <v/>
      </c>
      <c r="AJ431" s="26" t="str">
        <f ca="1">IF(NOTA[[#This Row],[ID_H]]="","",INDEX(NOTA[TGL.NOTA],MATCH(,INDIRECT(ADDRESS(ROW(NOTA[TGL.NOTA]),COLUMN(NOTA[TGL.NOTA]))&amp;":"&amp;ADDRESS(ROW(),COLUMN(NOTA[TGL.NOTA]))),-1)))</f>
        <v/>
      </c>
      <c r="AK431" s="26" t="str">
        <f ca="1">IF(NOTA[[#This Row],[ID_H]]="","",INDEX(NOTA[NO.NOTA],MATCH(NOTA[[#This Row],[ID_H]],NOTA[ID_H],0)))</f>
        <v/>
      </c>
      <c r="AL431" s="28" t="str">
        <f ca="1">IF(NOTA[[#This Row],[NAMA BARANG]]="","",INDEX(NOTA[SUPPLIER],MATCH(,INDIRECT(ADDRESS(ROW(NOTA[ID]),COLUMN(NOTA[ID]))&amp;":"&amp;ADDRESS(ROW(),COLUMN(NOTA[ID]))),-1)))</f>
        <v/>
      </c>
      <c r="AM431" s="28" t="str">
        <f ca="1">IF(NOTA[[#This Row],[ID_H]]="","",IF(NOTA[[#This Row],[FAKTUR]]="",INDIRECT(ADDRESS(ROW()-1,COLUMN())),NOTA[[#This Row],[FAKTUR]]))</f>
        <v/>
      </c>
      <c r="AN431" s="25" t="str">
        <f ca="1">IF(NOTA[[#This Row],[ID]]="","",COUNTIF(NOTA[ID_H],NOTA[[#This Row],[ID_H]]))</f>
        <v/>
      </c>
      <c r="AO431" s="25" t="str">
        <f ca="1">IF(NOTA[[#This Row],[TGL.NOTA]]="",IF(NOTA[[#This Row],[SUPPLIER_H]]="","",AO430),MONTH(NOTA[[#This Row],[TGL.NOTA]]))</f>
        <v/>
      </c>
      <c r="AP4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1" s="25"/>
      <c r="AU431" s="25" t="str">
        <f>IF(NOTA[[#This Row],[CONCAT1]]="","",MATCH(NOTA[[#This Row],[CONCAT1]],[3]!db[NB NOTA_C],0))</f>
        <v/>
      </c>
      <c r="AV431" s="25" t="str">
        <f>IF(NOTA[[#This Row],[QTY/ CTN]]="","",TRUE)</f>
        <v/>
      </c>
      <c r="AW431" s="25" t="str">
        <f ca="1">IF(NOTA[[#This Row],[ID_H]]="","",IF(NOTA[[#This Row],[Column3]]=TRUE,NOTA[[#This Row],[QTY/ CTN]],INDEX([3]!db[QTY/ CTN],NOTA[[#This Row],[//DB]])))</f>
        <v/>
      </c>
      <c r="AX4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1" s="25" t="str">
        <f ca="1">IF(NOTA[[#This Row],[ID_H]]="","",MATCH(NOTA[[#This Row],[NB NOTA_C_QTY]],[3]!db[NB NOTA_C_QTY+F],0))</f>
        <v/>
      </c>
      <c r="AZ431" s="38" t="str">
        <f ca="1">IF(NOTA[[#This Row],[NB NOTA_C_QTY]]="","",ROW()-2)</f>
        <v/>
      </c>
    </row>
    <row r="432" spans="1:52" ht="20.100000000000001" customHeight="1">
      <c r="A4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2" s="25" t="str">
        <f ca="1">IF(NOTA[[#This Row],[NAMA BARANG]]="","",INDEX(NOTA[ID],MATCH(,INDIRECT(ADDRESS(ROW(NOTA[ID]),COLUMN(NOTA[ID]))&amp;":"&amp;ADDRESS(ROW(),COLUMN(NOTA[ID]))),-1)))</f>
        <v/>
      </c>
      <c r="E432" s="33"/>
      <c r="H432" s="34"/>
      <c r="Q432" s="29"/>
      <c r="R432" s="35"/>
      <c r="S432" s="36"/>
      <c r="V432" s="37"/>
      <c r="W432" s="32"/>
      <c r="X432" s="37" t="str">
        <f>IF(NOTA[[#This Row],[HARGA/ CTN]]="",NOTA[[#This Row],[JUMLAH_H]],NOTA[[#This Row],[HARGA/ CTN]]*IF(NOTA[[#This Row],[C]]="",0,NOTA[[#This Row],[C]]))</f>
        <v/>
      </c>
      <c r="Y432" s="37" t="str">
        <f>IF(NOTA[[#This Row],[JUMLAH]]="","",NOTA[[#This Row],[JUMLAH]]*NOTA[[#This Row],[DISC 1]])</f>
        <v/>
      </c>
      <c r="Z432" s="37" t="str">
        <f>IF(NOTA[[#This Row],[JUMLAH]]="","",(NOTA[[#This Row],[JUMLAH]]-NOTA[[#This Row],[DISC 1-]])*NOTA[[#This Row],[DISC 2]])</f>
        <v/>
      </c>
      <c r="AA432" s="37" t="str">
        <f>IF(NOTA[[#This Row],[JUMLAH]]="","",(NOTA[[#This Row],[JUMLAH]]-NOTA[[#This Row],[DISC 1-]]-NOTA[[#This Row],[DISC 2-]])*NOTA[[#This Row],[DISC 3]])</f>
        <v/>
      </c>
      <c r="AB432" s="37" t="str">
        <f>IF(NOTA[[#This Row],[JUMLAH]]="","",NOTA[[#This Row],[DISC 1-]]+NOTA[[#This Row],[DISC 2-]]+NOTA[[#This Row],[DISC 3-]])</f>
        <v/>
      </c>
      <c r="AC432" s="37" t="str">
        <f>IF(NOTA[[#This Row],[JUMLAH]]="","",NOTA[[#This Row],[JUMLAH]]-NOTA[[#This Row],[DISC]])</f>
        <v/>
      </c>
      <c r="AD432" s="37"/>
      <c r="AE4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2" s="37" t="str">
        <f>IF(OR(NOTA[[#This Row],[QTY]]="",NOTA[[#This Row],[HARGA SATUAN]]="",),"",NOTA[[#This Row],[QTY]]*NOTA[[#This Row],[HARGA SATUAN]])</f>
        <v/>
      </c>
      <c r="AI432" s="26" t="str">
        <f ca="1">IF(NOTA[[#This Row],[ID_H]]="","",INDEX(NOTA[TANGGAL],MATCH(,INDIRECT(ADDRESS(ROW(NOTA[TANGGAL]),COLUMN(NOTA[TANGGAL]))&amp;":"&amp;ADDRESS(ROW(),COLUMN(NOTA[TANGGAL]))),-1)))</f>
        <v/>
      </c>
      <c r="AJ432" s="26" t="str">
        <f ca="1">IF(NOTA[[#This Row],[ID_H]]="","",INDEX(NOTA[TGL.NOTA],MATCH(,INDIRECT(ADDRESS(ROW(NOTA[TGL.NOTA]),COLUMN(NOTA[TGL.NOTA]))&amp;":"&amp;ADDRESS(ROW(),COLUMN(NOTA[TGL.NOTA]))),-1)))</f>
        <v/>
      </c>
      <c r="AK432" s="26" t="str">
        <f ca="1">IF(NOTA[[#This Row],[ID_H]]="","",INDEX(NOTA[NO.NOTA],MATCH(NOTA[[#This Row],[ID_H]],NOTA[ID_H],0)))</f>
        <v/>
      </c>
      <c r="AL432" s="28" t="str">
        <f ca="1">IF(NOTA[[#This Row],[NAMA BARANG]]="","",INDEX(NOTA[SUPPLIER],MATCH(,INDIRECT(ADDRESS(ROW(NOTA[ID]),COLUMN(NOTA[ID]))&amp;":"&amp;ADDRESS(ROW(),COLUMN(NOTA[ID]))),-1)))</f>
        <v/>
      </c>
      <c r="AM432" s="28" t="str">
        <f ca="1">IF(NOTA[[#This Row],[ID_H]]="","",IF(NOTA[[#This Row],[FAKTUR]]="",INDIRECT(ADDRESS(ROW()-1,COLUMN())),NOTA[[#This Row],[FAKTUR]]))</f>
        <v/>
      </c>
      <c r="AN432" s="25" t="str">
        <f ca="1">IF(NOTA[[#This Row],[ID]]="","",COUNTIF(NOTA[ID_H],NOTA[[#This Row],[ID_H]]))</f>
        <v/>
      </c>
      <c r="AO432" s="25" t="str">
        <f ca="1">IF(NOTA[[#This Row],[TGL.NOTA]]="",IF(NOTA[[#This Row],[SUPPLIER_H]]="","",AO431),MONTH(NOTA[[#This Row],[TGL.NOTA]]))</f>
        <v/>
      </c>
      <c r="AP4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2" s="25"/>
      <c r="AU432" s="25" t="str">
        <f>IF(NOTA[[#This Row],[CONCAT1]]="","",MATCH(NOTA[[#This Row],[CONCAT1]],[3]!db[NB NOTA_C],0))</f>
        <v/>
      </c>
      <c r="AV432" s="25" t="str">
        <f>IF(NOTA[[#This Row],[QTY/ CTN]]="","",TRUE)</f>
        <v/>
      </c>
      <c r="AW432" s="25" t="str">
        <f ca="1">IF(NOTA[[#This Row],[ID_H]]="","",IF(NOTA[[#This Row],[Column3]]=TRUE,NOTA[[#This Row],[QTY/ CTN]],INDEX([3]!db[QTY/ CTN],NOTA[[#This Row],[//DB]])))</f>
        <v/>
      </c>
      <c r="AX4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2" s="25" t="str">
        <f ca="1">IF(NOTA[[#This Row],[ID_H]]="","",MATCH(NOTA[[#This Row],[NB NOTA_C_QTY]],[3]!db[NB NOTA_C_QTY+F],0))</f>
        <v/>
      </c>
      <c r="AZ432" s="38" t="str">
        <f ca="1">IF(NOTA[[#This Row],[NB NOTA_C_QTY]]="","",ROW()-2)</f>
        <v/>
      </c>
    </row>
    <row r="433" spans="1:52" ht="20.100000000000001" customHeight="1">
      <c r="A4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3" s="25" t="str">
        <f ca="1">IF(NOTA[[#This Row],[NAMA BARANG]]="","",INDEX(NOTA[ID],MATCH(,INDIRECT(ADDRESS(ROW(NOTA[ID]),COLUMN(NOTA[ID]))&amp;":"&amp;ADDRESS(ROW(),COLUMN(NOTA[ID]))),-1)))</f>
        <v/>
      </c>
      <c r="E433" s="33"/>
      <c r="H433" s="34"/>
      <c r="Q433" s="29"/>
      <c r="R433" s="35"/>
      <c r="S433" s="36"/>
      <c r="V433" s="37"/>
      <c r="W433" s="32"/>
      <c r="X433" s="37" t="str">
        <f>IF(NOTA[[#This Row],[HARGA/ CTN]]="",NOTA[[#This Row],[JUMLAH_H]],NOTA[[#This Row],[HARGA/ CTN]]*IF(NOTA[[#This Row],[C]]="",0,NOTA[[#This Row],[C]]))</f>
        <v/>
      </c>
      <c r="Y433" s="37" t="str">
        <f>IF(NOTA[[#This Row],[JUMLAH]]="","",NOTA[[#This Row],[JUMLAH]]*NOTA[[#This Row],[DISC 1]])</f>
        <v/>
      </c>
      <c r="Z433" s="37" t="str">
        <f>IF(NOTA[[#This Row],[JUMLAH]]="","",(NOTA[[#This Row],[JUMLAH]]-NOTA[[#This Row],[DISC 1-]])*NOTA[[#This Row],[DISC 2]])</f>
        <v/>
      </c>
      <c r="AA433" s="37" t="str">
        <f>IF(NOTA[[#This Row],[JUMLAH]]="","",(NOTA[[#This Row],[JUMLAH]]-NOTA[[#This Row],[DISC 1-]]-NOTA[[#This Row],[DISC 2-]])*NOTA[[#This Row],[DISC 3]])</f>
        <v/>
      </c>
      <c r="AB433" s="37" t="str">
        <f>IF(NOTA[[#This Row],[JUMLAH]]="","",NOTA[[#This Row],[DISC 1-]]+NOTA[[#This Row],[DISC 2-]]+NOTA[[#This Row],[DISC 3-]])</f>
        <v/>
      </c>
      <c r="AC433" s="37" t="str">
        <f>IF(NOTA[[#This Row],[JUMLAH]]="","",NOTA[[#This Row],[JUMLAH]]-NOTA[[#This Row],[DISC]])</f>
        <v/>
      </c>
      <c r="AD433" s="37"/>
      <c r="AE4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3" s="37" t="str">
        <f>IF(OR(NOTA[[#This Row],[QTY]]="",NOTA[[#This Row],[HARGA SATUAN]]="",),"",NOTA[[#This Row],[QTY]]*NOTA[[#This Row],[HARGA SATUAN]])</f>
        <v/>
      </c>
      <c r="AI433" s="26" t="str">
        <f ca="1">IF(NOTA[[#This Row],[ID_H]]="","",INDEX(NOTA[TANGGAL],MATCH(,INDIRECT(ADDRESS(ROW(NOTA[TANGGAL]),COLUMN(NOTA[TANGGAL]))&amp;":"&amp;ADDRESS(ROW(),COLUMN(NOTA[TANGGAL]))),-1)))</f>
        <v/>
      </c>
      <c r="AJ433" s="26" t="str">
        <f ca="1">IF(NOTA[[#This Row],[ID_H]]="","",INDEX(NOTA[TGL.NOTA],MATCH(,INDIRECT(ADDRESS(ROW(NOTA[TGL.NOTA]),COLUMN(NOTA[TGL.NOTA]))&amp;":"&amp;ADDRESS(ROW(),COLUMN(NOTA[TGL.NOTA]))),-1)))</f>
        <v/>
      </c>
      <c r="AK433" s="26" t="str">
        <f ca="1">IF(NOTA[[#This Row],[ID_H]]="","",INDEX(NOTA[NO.NOTA],MATCH(NOTA[[#This Row],[ID_H]],NOTA[ID_H],0)))</f>
        <v/>
      </c>
      <c r="AL433" s="28" t="str">
        <f ca="1">IF(NOTA[[#This Row],[NAMA BARANG]]="","",INDEX(NOTA[SUPPLIER],MATCH(,INDIRECT(ADDRESS(ROW(NOTA[ID]),COLUMN(NOTA[ID]))&amp;":"&amp;ADDRESS(ROW(),COLUMN(NOTA[ID]))),-1)))</f>
        <v/>
      </c>
      <c r="AM433" s="28" t="str">
        <f ca="1">IF(NOTA[[#This Row],[ID_H]]="","",IF(NOTA[[#This Row],[FAKTUR]]="",INDIRECT(ADDRESS(ROW()-1,COLUMN())),NOTA[[#This Row],[FAKTUR]]))</f>
        <v/>
      </c>
      <c r="AN433" s="25" t="str">
        <f ca="1">IF(NOTA[[#This Row],[ID]]="","",COUNTIF(NOTA[ID_H],NOTA[[#This Row],[ID_H]]))</f>
        <v/>
      </c>
      <c r="AO433" s="25" t="str">
        <f ca="1">IF(NOTA[[#This Row],[TGL.NOTA]]="",IF(NOTA[[#This Row],[SUPPLIER_H]]="","",AO432),MONTH(NOTA[[#This Row],[TGL.NOTA]]))</f>
        <v/>
      </c>
      <c r="AP4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3" s="25"/>
      <c r="AU433" s="25" t="str">
        <f>IF(NOTA[[#This Row],[CONCAT1]]="","",MATCH(NOTA[[#This Row],[CONCAT1]],[3]!db[NB NOTA_C],0))</f>
        <v/>
      </c>
      <c r="AV433" s="25" t="str">
        <f>IF(NOTA[[#This Row],[QTY/ CTN]]="","",TRUE)</f>
        <v/>
      </c>
      <c r="AW433" s="25" t="str">
        <f ca="1">IF(NOTA[[#This Row],[ID_H]]="","",IF(NOTA[[#This Row],[Column3]]=TRUE,NOTA[[#This Row],[QTY/ CTN]],INDEX([3]!db[QTY/ CTN],NOTA[[#This Row],[//DB]])))</f>
        <v/>
      </c>
      <c r="AX4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3" s="25" t="str">
        <f ca="1">IF(NOTA[[#This Row],[ID_H]]="","",MATCH(NOTA[[#This Row],[NB NOTA_C_QTY]],[3]!db[NB NOTA_C_QTY+F],0))</f>
        <v/>
      </c>
      <c r="AZ433" s="38" t="str">
        <f ca="1">IF(NOTA[[#This Row],[NB NOTA_C_QTY]]="","",ROW()-2)</f>
        <v/>
      </c>
    </row>
    <row r="434" spans="1:52" ht="20.100000000000001" customHeight="1">
      <c r="A4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4" s="25" t="str">
        <f ca="1">IF(NOTA[[#This Row],[NAMA BARANG]]="","",INDEX(NOTA[ID],MATCH(,INDIRECT(ADDRESS(ROW(NOTA[ID]),COLUMN(NOTA[ID]))&amp;":"&amp;ADDRESS(ROW(),COLUMN(NOTA[ID]))),-1)))</f>
        <v/>
      </c>
      <c r="E434" s="33"/>
      <c r="H434" s="34"/>
      <c r="Q434" s="29"/>
      <c r="R434" s="35"/>
      <c r="S434" s="36"/>
      <c r="V434" s="37"/>
      <c r="W434" s="32"/>
      <c r="X434" s="37" t="str">
        <f>IF(NOTA[[#This Row],[HARGA/ CTN]]="",NOTA[[#This Row],[JUMLAH_H]],NOTA[[#This Row],[HARGA/ CTN]]*IF(NOTA[[#This Row],[C]]="",0,NOTA[[#This Row],[C]]))</f>
        <v/>
      </c>
      <c r="Y434" s="37" t="str">
        <f>IF(NOTA[[#This Row],[JUMLAH]]="","",NOTA[[#This Row],[JUMLAH]]*NOTA[[#This Row],[DISC 1]])</f>
        <v/>
      </c>
      <c r="Z434" s="37" t="str">
        <f>IF(NOTA[[#This Row],[JUMLAH]]="","",(NOTA[[#This Row],[JUMLAH]]-NOTA[[#This Row],[DISC 1-]])*NOTA[[#This Row],[DISC 2]])</f>
        <v/>
      </c>
      <c r="AA434" s="37" t="str">
        <f>IF(NOTA[[#This Row],[JUMLAH]]="","",(NOTA[[#This Row],[JUMLAH]]-NOTA[[#This Row],[DISC 1-]]-NOTA[[#This Row],[DISC 2-]])*NOTA[[#This Row],[DISC 3]])</f>
        <v/>
      </c>
      <c r="AB434" s="37" t="str">
        <f>IF(NOTA[[#This Row],[JUMLAH]]="","",NOTA[[#This Row],[DISC 1-]]+NOTA[[#This Row],[DISC 2-]]+NOTA[[#This Row],[DISC 3-]])</f>
        <v/>
      </c>
      <c r="AC434" s="37" t="str">
        <f>IF(NOTA[[#This Row],[JUMLAH]]="","",NOTA[[#This Row],[JUMLAH]]-NOTA[[#This Row],[DISC]])</f>
        <v/>
      </c>
      <c r="AD434" s="37"/>
      <c r="AE4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4" s="37" t="str">
        <f>IF(OR(NOTA[[#This Row],[QTY]]="",NOTA[[#This Row],[HARGA SATUAN]]="",),"",NOTA[[#This Row],[QTY]]*NOTA[[#This Row],[HARGA SATUAN]])</f>
        <v/>
      </c>
      <c r="AI434" s="26" t="str">
        <f ca="1">IF(NOTA[[#This Row],[ID_H]]="","",INDEX(NOTA[TANGGAL],MATCH(,INDIRECT(ADDRESS(ROW(NOTA[TANGGAL]),COLUMN(NOTA[TANGGAL]))&amp;":"&amp;ADDRESS(ROW(),COLUMN(NOTA[TANGGAL]))),-1)))</f>
        <v/>
      </c>
      <c r="AJ434" s="26" t="str">
        <f ca="1">IF(NOTA[[#This Row],[ID_H]]="","",INDEX(NOTA[TGL.NOTA],MATCH(,INDIRECT(ADDRESS(ROW(NOTA[TGL.NOTA]),COLUMN(NOTA[TGL.NOTA]))&amp;":"&amp;ADDRESS(ROW(),COLUMN(NOTA[TGL.NOTA]))),-1)))</f>
        <v/>
      </c>
      <c r="AK434" s="26" t="str">
        <f ca="1">IF(NOTA[[#This Row],[ID_H]]="","",INDEX(NOTA[NO.NOTA],MATCH(NOTA[[#This Row],[ID_H]],NOTA[ID_H],0)))</f>
        <v/>
      </c>
      <c r="AL434" s="28" t="str">
        <f ca="1">IF(NOTA[[#This Row],[NAMA BARANG]]="","",INDEX(NOTA[SUPPLIER],MATCH(,INDIRECT(ADDRESS(ROW(NOTA[ID]),COLUMN(NOTA[ID]))&amp;":"&amp;ADDRESS(ROW(),COLUMN(NOTA[ID]))),-1)))</f>
        <v/>
      </c>
      <c r="AM434" s="28" t="str">
        <f ca="1">IF(NOTA[[#This Row],[ID_H]]="","",IF(NOTA[[#This Row],[FAKTUR]]="",INDIRECT(ADDRESS(ROW()-1,COLUMN())),NOTA[[#This Row],[FAKTUR]]))</f>
        <v/>
      </c>
      <c r="AN434" s="25" t="str">
        <f ca="1">IF(NOTA[[#This Row],[ID]]="","",COUNTIF(NOTA[ID_H],NOTA[[#This Row],[ID_H]]))</f>
        <v/>
      </c>
      <c r="AO434" s="25" t="str">
        <f ca="1">IF(NOTA[[#This Row],[TGL.NOTA]]="",IF(NOTA[[#This Row],[SUPPLIER_H]]="","",AO433),MONTH(NOTA[[#This Row],[TGL.NOTA]]))</f>
        <v/>
      </c>
      <c r="AP4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4" s="25"/>
      <c r="AU434" s="25" t="str">
        <f>IF(NOTA[[#This Row],[CONCAT1]]="","",MATCH(NOTA[[#This Row],[CONCAT1]],[3]!db[NB NOTA_C],0))</f>
        <v/>
      </c>
      <c r="AV434" s="25" t="str">
        <f>IF(NOTA[[#This Row],[QTY/ CTN]]="","",TRUE)</f>
        <v/>
      </c>
      <c r="AW434" s="25" t="str">
        <f ca="1">IF(NOTA[[#This Row],[ID_H]]="","",IF(NOTA[[#This Row],[Column3]]=TRUE,NOTA[[#This Row],[QTY/ CTN]],INDEX([3]!db[QTY/ CTN],NOTA[[#This Row],[//DB]])))</f>
        <v/>
      </c>
      <c r="AX4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4" s="25" t="str">
        <f ca="1">IF(NOTA[[#This Row],[ID_H]]="","",MATCH(NOTA[[#This Row],[NB NOTA_C_QTY]],[3]!db[NB NOTA_C_QTY+F],0))</f>
        <v/>
      </c>
      <c r="AZ434" s="38" t="str">
        <f ca="1">IF(NOTA[[#This Row],[NB NOTA_C_QTY]]="","",ROW()-2)</f>
        <v/>
      </c>
    </row>
    <row r="435" spans="1:52" ht="20.100000000000001" customHeight="1">
      <c r="A4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5" s="25" t="str">
        <f ca="1">IF(NOTA[[#This Row],[NAMA BARANG]]="","",INDEX(NOTA[ID],MATCH(,INDIRECT(ADDRESS(ROW(NOTA[ID]),COLUMN(NOTA[ID]))&amp;":"&amp;ADDRESS(ROW(),COLUMN(NOTA[ID]))),-1)))</f>
        <v/>
      </c>
      <c r="E435" s="33"/>
      <c r="H435" s="34"/>
      <c r="Q435" s="29"/>
      <c r="R435" s="35"/>
      <c r="S435" s="36"/>
      <c r="V435" s="37"/>
      <c r="W435" s="32"/>
      <c r="X435" s="37" t="str">
        <f>IF(NOTA[[#This Row],[HARGA/ CTN]]="",NOTA[[#This Row],[JUMLAH_H]],NOTA[[#This Row],[HARGA/ CTN]]*IF(NOTA[[#This Row],[C]]="",0,NOTA[[#This Row],[C]]))</f>
        <v/>
      </c>
      <c r="Y435" s="37" t="str">
        <f>IF(NOTA[[#This Row],[JUMLAH]]="","",NOTA[[#This Row],[JUMLAH]]*NOTA[[#This Row],[DISC 1]])</f>
        <v/>
      </c>
      <c r="Z435" s="37" t="str">
        <f>IF(NOTA[[#This Row],[JUMLAH]]="","",(NOTA[[#This Row],[JUMLAH]]-NOTA[[#This Row],[DISC 1-]])*NOTA[[#This Row],[DISC 2]])</f>
        <v/>
      </c>
      <c r="AA435" s="37" t="str">
        <f>IF(NOTA[[#This Row],[JUMLAH]]="","",(NOTA[[#This Row],[JUMLAH]]-NOTA[[#This Row],[DISC 1-]]-NOTA[[#This Row],[DISC 2-]])*NOTA[[#This Row],[DISC 3]])</f>
        <v/>
      </c>
      <c r="AB435" s="37" t="str">
        <f>IF(NOTA[[#This Row],[JUMLAH]]="","",NOTA[[#This Row],[DISC 1-]]+NOTA[[#This Row],[DISC 2-]]+NOTA[[#This Row],[DISC 3-]])</f>
        <v/>
      </c>
      <c r="AC435" s="37" t="str">
        <f>IF(NOTA[[#This Row],[JUMLAH]]="","",NOTA[[#This Row],[JUMLAH]]-NOTA[[#This Row],[DISC]])</f>
        <v/>
      </c>
      <c r="AD435" s="37"/>
      <c r="AE4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5" s="37" t="str">
        <f>IF(OR(NOTA[[#This Row],[QTY]]="",NOTA[[#This Row],[HARGA SATUAN]]="",),"",NOTA[[#This Row],[QTY]]*NOTA[[#This Row],[HARGA SATUAN]])</f>
        <v/>
      </c>
      <c r="AI435" s="26" t="str">
        <f ca="1">IF(NOTA[[#This Row],[ID_H]]="","",INDEX(NOTA[TANGGAL],MATCH(,INDIRECT(ADDRESS(ROW(NOTA[TANGGAL]),COLUMN(NOTA[TANGGAL]))&amp;":"&amp;ADDRESS(ROW(),COLUMN(NOTA[TANGGAL]))),-1)))</f>
        <v/>
      </c>
      <c r="AJ435" s="26" t="str">
        <f ca="1">IF(NOTA[[#This Row],[ID_H]]="","",INDEX(NOTA[TGL.NOTA],MATCH(,INDIRECT(ADDRESS(ROW(NOTA[TGL.NOTA]),COLUMN(NOTA[TGL.NOTA]))&amp;":"&amp;ADDRESS(ROW(),COLUMN(NOTA[TGL.NOTA]))),-1)))</f>
        <v/>
      </c>
      <c r="AK435" s="26" t="str">
        <f ca="1">IF(NOTA[[#This Row],[ID_H]]="","",INDEX(NOTA[NO.NOTA],MATCH(NOTA[[#This Row],[ID_H]],NOTA[ID_H],0)))</f>
        <v/>
      </c>
      <c r="AL435" s="28" t="str">
        <f ca="1">IF(NOTA[[#This Row],[NAMA BARANG]]="","",INDEX(NOTA[SUPPLIER],MATCH(,INDIRECT(ADDRESS(ROW(NOTA[ID]),COLUMN(NOTA[ID]))&amp;":"&amp;ADDRESS(ROW(),COLUMN(NOTA[ID]))),-1)))</f>
        <v/>
      </c>
      <c r="AM435" s="28" t="str">
        <f ca="1">IF(NOTA[[#This Row],[ID_H]]="","",IF(NOTA[[#This Row],[FAKTUR]]="",INDIRECT(ADDRESS(ROW()-1,COLUMN())),NOTA[[#This Row],[FAKTUR]]))</f>
        <v/>
      </c>
      <c r="AN435" s="25" t="str">
        <f ca="1">IF(NOTA[[#This Row],[ID]]="","",COUNTIF(NOTA[ID_H],NOTA[[#This Row],[ID_H]]))</f>
        <v/>
      </c>
      <c r="AO435" s="25" t="str">
        <f ca="1">IF(NOTA[[#This Row],[TGL.NOTA]]="",IF(NOTA[[#This Row],[SUPPLIER_H]]="","",AO434),MONTH(NOTA[[#This Row],[TGL.NOTA]]))</f>
        <v/>
      </c>
      <c r="AP4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5" s="25"/>
      <c r="AU435" s="25" t="str">
        <f>IF(NOTA[[#This Row],[CONCAT1]]="","",MATCH(NOTA[[#This Row],[CONCAT1]],[3]!db[NB NOTA_C],0))</f>
        <v/>
      </c>
      <c r="AV435" s="25" t="str">
        <f>IF(NOTA[[#This Row],[QTY/ CTN]]="","",TRUE)</f>
        <v/>
      </c>
      <c r="AW435" s="25" t="str">
        <f ca="1">IF(NOTA[[#This Row],[ID_H]]="","",IF(NOTA[[#This Row],[Column3]]=TRUE,NOTA[[#This Row],[QTY/ CTN]],INDEX([3]!db[QTY/ CTN],NOTA[[#This Row],[//DB]])))</f>
        <v/>
      </c>
      <c r="AX4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5" s="25" t="str">
        <f ca="1">IF(NOTA[[#This Row],[ID_H]]="","",MATCH(NOTA[[#This Row],[NB NOTA_C_QTY]],[3]!db[NB NOTA_C_QTY+F],0))</f>
        <v/>
      </c>
      <c r="AZ435" s="38" t="str">
        <f ca="1">IF(NOTA[[#This Row],[NB NOTA_C_QTY]]="","",ROW()-2)</f>
        <v/>
      </c>
    </row>
    <row r="436" spans="1:52" ht="20.100000000000001" customHeight="1">
      <c r="A4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6" s="25" t="str">
        <f ca="1">IF(NOTA[[#This Row],[NAMA BARANG]]="","",INDEX(NOTA[ID],MATCH(,INDIRECT(ADDRESS(ROW(NOTA[ID]),COLUMN(NOTA[ID]))&amp;":"&amp;ADDRESS(ROW(),COLUMN(NOTA[ID]))),-1)))</f>
        <v/>
      </c>
      <c r="E436" s="33"/>
      <c r="H436" s="34"/>
      <c r="Q436" s="29"/>
      <c r="R436" s="35"/>
      <c r="S436" s="36"/>
      <c r="V436" s="37"/>
      <c r="W436" s="32"/>
      <c r="X436" s="37" t="str">
        <f>IF(NOTA[[#This Row],[HARGA/ CTN]]="",NOTA[[#This Row],[JUMLAH_H]],NOTA[[#This Row],[HARGA/ CTN]]*IF(NOTA[[#This Row],[C]]="",0,NOTA[[#This Row],[C]]))</f>
        <v/>
      </c>
      <c r="Y436" s="37" t="str">
        <f>IF(NOTA[[#This Row],[JUMLAH]]="","",NOTA[[#This Row],[JUMLAH]]*NOTA[[#This Row],[DISC 1]])</f>
        <v/>
      </c>
      <c r="Z436" s="37" t="str">
        <f>IF(NOTA[[#This Row],[JUMLAH]]="","",(NOTA[[#This Row],[JUMLAH]]-NOTA[[#This Row],[DISC 1-]])*NOTA[[#This Row],[DISC 2]])</f>
        <v/>
      </c>
      <c r="AA436" s="37" t="str">
        <f>IF(NOTA[[#This Row],[JUMLAH]]="","",(NOTA[[#This Row],[JUMLAH]]-NOTA[[#This Row],[DISC 1-]]-NOTA[[#This Row],[DISC 2-]])*NOTA[[#This Row],[DISC 3]])</f>
        <v/>
      </c>
      <c r="AB436" s="37" t="str">
        <f>IF(NOTA[[#This Row],[JUMLAH]]="","",NOTA[[#This Row],[DISC 1-]]+NOTA[[#This Row],[DISC 2-]]+NOTA[[#This Row],[DISC 3-]])</f>
        <v/>
      </c>
      <c r="AC436" s="37" t="str">
        <f>IF(NOTA[[#This Row],[JUMLAH]]="","",NOTA[[#This Row],[JUMLAH]]-NOTA[[#This Row],[DISC]])</f>
        <v/>
      </c>
      <c r="AD436" s="37"/>
      <c r="AE4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6" s="37" t="str">
        <f>IF(OR(NOTA[[#This Row],[QTY]]="",NOTA[[#This Row],[HARGA SATUAN]]="",),"",NOTA[[#This Row],[QTY]]*NOTA[[#This Row],[HARGA SATUAN]])</f>
        <v/>
      </c>
      <c r="AI436" s="26" t="str">
        <f ca="1">IF(NOTA[[#This Row],[ID_H]]="","",INDEX(NOTA[TANGGAL],MATCH(,INDIRECT(ADDRESS(ROW(NOTA[TANGGAL]),COLUMN(NOTA[TANGGAL]))&amp;":"&amp;ADDRESS(ROW(),COLUMN(NOTA[TANGGAL]))),-1)))</f>
        <v/>
      </c>
      <c r="AJ436" s="26" t="str">
        <f ca="1">IF(NOTA[[#This Row],[ID_H]]="","",INDEX(NOTA[TGL.NOTA],MATCH(,INDIRECT(ADDRESS(ROW(NOTA[TGL.NOTA]),COLUMN(NOTA[TGL.NOTA]))&amp;":"&amp;ADDRESS(ROW(),COLUMN(NOTA[TGL.NOTA]))),-1)))</f>
        <v/>
      </c>
      <c r="AK436" s="26" t="str">
        <f ca="1">IF(NOTA[[#This Row],[ID_H]]="","",INDEX(NOTA[NO.NOTA],MATCH(NOTA[[#This Row],[ID_H]],NOTA[ID_H],0)))</f>
        <v/>
      </c>
      <c r="AL436" s="28" t="str">
        <f ca="1">IF(NOTA[[#This Row],[NAMA BARANG]]="","",INDEX(NOTA[SUPPLIER],MATCH(,INDIRECT(ADDRESS(ROW(NOTA[ID]),COLUMN(NOTA[ID]))&amp;":"&amp;ADDRESS(ROW(),COLUMN(NOTA[ID]))),-1)))</f>
        <v/>
      </c>
      <c r="AM436" s="28" t="str">
        <f ca="1">IF(NOTA[[#This Row],[ID_H]]="","",IF(NOTA[[#This Row],[FAKTUR]]="",INDIRECT(ADDRESS(ROW()-1,COLUMN())),NOTA[[#This Row],[FAKTUR]]))</f>
        <v/>
      </c>
      <c r="AN436" s="25" t="str">
        <f ca="1">IF(NOTA[[#This Row],[ID]]="","",COUNTIF(NOTA[ID_H],NOTA[[#This Row],[ID_H]]))</f>
        <v/>
      </c>
      <c r="AO436" s="25" t="str">
        <f ca="1">IF(NOTA[[#This Row],[TGL.NOTA]]="",IF(NOTA[[#This Row],[SUPPLIER_H]]="","",AO435),MONTH(NOTA[[#This Row],[TGL.NOTA]]))</f>
        <v/>
      </c>
      <c r="AP4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6" s="25"/>
      <c r="AU436" s="25" t="str">
        <f>IF(NOTA[[#This Row],[CONCAT1]]="","",MATCH(NOTA[[#This Row],[CONCAT1]],[3]!db[NB NOTA_C],0))</f>
        <v/>
      </c>
      <c r="AV436" s="25" t="str">
        <f>IF(NOTA[[#This Row],[QTY/ CTN]]="","",TRUE)</f>
        <v/>
      </c>
      <c r="AW436" s="25" t="str">
        <f ca="1">IF(NOTA[[#This Row],[ID_H]]="","",IF(NOTA[[#This Row],[Column3]]=TRUE,NOTA[[#This Row],[QTY/ CTN]],INDEX([3]!db[QTY/ CTN],NOTA[[#This Row],[//DB]])))</f>
        <v/>
      </c>
      <c r="AX4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6" s="25" t="str">
        <f ca="1">IF(NOTA[[#This Row],[ID_H]]="","",MATCH(NOTA[[#This Row],[NB NOTA_C_QTY]],[3]!db[NB NOTA_C_QTY+F],0))</f>
        <v/>
      </c>
      <c r="AZ436" s="38" t="str">
        <f ca="1">IF(NOTA[[#This Row],[NB NOTA_C_QTY]]="","",ROW()-2)</f>
        <v/>
      </c>
    </row>
    <row r="437" spans="1:52" ht="20.100000000000001" customHeight="1">
      <c r="A4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7" s="25" t="str">
        <f ca="1">IF(NOTA[[#This Row],[NAMA BARANG]]="","",INDEX(NOTA[ID],MATCH(,INDIRECT(ADDRESS(ROW(NOTA[ID]),COLUMN(NOTA[ID]))&amp;":"&amp;ADDRESS(ROW(),COLUMN(NOTA[ID]))),-1)))</f>
        <v/>
      </c>
      <c r="E437" s="33"/>
      <c r="H437" s="34"/>
      <c r="Q437" s="29"/>
      <c r="R437" s="35"/>
      <c r="S437" s="36"/>
      <c r="V437" s="37"/>
      <c r="W437" s="32"/>
      <c r="X437" s="37" t="str">
        <f>IF(NOTA[[#This Row],[HARGA/ CTN]]="",NOTA[[#This Row],[JUMLAH_H]],NOTA[[#This Row],[HARGA/ CTN]]*IF(NOTA[[#This Row],[C]]="",0,NOTA[[#This Row],[C]]))</f>
        <v/>
      </c>
      <c r="Y437" s="37" t="str">
        <f>IF(NOTA[[#This Row],[JUMLAH]]="","",NOTA[[#This Row],[JUMLAH]]*NOTA[[#This Row],[DISC 1]])</f>
        <v/>
      </c>
      <c r="Z437" s="37" t="str">
        <f>IF(NOTA[[#This Row],[JUMLAH]]="","",(NOTA[[#This Row],[JUMLAH]]-NOTA[[#This Row],[DISC 1-]])*NOTA[[#This Row],[DISC 2]])</f>
        <v/>
      </c>
      <c r="AA437" s="37" t="str">
        <f>IF(NOTA[[#This Row],[JUMLAH]]="","",(NOTA[[#This Row],[JUMLAH]]-NOTA[[#This Row],[DISC 1-]]-NOTA[[#This Row],[DISC 2-]])*NOTA[[#This Row],[DISC 3]])</f>
        <v/>
      </c>
      <c r="AB437" s="37" t="str">
        <f>IF(NOTA[[#This Row],[JUMLAH]]="","",NOTA[[#This Row],[DISC 1-]]+NOTA[[#This Row],[DISC 2-]]+NOTA[[#This Row],[DISC 3-]])</f>
        <v/>
      </c>
      <c r="AC437" s="37" t="str">
        <f>IF(NOTA[[#This Row],[JUMLAH]]="","",NOTA[[#This Row],[JUMLAH]]-NOTA[[#This Row],[DISC]])</f>
        <v/>
      </c>
      <c r="AD437" s="37"/>
      <c r="AE4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7" s="37" t="str">
        <f>IF(OR(NOTA[[#This Row],[QTY]]="",NOTA[[#This Row],[HARGA SATUAN]]="",),"",NOTA[[#This Row],[QTY]]*NOTA[[#This Row],[HARGA SATUAN]])</f>
        <v/>
      </c>
      <c r="AI437" s="26" t="str">
        <f ca="1">IF(NOTA[[#This Row],[ID_H]]="","",INDEX(NOTA[TANGGAL],MATCH(,INDIRECT(ADDRESS(ROW(NOTA[TANGGAL]),COLUMN(NOTA[TANGGAL]))&amp;":"&amp;ADDRESS(ROW(),COLUMN(NOTA[TANGGAL]))),-1)))</f>
        <v/>
      </c>
      <c r="AJ437" s="26" t="str">
        <f ca="1">IF(NOTA[[#This Row],[ID_H]]="","",INDEX(NOTA[TGL.NOTA],MATCH(,INDIRECT(ADDRESS(ROW(NOTA[TGL.NOTA]),COLUMN(NOTA[TGL.NOTA]))&amp;":"&amp;ADDRESS(ROW(),COLUMN(NOTA[TGL.NOTA]))),-1)))</f>
        <v/>
      </c>
      <c r="AK437" s="26" t="str">
        <f ca="1">IF(NOTA[[#This Row],[ID_H]]="","",INDEX(NOTA[NO.NOTA],MATCH(NOTA[[#This Row],[ID_H]],NOTA[ID_H],0)))</f>
        <v/>
      </c>
      <c r="AL437" s="28" t="str">
        <f ca="1">IF(NOTA[[#This Row],[NAMA BARANG]]="","",INDEX(NOTA[SUPPLIER],MATCH(,INDIRECT(ADDRESS(ROW(NOTA[ID]),COLUMN(NOTA[ID]))&amp;":"&amp;ADDRESS(ROW(),COLUMN(NOTA[ID]))),-1)))</f>
        <v/>
      </c>
      <c r="AM437" s="28" t="str">
        <f ca="1">IF(NOTA[[#This Row],[ID_H]]="","",IF(NOTA[[#This Row],[FAKTUR]]="",INDIRECT(ADDRESS(ROW()-1,COLUMN())),NOTA[[#This Row],[FAKTUR]]))</f>
        <v/>
      </c>
      <c r="AN437" s="25" t="str">
        <f ca="1">IF(NOTA[[#This Row],[ID]]="","",COUNTIF(NOTA[ID_H],NOTA[[#This Row],[ID_H]]))</f>
        <v/>
      </c>
      <c r="AO437" s="25" t="str">
        <f ca="1">IF(NOTA[[#This Row],[TGL.NOTA]]="",IF(NOTA[[#This Row],[SUPPLIER_H]]="","",AO436),MONTH(NOTA[[#This Row],[TGL.NOTA]]))</f>
        <v/>
      </c>
      <c r="AP4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7" s="25"/>
      <c r="AU437" s="25" t="str">
        <f>IF(NOTA[[#This Row],[CONCAT1]]="","",MATCH(NOTA[[#This Row],[CONCAT1]],[3]!db[NB NOTA_C],0))</f>
        <v/>
      </c>
      <c r="AV437" s="25" t="str">
        <f>IF(NOTA[[#This Row],[QTY/ CTN]]="","",TRUE)</f>
        <v/>
      </c>
      <c r="AW437" s="25" t="str">
        <f ca="1">IF(NOTA[[#This Row],[ID_H]]="","",IF(NOTA[[#This Row],[Column3]]=TRUE,NOTA[[#This Row],[QTY/ CTN]],INDEX([3]!db[QTY/ CTN],NOTA[[#This Row],[//DB]])))</f>
        <v/>
      </c>
      <c r="AX4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7" s="25" t="str">
        <f ca="1">IF(NOTA[[#This Row],[ID_H]]="","",MATCH(NOTA[[#This Row],[NB NOTA_C_QTY]],[3]!db[NB NOTA_C_QTY+F],0))</f>
        <v/>
      </c>
      <c r="AZ437" s="38" t="str">
        <f ca="1">IF(NOTA[[#This Row],[NB NOTA_C_QTY]]="","",ROW()-2)</f>
        <v/>
      </c>
    </row>
    <row r="438" spans="1:52" ht="20.100000000000001" customHeight="1">
      <c r="A4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8" s="25" t="str">
        <f ca="1">IF(NOTA[[#This Row],[NAMA BARANG]]="","",INDEX(NOTA[ID],MATCH(,INDIRECT(ADDRESS(ROW(NOTA[ID]),COLUMN(NOTA[ID]))&amp;":"&amp;ADDRESS(ROW(),COLUMN(NOTA[ID]))),-1)))</f>
        <v/>
      </c>
      <c r="E438" s="33"/>
      <c r="H438" s="34"/>
      <c r="Q438" s="29"/>
      <c r="R438" s="35"/>
      <c r="S438" s="36"/>
      <c r="V438" s="37"/>
      <c r="W438" s="32"/>
      <c r="X438" s="37" t="str">
        <f>IF(NOTA[[#This Row],[HARGA/ CTN]]="",NOTA[[#This Row],[JUMLAH_H]],NOTA[[#This Row],[HARGA/ CTN]]*IF(NOTA[[#This Row],[C]]="",0,NOTA[[#This Row],[C]]))</f>
        <v/>
      </c>
      <c r="Y438" s="37" t="str">
        <f>IF(NOTA[[#This Row],[JUMLAH]]="","",NOTA[[#This Row],[JUMLAH]]*NOTA[[#This Row],[DISC 1]])</f>
        <v/>
      </c>
      <c r="Z438" s="37" t="str">
        <f>IF(NOTA[[#This Row],[JUMLAH]]="","",(NOTA[[#This Row],[JUMLAH]]-NOTA[[#This Row],[DISC 1-]])*NOTA[[#This Row],[DISC 2]])</f>
        <v/>
      </c>
      <c r="AA438" s="37" t="str">
        <f>IF(NOTA[[#This Row],[JUMLAH]]="","",(NOTA[[#This Row],[JUMLAH]]-NOTA[[#This Row],[DISC 1-]]-NOTA[[#This Row],[DISC 2-]])*NOTA[[#This Row],[DISC 3]])</f>
        <v/>
      </c>
      <c r="AB438" s="37" t="str">
        <f>IF(NOTA[[#This Row],[JUMLAH]]="","",NOTA[[#This Row],[DISC 1-]]+NOTA[[#This Row],[DISC 2-]]+NOTA[[#This Row],[DISC 3-]])</f>
        <v/>
      </c>
      <c r="AC438" s="37" t="str">
        <f>IF(NOTA[[#This Row],[JUMLAH]]="","",NOTA[[#This Row],[JUMLAH]]-NOTA[[#This Row],[DISC]])</f>
        <v/>
      </c>
      <c r="AD438" s="37"/>
      <c r="AE4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8" s="37" t="str">
        <f>IF(OR(NOTA[[#This Row],[QTY]]="",NOTA[[#This Row],[HARGA SATUAN]]="",),"",NOTA[[#This Row],[QTY]]*NOTA[[#This Row],[HARGA SATUAN]])</f>
        <v/>
      </c>
      <c r="AI438" s="26" t="str">
        <f ca="1">IF(NOTA[[#This Row],[ID_H]]="","",INDEX(NOTA[TANGGAL],MATCH(,INDIRECT(ADDRESS(ROW(NOTA[TANGGAL]),COLUMN(NOTA[TANGGAL]))&amp;":"&amp;ADDRESS(ROW(),COLUMN(NOTA[TANGGAL]))),-1)))</f>
        <v/>
      </c>
      <c r="AJ438" s="26" t="str">
        <f ca="1">IF(NOTA[[#This Row],[ID_H]]="","",INDEX(NOTA[TGL.NOTA],MATCH(,INDIRECT(ADDRESS(ROW(NOTA[TGL.NOTA]),COLUMN(NOTA[TGL.NOTA]))&amp;":"&amp;ADDRESS(ROW(),COLUMN(NOTA[TGL.NOTA]))),-1)))</f>
        <v/>
      </c>
      <c r="AK438" s="26" t="str">
        <f ca="1">IF(NOTA[[#This Row],[ID_H]]="","",INDEX(NOTA[NO.NOTA],MATCH(NOTA[[#This Row],[ID_H]],NOTA[ID_H],0)))</f>
        <v/>
      </c>
      <c r="AL438" s="28" t="str">
        <f ca="1">IF(NOTA[[#This Row],[NAMA BARANG]]="","",INDEX(NOTA[SUPPLIER],MATCH(,INDIRECT(ADDRESS(ROW(NOTA[ID]),COLUMN(NOTA[ID]))&amp;":"&amp;ADDRESS(ROW(),COLUMN(NOTA[ID]))),-1)))</f>
        <v/>
      </c>
      <c r="AM438" s="28" t="str">
        <f ca="1">IF(NOTA[[#This Row],[ID_H]]="","",IF(NOTA[[#This Row],[FAKTUR]]="",INDIRECT(ADDRESS(ROW()-1,COLUMN())),NOTA[[#This Row],[FAKTUR]]))</f>
        <v/>
      </c>
      <c r="AN438" s="25" t="str">
        <f ca="1">IF(NOTA[[#This Row],[ID]]="","",COUNTIF(NOTA[ID_H],NOTA[[#This Row],[ID_H]]))</f>
        <v/>
      </c>
      <c r="AO438" s="25" t="str">
        <f ca="1">IF(NOTA[[#This Row],[TGL.NOTA]]="",IF(NOTA[[#This Row],[SUPPLIER_H]]="","",AO437),MONTH(NOTA[[#This Row],[TGL.NOTA]]))</f>
        <v/>
      </c>
      <c r="AP4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8" s="25"/>
      <c r="AU438" s="25" t="str">
        <f>IF(NOTA[[#This Row],[CONCAT1]]="","",MATCH(NOTA[[#This Row],[CONCAT1]],[3]!db[NB NOTA_C],0))</f>
        <v/>
      </c>
      <c r="AV438" s="25" t="str">
        <f>IF(NOTA[[#This Row],[QTY/ CTN]]="","",TRUE)</f>
        <v/>
      </c>
      <c r="AW438" s="25" t="str">
        <f ca="1">IF(NOTA[[#This Row],[ID_H]]="","",IF(NOTA[[#This Row],[Column3]]=TRUE,NOTA[[#This Row],[QTY/ CTN]],INDEX([3]!db[QTY/ CTN],NOTA[[#This Row],[//DB]])))</f>
        <v/>
      </c>
      <c r="AX4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8" s="25" t="str">
        <f ca="1">IF(NOTA[[#This Row],[ID_H]]="","",MATCH(NOTA[[#This Row],[NB NOTA_C_QTY]],[3]!db[NB NOTA_C_QTY+F],0))</f>
        <v/>
      </c>
      <c r="AZ438" s="38" t="str">
        <f ca="1">IF(NOTA[[#This Row],[NB NOTA_C_QTY]]="","",ROW()-2)</f>
        <v/>
      </c>
    </row>
    <row r="439" spans="1:52" ht="20.100000000000001" customHeight="1">
      <c r="A4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9" s="25" t="str">
        <f ca="1">IF(NOTA[[#This Row],[NAMA BARANG]]="","",INDEX(NOTA[ID],MATCH(,INDIRECT(ADDRESS(ROW(NOTA[ID]),COLUMN(NOTA[ID]))&amp;":"&amp;ADDRESS(ROW(),COLUMN(NOTA[ID]))),-1)))</f>
        <v/>
      </c>
      <c r="E439" s="33"/>
      <c r="H439" s="34"/>
      <c r="Q439" s="29"/>
      <c r="R439" s="35"/>
      <c r="S439" s="36"/>
      <c r="V439" s="37"/>
      <c r="W439" s="32"/>
      <c r="X439" s="37" t="str">
        <f>IF(NOTA[[#This Row],[HARGA/ CTN]]="",NOTA[[#This Row],[JUMLAH_H]],NOTA[[#This Row],[HARGA/ CTN]]*IF(NOTA[[#This Row],[C]]="",0,NOTA[[#This Row],[C]]))</f>
        <v/>
      </c>
      <c r="Y439" s="37" t="str">
        <f>IF(NOTA[[#This Row],[JUMLAH]]="","",NOTA[[#This Row],[JUMLAH]]*NOTA[[#This Row],[DISC 1]])</f>
        <v/>
      </c>
      <c r="Z439" s="37" t="str">
        <f>IF(NOTA[[#This Row],[JUMLAH]]="","",(NOTA[[#This Row],[JUMLAH]]-NOTA[[#This Row],[DISC 1-]])*NOTA[[#This Row],[DISC 2]])</f>
        <v/>
      </c>
      <c r="AA439" s="37" t="str">
        <f>IF(NOTA[[#This Row],[JUMLAH]]="","",(NOTA[[#This Row],[JUMLAH]]-NOTA[[#This Row],[DISC 1-]]-NOTA[[#This Row],[DISC 2-]])*NOTA[[#This Row],[DISC 3]])</f>
        <v/>
      </c>
      <c r="AB439" s="37" t="str">
        <f>IF(NOTA[[#This Row],[JUMLAH]]="","",NOTA[[#This Row],[DISC 1-]]+NOTA[[#This Row],[DISC 2-]]+NOTA[[#This Row],[DISC 3-]])</f>
        <v/>
      </c>
      <c r="AC439" s="37" t="str">
        <f>IF(NOTA[[#This Row],[JUMLAH]]="","",NOTA[[#This Row],[JUMLAH]]-NOTA[[#This Row],[DISC]])</f>
        <v/>
      </c>
      <c r="AD439" s="37"/>
      <c r="AE4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9" s="37" t="str">
        <f>IF(OR(NOTA[[#This Row],[QTY]]="",NOTA[[#This Row],[HARGA SATUAN]]="",),"",NOTA[[#This Row],[QTY]]*NOTA[[#This Row],[HARGA SATUAN]])</f>
        <v/>
      </c>
      <c r="AI439" s="26" t="str">
        <f ca="1">IF(NOTA[[#This Row],[ID_H]]="","",INDEX(NOTA[TANGGAL],MATCH(,INDIRECT(ADDRESS(ROW(NOTA[TANGGAL]),COLUMN(NOTA[TANGGAL]))&amp;":"&amp;ADDRESS(ROW(),COLUMN(NOTA[TANGGAL]))),-1)))</f>
        <v/>
      </c>
      <c r="AJ439" s="26" t="str">
        <f ca="1">IF(NOTA[[#This Row],[ID_H]]="","",INDEX(NOTA[TGL.NOTA],MATCH(,INDIRECT(ADDRESS(ROW(NOTA[TGL.NOTA]),COLUMN(NOTA[TGL.NOTA]))&amp;":"&amp;ADDRESS(ROW(),COLUMN(NOTA[TGL.NOTA]))),-1)))</f>
        <v/>
      </c>
      <c r="AK439" s="26" t="str">
        <f ca="1">IF(NOTA[[#This Row],[ID_H]]="","",INDEX(NOTA[NO.NOTA],MATCH(NOTA[[#This Row],[ID_H]],NOTA[ID_H],0)))</f>
        <v/>
      </c>
      <c r="AL439" s="28" t="str">
        <f ca="1">IF(NOTA[[#This Row],[NAMA BARANG]]="","",INDEX(NOTA[SUPPLIER],MATCH(,INDIRECT(ADDRESS(ROW(NOTA[ID]),COLUMN(NOTA[ID]))&amp;":"&amp;ADDRESS(ROW(),COLUMN(NOTA[ID]))),-1)))</f>
        <v/>
      </c>
      <c r="AM439" s="28" t="str">
        <f ca="1">IF(NOTA[[#This Row],[ID_H]]="","",IF(NOTA[[#This Row],[FAKTUR]]="",INDIRECT(ADDRESS(ROW()-1,COLUMN())),NOTA[[#This Row],[FAKTUR]]))</f>
        <v/>
      </c>
      <c r="AN439" s="25" t="str">
        <f ca="1">IF(NOTA[[#This Row],[ID]]="","",COUNTIF(NOTA[ID_H],NOTA[[#This Row],[ID_H]]))</f>
        <v/>
      </c>
      <c r="AO439" s="25" t="str">
        <f ca="1">IF(NOTA[[#This Row],[TGL.NOTA]]="",IF(NOTA[[#This Row],[SUPPLIER_H]]="","",AO438),MONTH(NOTA[[#This Row],[TGL.NOTA]]))</f>
        <v/>
      </c>
      <c r="AP4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9" s="25"/>
      <c r="AU439" s="25" t="str">
        <f>IF(NOTA[[#This Row],[CONCAT1]]="","",MATCH(NOTA[[#This Row],[CONCAT1]],[3]!db[NB NOTA_C],0))</f>
        <v/>
      </c>
      <c r="AV439" s="25" t="str">
        <f>IF(NOTA[[#This Row],[QTY/ CTN]]="","",TRUE)</f>
        <v/>
      </c>
      <c r="AW439" s="25" t="str">
        <f ca="1">IF(NOTA[[#This Row],[ID_H]]="","",IF(NOTA[[#This Row],[Column3]]=TRUE,NOTA[[#This Row],[QTY/ CTN]],INDEX([3]!db[QTY/ CTN],NOTA[[#This Row],[//DB]])))</f>
        <v/>
      </c>
      <c r="AX4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9" s="25" t="str">
        <f ca="1">IF(NOTA[[#This Row],[ID_H]]="","",MATCH(NOTA[[#This Row],[NB NOTA_C_QTY]],[3]!db[NB NOTA_C_QTY+F],0))</f>
        <v/>
      </c>
      <c r="AZ439" s="38" t="str">
        <f ca="1">IF(NOTA[[#This Row],[NB NOTA_C_QTY]]="","",ROW()-2)</f>
        <v/>
      </c>
    </row>
    <row r="440" spans="1:52" ht="20.100000000000001" customHeight="1">
      <c r="A4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0" s="25" t="str">
        <f ca="1">IF(NOTA[[#This Row],[NAMA BARANG]]="","",INDEX(NOTA[ID],MATCH(,INDIRECT(ADDRESS(ROW(NOTA[ID]),COLUMN(NOTA[ID]))&amp;":"&amp;ADDRESS(ROW(),COLUMN(NOTA[ID]))),-1)))</f>
        <v/>
      </c>
      <c r="E440" s="33"/>
      <c r="H440" s="34"/>
      <c r="Q440" s="29"/>
      <c r="R440" s="35"/>
      <c r="S440" s="36"/>
      <c r="V440" s="37"/>
      <c r="W440" s="32"/>
      <c r="X440" s="37" t="str">
        <f>IF(NOTA[[#This Row],[HARGA/ CTN]]="",NOTA[[#This Row],[JUMLAH_H]],NOTA[[#This Row],[HARGA/ CTN]]*IF(NOTA[[#This Row],[C]]="",0,NOTA[[#This Row],[C]]))</f>
        <v/>
      </c>
      <c r="Y440" s="37" t="str">
        <f>IF(NOTA[[#This Row],[JUMLAH]]="","",NOTA[[#This Row],[JUMLAH]]*NOTA[[#This Row],[DISC 1]])</f>
        <v/>
      </c>
      <c r="Z440" s="37" t="str">
        <f>IF(NOTA[[#This Row],[JUMLAH]]="","",(NOTA[[#This Row],[JUMLAH]]-NOTA[[#This Row],[DISC 1-]])*NOTA[[#This Row],[DISC 2]])</f>
        <v/>
      </c>
      <c r="AA440" s="37" t="str">
        <f>IF(NOTA[[#This Row],[JUMLAH]]="","",(NOTA[[#This Row],[JUMLAH]]-NOTA[[#This Row],[DISC 1-]]-NOTA[[#This Row],[DISC 2-]])*NOTA[[#This Row],[DISC 3]])</f>
        <v/>
      </c>
      <c r="AB440" s="37" t="str">
        <f>IF(NOTA[[#This Row],[JUMLAH]]="","",NOTA[[#This Row],[DISC 1-]]+NOTA[[#This Row],[DISC 2-]]+NOTA[[#This Row],[DISC 3-]])</f>
        <v/>
      </c>
      <c r="AC440" s="37" t="str">
        <f>IF(NOTA[[#This Row],[JUMLAH]]="","",NOTA[[#This Row],[JUMLAH]]-NOTA[[#This Row],[DISC]])</f>
        <v/>
      </c>
      <c r="AD440" s="37"/>
      <c r="AE4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0" s="37" t="str">
        <f>IF(OR(NOTA[[#This Row],[QTY]]="",NOTA[[#This Row],[HARGA SATUAN]]="",),"",NOTA[[#This Row],[QTY]]*NOTA[[#This Row],[HARGA SATUAN]])</f>
        <v/>
      </c>
      <c r="AI440" s="26" t="str">
        <f ca="1">IF(NOTA[[#This Row],[ID_H]]="","",INDEX(NOTA[TANGGAL],MATCH(,INDIRECT(ADDRESS(ROW(NOTA[TANGGAL]),COLUMN(NOTA[TANGGAL]))&amp;":"&amp;ADDRESS(ROW(),COLUMN(NOTA[TANGGAL]))),-1)))</f>
        <v/>
      </c>
      <c r="AJ440" s="26" t="str">
        <f ca="1">IF(NOTA[[#This Row],[ID_H]]="","",INDEX(NOTA[TGL.NOTA],MATCH(,INDIRECT(ADDRESS(ROW(NOTA[TGL.NOTA]),COLUMN(NOTA[TGL.NOTA]))&amp;":"&amp;ADDRESS(ROW(),COLUMN(NOTA[TGL.NOTA]))),-1)))</f>
        <v/>
      </c>
      <c r="AK440" s="26" t="str">
        <f ca="1">IF(NOTA[[#This Row],[ID_H]]="","",INDEX(NOTA[NO.NOTA],MATCH(NOTA[[#This Row],[ID_H]],NOTA[ID_H],0)))</f>
        <v/>
      </c>
      <c r="AL440" s="28" t="str">
        <f ca="1">IF(NOTA[[#This Row],[NAMA BARANG]]="","",INDEX(NOTA[SUPPLIER],MATCH(,INDIRECT(ADDRESS(ROW(NOTA[ID]),COLUMN(NOTA[ID]))&amp;":"&amp;ADDRESS(ROW(),COLUMN(NOTA[ID]))),-1)))</f>
        <v/>
      </c>
      <c r="AM440" s="28" t="str">
        <f ca="1">IF(NOTA[[#This Row],[ID_H]]="","",IF(NOTA[[#This Row],[FAKTUR]]="",INDIRECT(ADDRESS(ROW()-1,COLUMN())),NOTA[[#This Row],[FAKTUR]]))</f>
        <v/>
      </c>
      <c r="AN440" s="25" t="str">
        <f ca="1">IF(NOTA[[#This Row],[ID]]="","",COUNTIF(NOTA[ID_H],NOTA[[#This Row],[ID_H]]))</f>
        <v/>
      </c>
      <c r="AO440" s="25" t="str">
        <f ca="1">IF(NOTA[[#This Row],[TGL.NOTA]]="",IF(NOTA[[#This Row],[SUPPLIER_H]]="","",AO439),MONTH(NOTA[[#This Row],[TGL.NOTA]]))</f>
        <v/>
      </c>
      <c r="AP4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0" s="25"/>
      <c r="AU440" s="25" t="str">
        <f>IF(NOTA[[#This Row],[CONCAT1]]="","",MATCH(NOTA[[#This Row],[CONCAT1]],[3]!db[NB NOTA_C],0))</f>
        <v/>
      </c>
      <c r="AV440" s="25" t="str">
        <f>IF(NOTA[[#This Row],[QTY/ CTN]]="","",TRUE)</f>
        <v/>
      </c>
      <c r="AW440" s="25" t="str">
        <f ca="1">IF(NOTA[[#This Row],[ID_H]]="","",IF(NOTA[[#This Row],[Column3]]=TRUE,NOTA[[#This Row],[QTY/ CTN]],INDEX([3]!db[QTY/ CTN],NOTA[[#This Row],[//DB]])))</f>
        <v/>
      </c>
      <c r="AX4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0" s="25" t="str">
        <f ca="1">IF(NOTA[[#This Row],[ID_H]]="","",MATCH(NOTA[[#This Row],[NB NOTA_C_QTY]],[3]!db[NB NOTA_C_QTY+F],0))</f>
        <v/>
      </c>
      <c r="AZ440" s="38" t="str">
        <f ca="1">IF(NOTA[[#This Row],[NB NOTA_C_QTY]]="","",ROW()-2)</f>
        <v/>
      </c>
    </row>
    <row r="441" spans="1:52" ht="20.100000000000001" customHeight="1">
      <c r="A4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1" s="25" t="str">
        <f ca="1">IF(NOTA[[#This Row],[NAMA BARANG]]="","",INDEX(NOTA[ID],MATCH(,INDIRECT(ADDRESS(ROW(NOTA[ID]),COLUMN(NOTA[ID]))&amp;":"&amp;ADDRESS(ROW(),COLUMN(NOTA[ID]))),-1)))</f>
        <v/>
      </c>
      <c r="E441" s="33"/>
      <c r="H441" s="34"/>
      <c r="Q441" s="29"/>
      <c r="R441" s="35"/>
      <c r="S441" s="36"/>
      <c r="V441" s="37"/>
      <c r="W441" s="32"/>
      <c r="X441" s="37" t="str">
        <f>IF(NOTA[[#This Row],[HARGA/ CTN]]="",NOTA[[#This Row],[JUMLAH_H]],NOTA[[#This Row],[HARGA/ CTN]]*IF(NOTA[[#This Row],[C]]="",0,NOTA[[#This Row],[C]]))</f>
        <v/>
      </c>
      <c r="Y441" s="37" t="str">
        <f>IF(NOTA[[#This Row],[JUMLAH]]="","",NOTA[[#This Row],[JUMLAH]]*NOTA[[#This Row],[DISC 1]])</f>
        <v/>
      </c>
      <c r="Z441" s="37" t="str">
        <f>IF(NOTA[[#This Row],[JUMLAH]]="","",(NOTA[[#This Row],[JUMLAH]]-NOTA[[#This Row],[DISC 1-]])*NOTA[[#This Row],[DISC 2]])</f>
        <v/>
      </c>
      <c r="AA441" s="37" t="str">
        <f>IF(NOTA[[#This Row],[JUMLAH]]="","",(NOTA[[#This Row],[JUMLAH]]-NOTA[[#This Row],[DISC 1-]]-NOTA[[#This Row],[DISC 2-]])*NOTA[[#This Row],[DISC 3]])</f>
        <v/>
      </c>
      <c r="AB441" s="37" t="str">
        <f>IF(NOTA[[#This Row],[JUMLAH]]="","",NOTA[[#This Row],[DISC 1-]]+NOTA[[#This Row],[DISC 2-]]+NOTA[[#This Row],[DISC 3-]])</f>
        <v/>
      </c>
      <c r="AC441" s="37" t="str">
        <f>IF(NOTA[[#This Row],[JUMLAH]]="","",NOTA[[#This Row],[JUMLAH]]-NOTA[[#This Row],[DISC]])</f>
        <v/>
      </c>
      <c r="AD441" s="37"/>
      <c r="AE4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1" s="37" t="str">
        <f>IF(OR(NOTA[[#This Row],[QTY]]="",NOTA[[#This Row],[HARGA SATUAN]]="",),"",NOTA[[#This Row],[QTY]]*NOTA[[#This Row],[HARGA SATUAN]])</f>
        <v/>
      </c>
      <c r="AI441" s="26" t="str">
        <f ca="1">IF(NOTA[[#This Row],[ID_H]]="","",INDEX(NOTA[TANGGAL],MATCH(,INDIRECT(ADDRESS(ROW(NOTA[TANGGAL]),COLUMN(NOTA[TANGGAL]))&amp;":"&amp;ADDRESS(ROW(),COLUMN(NOTA[TANGGAL]))),-1)))</f>
        <v/>
      </c>
      <c r="AJ441" s="26" t="str">
        <f ca="1">IF(NOTA[[#This Row],[ID_H]]="","",INDEX(NOTA[TGL.NOTA],MATCH(,INDIRECT(ADDRESS(ROW(NOTA[TGL.NOTA]),COLUMN(NOTA[TGL.NOTA]))&amp;":"&amp;ADDRESS(ROW(),COLUMN(NOTA[TGL.NOTA]))),-1)))</f>
        <v/>
      </c>
      <c r="AK441" s="26" t="str">
        <f ca="1">IF(NOTA[[#This Row],[ID_H]]="","",INDEX(NOTA[NO.NOTA],MATCH(NOTA[[#This Row],[ID_H]],NOTA[ID_H],0)))</f>
        <v/>
      </c>
      <c r="AL441" s="28" t="str">
        <f ca="1">IF(NOTA[[#This Row],[NAMA BARANG]]="","",INDEX(NOTA[SUPPLIER],MATCH(,INDIRECT(ADDRESS(ROW(NOTA[ID]),COLUMN(NOTA[ID]))&amp;":"&amp;ADDRESS(ROW(),COLUMN(NOTA[ID]))),-1)))</f>
        <v/>
      </c>
      <c r="AM441" s="28" t="str">
        <f ca="1">IF(NOTA[[#This Row],[ID_H]]="","",IF(NOTA[[#This Row],[FAKTUR]]="",INDIRECT(ADDRESS(ROW()-1,COLUMN())),NOTA[[#This Row],[FAKTUR]]))</f>
        <v/>
      </c>
      <c r="AN441" s="25" t="str">
        <f ca="1">IF(NOTA[[#This Row],[ID]]="","",COUNTIF(NOTA[ID_H],NOTA[[#This Row],[ID_H]]))</f>
        <v/>
      </c>
      <c r="AO441" s="25" t="str">
        <f ca="1">IF(NOTA[[#This Row],[TGL.NOTA]]="",IF(NOTA[[#This Row],[SUPPLIER_H]]="","",AO440),MONTH(NOTA[[#This Row],[TGL.NOTA]]))</f>
        <v/>
      </c>
      <c r="AP4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1" s="25"/>
      <c r="AU441" s="25" t="str">
        <f>IF(NOTA[[#This Row],[CONCAT1]]="","",MATCH(NOTA[[#This Row],[CONCAT1]],[3]!db[NB NOTA_C],0))</f>
        <v/>
      </c>
      <c r="AV441" s="25" t="str">
        <f>IF(NOTA[[#This Row],[QTY/ CTN]]="","",TRUE)</f>
        <v/>
      </c>
      <c r="AW441" s="25" t="str">
        <f ca="1">IF(NOTA[[#This Row],[ID_H]]="","",IF(NOTA[[#This Row],[Column3]]=TRUE,NOTA[[#This Row],[QTY/ CTN]],INDEX([3]!db[QTY/ CTN],NOTA[[#This Row],[//DB]])))</f>
        <v/>
      </c>
      <c r="AX4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1" s="25" t="str">
        <f ca="1">IF(NOTA[[#This Row],[ID_H]]="","",MATCH(NOTA[[#This Row],[NB NOTA_C_QTY]],[3]!db[NB NOTA_C_QTY+F],0))</f>
        <v/>
      </c>
      <c r="AZ441" s="38" t="str">
        <f ca="1">IF(NOTA[[#This Row],[NB NOTA_C_QTY]]="","",ROW()-2)</f>
        <v/>
      </c>
    </row>
    <row r="442" spans="1:52" ht="20.100000000000001" customHeight="1">
      <c r="A4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2" s="25" t="str">
        <f ca="1">IF(NOTA[[#This Row],[NAMA BARANG]]="","",INDEX(NOTA[ID],MATCH(,INDIRECT(ADDRESS(ROW(NOTA[ID]),COLUMN(NOTA[ID]))&amp;":"&amp;ADDRESS(ROW(),COLUMN(NOTA[ID]))),-1)))</f>
        <v/>
      </c>
      <c r="E442" s="33"/>
      <c r="H442" s="34"/>
      <c r="Q442" s="29"/>
      <c r="R442" s="35"/>
      <c r="S442" s="36"/>
      <c r="V442" s="37"/>
      <c r="W442" s="32"/>
      <c r="X442" s="37" t="str">
        <f>IF(NOTA[[#This Row],[HARGA/ CTN]]="",NOTA[[#This Row],[JUMLAH_H]],NOTA[[#This Row],[HARGA/ CTN]]*IF(NOTA[[#This Row],[C]]="",0,NOTA[[#This Row],[C]]))</f>
        <v/>
      </c>
      <c r="Y442" s="37" t="str">
        <f>IF(NOTA[[#This Row],[JUMLAH]]="","",NOTA[[#This Row],[JUMLAH]]*NOTA[[#This Row],[DISC 1]])</f>
        <v/>
      </c>
      <c r="Z442" s="37" t="str">
        <f>IF(NOTA[[#This Row],[JUMLAH]]="","",(NOTA[[#This Row],[JUMLAH]]-NOTA[[#This Row],[DISC 1-]])*NOTA[[#This Row],[DISC 2]])</f>
        <v/>
      </c>
      <c r="AA442" s="37" t="str">
        <f>IF(NOTA[[#This Row],[JUMLAH]]="","",(NOTA[[#This Row],[JUMLAH]]-NOTA[[#This Row],[DISC 1-]]-NOTA[[#This Row],[DISC 2-]])*NOTA[[#This Row],[DISC 3]])</f>
        <v/>
      </c>
      <c r="AB442" s="37" t="str">
        <f>IF(NOTA[[#This Row],[JUMLAH]]="","",NOTA[[#This Row],[DISC 1-]]+NOTA[[#This Row],[DISC 2-]]+NOTA[[#This Row],[DISC 3-]])</f>
        <v/>
      </c>
      <c r="AC442" s="37" t="str">
        <f>IF(NOTA[[#This Row],[JUMLAH]]="","",NOTA[[#This Row],[JUMLAH]]-NOTA[[#This Row],[DISC]])</f>
        <v/>
      </c>
      <c r="AD442" s="37"/>
      <c r="AE4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2" s="37" t="str">
        <f>IF(OR(NOTA[[#This Row],[QTY]]="",NOTA[[#This Row],[HARGA SATUAN]]="",),"",NOTA[[#This Row],[QTY]]*NOTA[[#This Row],[HARGA SATUAN]])</f>
        <v/>
      </c>
      <c r="AI442" s="26" t="str">
        <f ca="1">IF(NOTA[[#This Row],[ID_H]]="","",INDEX(NOTA[TANGGAL],MATCH(,INDIRECT(ADDRESS(ROW(NOTA[TANGGAL]),COLUMN(NOTA[TANGGAL]))&amp;":"&amp;ADDRESS(ROW(),COLUMN(NOTA[TANGGAL]))),-1)))</f>
        <v/>
      </c>
      <c r="AJ442" s="26" t="str">
        <f ca="1">IF(NOTA[[#This Row],[ID_H]]="","",INDEX(NOTA[TGL.NOTA],MATCH(,INDIRECT(ADDRESS(ROW(NOTA[TGL.NOTA]),COLUMN(NOTA[TGL.NOTA]))&amp;":"&amp;ADDRESS(ROW(),COLUMN(NOTA[TGL.NOTA]))),-1)))</f>
        <v/>
      </c>
      <c r="AK442" s="26" t="str">
        <f ca="1">IF(NOTA[[#This Row],[ID_H]]="","",INDEX(NOTA[NO.NOTA],MATCH(NOTA[[#This Row],[ID_H]],NOTA[ID_H],0)))</f>
        <v/>
      </c>
      <c r="AL442" s="28" t="str">
        <f ca="1">IF(NOTA[[#This Row],[NAMA BARANG]]="","",INDEX(NOTA[SUPPLIER],MATCH(,INDIRECT(ADDRESS(ROW(NOTA[ID]),COLUMN(NOTA[ID]))&amp;":"&amp;ADDRESS(ROW(),COLUMN(NOTA[ID]))),-1)))</f>
        <v/>
      </c>
      <c r="AM442" s="28" t="str">
        <f ca="1">IF(NOTA[[#This Row],[ID_H]]="","",IF(NOTA[[#This Row],[FAKTUR]]="",INDIRECT(ADDRESS(ROW()-1,COLUMN())),NOTA[[#This Row],[FAKTUR]]))</f>
        <v/>
      </c>
      <c r="AN442" s="25" t="str">
        <f ca="1">IF(NOTA[[#This Row],[ID]]="","",COUNTIF(NOTA[ID_H],NOTA[[#This Row],[ID_H]]))</f>
        <v/>
      </c>
      <c r="AO442" s="25" t="str">
        <f ca="1">IF(NOTA[[#This Row],[TGL.NOTA]]="",IF(NOTA[[#This Row],[SUPPLIER_H]]="","",AO441),MONTH(NOTA[[#This Row],[TGL.NOTA]]))</f>
        <v/>
      </c>
      <c r="AP4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2" s="25"/>
      <c r="AU442" s="25" t="str">
        <f>IF(NOTA[[#This Row],[CONCAT1]]="","",MATCH(NOTA[[#This Row],[CONCAT1]],[3]!db[NB NOTA_C],0))</f>
        <v/>
      </c>
      <c r="AV442" s="25" t="str">
        <f>IF(NOTA[[#This Row],[QTY/ CTN]]="","",TRUE)</f>
        <v/>
      </c>
      <c r="AW442" s="25" t="str">
        <f ca="1">IF(NOTA[[#This Row],[ID_H]]="","",IF(NOTA[[#This Row],[Column3]]=TRUE,NOTA[[#This Row],[QTY/ CTN]],INDEX([3]!db[QTY/ CTN],NOTA[[#This Row],[//DB]])))</f>
        <v/>
      </c>
      <c r="AX4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2" s="25" t="str">
        <f ca="1">IF(NOTA[[#This Row],[ID_H]]="","",MATCH(NOTA[[#This Row],[NB NOTA_C_QTY]],[3]!db[NB NOTA_C_QTY+F],0))</f>
        <v/>
      </c>
      <c r="AZ442" s="38" t="str">
        <f ca="1">IF(NOTA[[#This Row],[NB NOTA_C_QTY]]="","",ROW()-2)</f>
        <v/>
      </c>
    </row>
    <row r="443" spans="1:52" ht="20.100000000000001" customHeight="1">
      <c r="A4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3" s="25" t="str">
        <f ca="1">IF(NOTA[[#This Row],[NAMA BARANG]]="","",INDEX(NOTA[ID],MATCH(,INDIRECT(ADDRESS(ROW(NOTA[ID]),COLUMN(NOTA[ID]))&amp;":"&amp;ADDRESS(ROW(),COLUMN(NOTA[ID]))),-1)))</f>
        <v/>
      </c>
      <c r="E443" s="33"/>
      <c r="H443" s="34"/>
      <c r="Q443" s="29"/>
      <c r="R443" s="35"/>
      <c r="S443" s="36"/>
      <c r="V443" s="37"/>
      <c r="W443" s="32"/>
      <c r="X443" s="37" t="str">
        <f>IF(NOTA[[#This Row],[HARGA/ CTN]]="",NOTA[[#This Row],[JUMLAH_H]],NOTA[[#This Row],[HARGA/ CTN]]*IF(NOTA[[#This Row],[C]]="",0,NOTA[[#This Row],[C]]))</f>
        <v/>
      </c>
      <c r="Y443" s="37" t="str">
        <f>IF(NOTA[[#This Row],[JUMLAH]]="","",NOTA[[#This Row],[JUMLAH]]*NOTA[[#This Row],[DISC 1]])</f>
        <v/>
      </c>
      <c r="Z443" s="37" t="str">
        <f>IF(NOTA[[#This Row],[JUMLAH]]="","",(NOTA[[#This Row],[JUMLAH]]-NOTA[[#This Row],[DISC 1-]])*NOTA[[#This Row],[DISC 2]])</f>
        <v/>
      </c>
      <c r="AA443" s="37" t="str">
        <f>IF(NOTA[[#This Row],[JUMLAH]]="","",(NOTA[[#This Row],[JUMLAH]]-NOTA[[#This Row],[DISC 1-]]-NOTA[[#This Row],[DISC 2-]])*NOTA[[#This Row],[DISC 3]])</f>
        <v/>
      </c>
      <c r="AB443" s="37" t="str">
        <f>IF(NOTA[[#This Row],[JUMLAH]]="","",NOTA[[#This Row],[DISC 1-]]+NOTA[[#This Row],[DISC 2-]]+NOTA[[#This Row],[DISC 3-]])</f>
        <v/>
      </c>
      <c r="AC443" s="37" t="str">
        <f>IF(NOTA[[#This Row],[JUMLAH]]="","",NOTA[[#This Row],[JUMLAH]]-NOTA[[#This Row],[DISC]])</f>
        <v/>
      </c>
      <c r="AD443" s="37"/>
      <c r="AE4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3" s="37" t="str">
        <f>IF(OR(NOTA[[#This Row],[QTY]]="",NOTA[[#This Row],[HARGA SATUAN]]="",),"",NOTA[[#This Row],[QTY]]*NOTA[[#This Row],[HARGA SATUAN]])</f>
        <v/>
      </c>
      <c r="AI443" s="26" t="str">
        <f ca="1">IF(NOTA[[#This Row],[ID_H]]="","",INDEX(NOTA[TANGGAL],MATCH(,INDIRECT(ADDRESS(ROW(NOTA[TANGGAL]),COLUMN(NOTA[TANGGAL]))&amp;":"&amp;ADDRESS(ROW(),COLUMN(NOTA[TANGGAL]))),-1)))</f>
        <v/>
      </c>
      <c r="AJ443" s="26" t="str">
        <f ca="1">IF(NOTA[[#This Row],[ID_H]]="","",INDEX(NOTA[TGL.NOTA],MATCH(,INDIRECT(ADDRESS(ROW(NOTA[TGL.NOTA]),COLUMN(NOTA[TGL.NOTA]))&amp;":"&amp;ADDRESS(ROW(),COLUMN(NOTA[TGL.NOTA]))),-1)))</f>
        <v/>
      </c>
      <c r="AK443" s="26" t="str">
        <f ca="1">IF(NOTA[[#This Row],[ID_H]]="","",INDEX(NOTA[NO.NOTA],MATCH(NOTA[[#This Row],[ID_H]],NOTA[ID_H],0)))</f>
        <v/>
      </c>
      <c r="AL443" s="28" t="str">
        <f ca="1">IF(NOTA[[#This Row],[NAMA BARANG]]="","",INDEX(NOTA[SUPPLIER],MATCH(,INDIRECT(ADDRESS(ROW(NOTA[ID]),COLUMN(NOTA[ID]))&amp;":"&amp;ADDRESS(ROW(),COLUMN(NOTA[ID]))),-1)))</f>
        <v/>
      </c>
      <c r="AM443" s="28" t="str">
        <f ca="1">IF(NOTA[[#This Row],[ID_H]]="","",IF(NOTA[[#This Row],[FAKTUR]]="",INDIRECT(ADDRESS(ROW()-1,COLUMN())),NOTA[[#This Row],[FAKTUR]]))</f>
        <v/>
      </c>
      <c r="AN443" s="25" t="str">
        <f ca="1">IF(NOTA[[#This Row],[ID]]="","",COUNTIF(NOTA[ID_H],NOTA[[#This Row],[ID_H]]))</f>
        <v/>
      </c>
      <c r="AO443" s="25" t="str">
        <f ca="1">IF(NOTA[[#This Row],[TGL.NOTA]]="",IF(NOTA[[#This Row],[SUPPLIER_H]]="","",AO442),MONTH(NOTA[[#This Row],[TGL.NOTA]]))</f>
        <v/>
      </c>
      <c r="AP4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3" s="25"/>
      <c r="AU443" s="25" t="str">
        <f>IF(NOTA[[#This Row],[CONCAT1]]="","",MATCH(NOTA[[#This Row],[CONCAT1]],[3]!db[NB NOTA_C],0))</f>
        <v/>
      </c>
      <c r="AV443" s="25" t="str">
        <f>IF(NOTA[[#This Row],[QTY/ CTN]]="","",TRUE)</f>
        <v/>
      </c>
      <c r="AW443" s="25" t="str">
        <f ca="1">IF(NOTA[[#This Row],[ID_H]]="","",IF(NOTA[[#This Row],[Column3]]=TRUE,NOTA[[#This Row],[QTY/ CTN]],INDEX([3]!db[QTY/ CTN],NOTA[[#This Row],[//DB]])))</f>
        <v/>
      </c>
      <c r="AX4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3" s="25" t="str">
        <f ca="1">IF(NOTA[[#This Row],[ID_H]]="","",MATCH(NOTA[[#This Row],[NB NOTA_C_QTY]],[3]!db[NB NOTA_C_QTY+F],0))</f>
        <v/>
      </c>
      <c r="AZ443" s="38" t="str">
        <f ca="1">IF(NOTA[[#This Row],[NB NOTA_C_QTY]]="","",ROW()-2)</f>
        <v/>
      </c>
    </row>
    <row r="444" spans="1:52" ht="20.100000000000001" customHeight="1">
      <c r="A4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4" s="25" t="str">
        <f ca="1">IF(NOTA[[#This Row],[NAMA BARANG]]="","",INDEX(NOTA[ID],MATCH(,INDIRECT(ADDRESS(ROW(NOTA[ID]),COLUMN(NOTA[ID]))&amp;":"&amp;ADDRESS(ROW(),COLUMN(NOTA[ID]))),-1)))</f>
        <v/>
      </c>
      <c r="E444" s="33"/>
      <c r="H444" s="34"/>
      <c r="Q444" s="29"/>
      <c r="R444" s="35"/>
      <c r="S444" s="36"/>
      <c r="V444" s="37"/>
      <c r="W444" s="32"/>
      <c r="X444" s="37" t="str">
        <f>IF(NOTA[[#This Row],[HARGA/ CTN]]="",NOTA[[#This Row],[JUMLAH_H]],NOTA[[#This Row],[HARGA/ CTN]]*IF(NOTA[[#This Row],[C]]="",0,NOTA[[#This Row],[C]]))</f>
        <v/>
      </c>
      <c r="Y444" s="37" t="str">
        <f>IF(NOTA[[#This Row],[JUMLAH]]="","",NOTA[[#This Row],[JUMLAH]]*NOTA[[#This Row],[DISC 1]])</f>
        <v/>
      </c>
      <c r="Z444" s="37" t="str">
        <f>IF(NOTA[[#This Row],[JUMLAH]]="","",(NOTA[[#This Row],[JUMLAH]]-NOTA[[#This Row],[DISC 1-]])*NOTA[[#This Row],[DISC 2]])</f>
        <v/>
      </c>
      <c r="AA444" s="37" t="str">
        <f>IF(NOTA[[#This Row],[JUMLAH]]="","",(NOTA[[#This Row],[JUMLAH]]-NOTA[[#This Row],[DISC 1-]]-NOTA[[#This Row],[DISC 2-]])*NOTA[[#This Row],[DISC 3]])</f>
        <v/>
      </c>
      <c r="AB444" s="37" t="str">
        <f>IF(NOTA[[#This Row],[JUMLAH]]="","",NOTA[[#This Row],[DISC 1-]]+NOTA[[#This Row],[DISC 2-]]+NOTA[[#This Row],[DISC 3-]])</f>
        <v/>
      </c>
      <c r="AC444" s="37" t="str">
        <f>IF(NOTA[[#This Row],[JUMLAH]]="","",NOTA[[#This Row],[JUMLAH]]-NOTA[[#This Row],[DISC]])</f>
        <v/>
      </c>
      <c r="AD444" s="37"/>
      <c r="AE4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4" s="37" t="str">
        <f>IF(OR(NOTA[[#This Row],[QTY]]="",NOTA[[#This Row],[HARGA SATUAN]]="",),"",NOTA[[#This Row],[QTY]]*NOTA[[#This Row],[HARGA SATUAN]])</f>
        <v/>
      </c>
      <c r="AI444" s="26" t="str">
        <f ca="1">IF(NOTA[[#This Row],[ID_H]]="","",INDEX(NOTA[TANGGAL],MATCH(,INDIRECT(ADDRESS(ROW(NOTA[TANGGAL]),COLUMN(NOTA[TANGGAL]))&amp;":"&amp;ADDRESS(ROW(),COLUMN(NOTA[TANGGAL]))),-1)))</f>
        <v/>
      </c>
      <c r="AJ444" s="26" t="str">
        <f ca="1">IF(NOTA[[#This Row],[ID_H]]="","",INDEX(NOTA[TGL.NOTA],MATCH(,INDIRECT(ADDRESS(ROW(NOTA[TGL.NOTA]),COLUMN(NOTA[TGL.NOTA]))&amp;":"&amp;ADDRESS(ROW(),COLUMN(NOTA[TGL.NOTA]))),-1)))</f>
        <v/>
      </c>
      <c r="AK444" s="26" t="str">
        <f ca="1">IF(NOTA[[#This Row],[ID_H]]="","",INDEX(NOTA[NO.NOTA],MATCH(NOTA[[#This Row],[ID_H]],NOTA[ID_H],0)))</f>
        <v/>
      </c>
      <c r="AL444" s="28" t="str">
        <f ca="1">IF(NOTA[[#This Row],[NAMA BARANG]]="","",INDEX(NOTA[SUPPLIER],MATCH(,INDIRECT(ADDRESS(ROW(NOTA[ID]),COLUMN(NOTA[ID]))&amp;":"&amp;ADDRESS(ROW(),COLUMN(NOTA[ID]))),-1)))</f>
        <v/>
      </c>
      <c r="AM444" s="28" t="str">
        <f ca="1">IF(NOTA[[#This Row],[ID_H]]="","",IF(NOTA[[#This Row],[FAKTUR]]="",INDIRECT(ADDRESS(ROW()-1,COLUMN())),NOTA[[#This Row],[FAKTUR]]))</f>
        <v/>
      </c>
      <c r="AN444" s="25" t="str">
        <f ca="1">IF(NOTA[[#This Row],[ID]]="","",COUNTIF(NOTA[ID_H],NOTA[[#This Row],[ID_H]]))</f>
        <v/>
      </c>
      <c r="AO444" s="25" t="str">
        <f ca="1">IF(NOTA[[#This Row],[TGL.NOTA]]="",IF(NOTA[[#This Row],[SUPPLIER_H]]="","",AO443),MONTH(NOTA[[#This Row],[TGL.NOTA]]))</f>
        <v/>
      </c>
      <c r="AP4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4" s="25"/>
      <c r="AU444" s="25" t="str">
        <f>IF(NOTA[[#This Row],[CONCAT1]]="","",MATCH(NOTA[[#This Row],[CONCAT1]],[3]!db[NB NOTA_C],0))</f>
        <v/>
      </c>
      <c r="AV444" s="25" t="str">
        <f>IF(NOTA[[#This Row],[QTY/ CTN]]="","",TRUE)</f>
        <v/>
      </c>
      <c r="AW444" s="25" t="str">
        <f ca="1">IF(NOTA[[#This Row],[ID_H]]="","",IF(NOTA[[#This Row],[Column3]]=TRUE,NOTA[[#This Row],[QTY/ CTN]],INDEX([3]!db[QTY/ CTN],NOTA[[#This Row],[//DB]])))</f>
        <v/>
      </c>
      <c r="AX4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4" s="25" t="str">
        <f ca="1">IF(NOTA[[#This Row],[ID_H]]="","",MATCH(NOTA[[#This Row],[NB NOTA_C_QTY]],[3]!db[NB NOTA_C_QTY+F],0))</f>
        <v/>
      </c>
      <c r="AZ444" s="38" t="str">
        <f ca="1">IF(NOTA[[#This Row],[NB NOTA_C_QTY]]="","",ROW()-2)</f>
        <v/>
      </c>
    </row>
    <row r="445" spans="1:52" ht="20.100000000000001" customHeight="1">
      <c r="A4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5" s="25" t="str">
        <f ca="1">IF(NOTA[[#This Row],[NAMA BARANG]]="","",INDEX(NOTA[ID],MATCH(,INDIRECT(ADDRESS(ROW(NOTA[ID]),COLUMN(NOTA[ID]))&amp;":"&amp;ADDRESS(ROW(),COLUMN(NOTA[ID]))),-1)))</f>
        <v/>
      </c>
      <c r="E445" s="33"/>
      <c r="H445" s="34"/>
      <c r="Q445" s="29"/>
      <c r="R445" s="35"/>
      <c r="S445" s="36"/>
      <c r="V445" s="37"/>
      <c r="W445" s="32"/>
      <c r="X445" s="37" t="str">
        <f>IF(NOTA[[#This Row],[HARGA/ CTN]]="",NOTA[[#This Row],[JUMLAH_H]],NOTA[[#This Row],[HARGA/ CTN]]*IF(NOTA[[#This Row],[C]]="",0,NOTA[[#This Row],[C]]))</f>
        <v/>
      </c>
      <c r="Y445" s="37" t="str">
        <f>IF(NOTA[[#This Row],[JUMLAH]]="","",NOTA[[#This Row],[JUMLAH]]*NOTA[[#This Row],[DISC 1]])</f>
        <v/>
      </c>
      <c r="Z445" s="37" t="str">
        <f>IF(NOTA[[#This Row],[JUMLAH]]="","",(NOTA[[#This Row],[JUMLAH]]-NOTA[[#This Row],[DISC 1-]])*NOTA[[#This Row],[DISC 2]])</f>
        <v/>
      </c>
      <c r="AA445" s="37" t="str">
        <f>IF(NOTA[[#This Row],[JUMLAH]]="","",(NOTA[[#This Row],[JUMLAH]]-NOTA[[#This Row],[DISC 1-]]-NOTA[[#This Row],[DISC 2-]])*NOTA[[#This Row],[DISC 3]])</f>
        <v/>
      </c>
      <c r="AB445" s="37" t="str">
        <f>IF(NOTA[[#This Row],[JUMLAH]]="","",NOTA[[#This Row],[DISC 1-]]+NOTA[[#This Row],[DISC 2-]]+NOTA[[#This Row],[DISC 3-]])</f>
        <v/>
      </c>
      <c r="AC445" s="37" t="str">
        <f>IF(NOTA[[#This Row],[JUMLAH]]="","",NOTA[[#This Row],[JUMLAH]]-NOTA[[#This Row],[DISC]])</f>
        <v/>
      </c>
      <c r="AD445" s="37"/>
      <c r="AE4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5" s="37" t="str">
        <f>IF(OR(NOTA[[#This Row],[QTY]]="",NOTA[[#This Row],[HARGA SATUAN]]="",),"",NOTA[[#This Row],[QTY]]*NOTA[[#This Row],[HARGA SATUAN]])</f>
        <v/>
      </c>
      <c r="AI445" s="26" t="str">
        <f ca="1">IF(NOTA[[#This Row],[ID_H]]="","",INDEX(NOTA[TANGGAL],MATCH(,INDIRECT(ADDRESS(ROW(NOTA[TANGGAL]),COLUMN(NOTA[TANGGAL]))&amp;":"&amp;ADDRESS(ROW(),COLUMN(NOTA[TANGGAL]))),-1)))</f>
        <v/>
      </c>
      <c r="AJ445" s="26" t="str">
        <f ca="1">IF(NOTA[[#This Row],[ID_H]]="","",INDEX(NOTA[TGL.NOTA],MATCH(,INDIRECT(ADDRESS(ROW(NOTA[TGL.NOTA]),COLUMN(NOTA[TGL.NOTA]))&amp;":"&amp;ADDRESS(ROW(),COLUMN(NOTA[TGL.NOTA]))),-1)))</f>
        <v/>
      </c>
      <c r="AK445" s="26" t="str">
        <f ca="1">IF(NOTA[[#This Row],[ID_H]]="","",INDEX(NOTA[NO.NOTA],MATCH(NOTA[[#This Row],[ID_H]],NOTA[ID_H],0)))</f>
        <v/>
      </c>
      <c r="AL445" s="28" t="str">
        <f ca="1">IF(NOTA[[#This Row],[NAMA BARANG]]="","",INDEX(NOTA[SUPPLIER],MATCH(,INDIRECT(ADDRESS(ROW(NOTA[ID]),COLUMN(NOTA[ID]))&amp;":"&amp;ADDRESS(ROW(),COLUMN(NOTA[ID]))),-1)))</f>
        <v/>
      </c>
      <c r="AM445" s="28" t="str">
        <f ca="1">IF(NOTA[[#This Row],[ID_H]]="","",IF(NOTA[[#This Row],[FAKTUR]]="",INDIRECT(ADDRESS(ROW()-1,COLUMN())),NOTA[[#This Row],[FAKTUR]]))</f>
        <v/>
      </c>
      <c r="AN445" s="25" t="str">
        <f ca="1">IF(NOTA[[#This Row],[ID]]="","",COUNTIF(NOTA[ID_H],NOTA[[#This Row],[ID_H]]))</f>
        <v/>
      </c>
      <c r="AO445" s="25" t="str">
        <f ca="1">IF(NOTA[[#This Row],[TGL.NOTA]]="",IF(NOTA[[#This Row],[SUPPLIER_H]]="","",AO444),MONTH(NOTA[[#This Row],[TGL.NOTA]]))</f>
        <v/>
      </c>
      <c r="AP4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5" s="25"/>
      <c r="AU445" s="25" t="str">
        <f>IF(NOTA[[#This Row],[CONCAT1]]="","",MATCH(NOTA[[#This Row],[CONCAT1]],[3]!db[NB NOTA_C],0))</f>
        <v/>
      </c>
      <c r="AV445" s="25" t="str">
        <f>IF(NOTA[[#This Row],[QTY/ CTN]]="","",TRUE)</f>
        <v/>
      </c>
      <c r="AW445" s="25" t="str">
        <f ca="1">IF(NOTA[[#This Row],[ID_H]]="","",IF(NOTA[[#This Row],[Column3]]=TRUE,NOTA[[#This Row],[QTY/ CTN]],INDEX([3]!db[QTY/ CTN],NOTA[[#This Row],[//DB]])))</f>
        <v/>
      </c>
      <c r="AX4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5" s="25" t="str">
        <f ca="1">IF(NOTA[[#This Row],[ID_H]]="","",MATCH(NOTA[[#This Row],[NB NOTA_C_QTY]],[3]!db[NB NOTA_C_QTY+F],0))</f>
        <v/>
      </c>
      <c r="AZ445" s="38" t="str">
        <f ca="1">IF(NOTA[[#This Row],[NB NOTA_C_QTY]]="","",ROW()-2)</f>
        <v/>
      </c>
    </row>
    <row r="446" spans="1:52" ht="20.100000000000001" customHeight="1">
      <c r="A4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6" s="25" t="str">
        <f ca="1">IF(NOTA[[#This Row],[NAMA BARANG]]="","",INDEX(NOTA[ID],MATCH(,INDIRECT(ADDRESS(ROW(NOTA[ID]),COLUMN(NOTA[ID]))&amp;":"&amp;ADDRESS(ROW(),COLUMN(NOTA[ID]))),-1)))</f>
        <v/>
      </c>
      <c r="E446" s="33"/>
      <c r="H446" s="34"/>
      <c r="Q446" s="29"/>
      <c r="R446" s="35"/>
      <c r="S446" s="36"/>
      <c r="V446" s="37"/>
      <c r="W446" s="32"/>
      <c r="X446" s="37" t="str">
        <f>IF(NOTA[[#This Row],[HARGA/ CTN]]="",NOTA[[#This Row],[JUMLAH_H]],NOTA[[#This Row],[HARGA/ CTN]]*IF(NOTA[[#This Row],[C]]="",0,NOTA[[#This Row],[C]]))</f>
        <v/>
      </c>
      <c r="Y446" s="37" t="str">
        <f>IF(NOTA[[#This Row],[JUMLAH]]="","",NOTA[[#This Row],[JUMLAH]]*NOTA[[#This Row],[DISC 1]])</f>
        <v/>
      </c>
      <c r="Z446" s="37" t="str">
        <f>IF(NOTA[[#This Row],[JUMLAH]]="","",(NOTA[[#This Row],[JUMLAH]]-NOTA[[#This Row],[DISC 1-]])*NOTA[[#This Row],[DISC 2]])</f>
        <v/>
      </c>
      <c r="AA446" s="37" t="str">
        <f>IF(NOTA[[#This Row],[JUMLAH]]="","",(NOTA[[#This Row],[JUMLAH]]-NOTA[[#This Row],[DISC 1-]]-NOTA[[#This Row],[DISC 2-]])*NOTA[[#This Row],[DISC 3]])</f>
        <v/>
      </c>
      <c r="AB446" s="37" t="str">
        <f>IF(NOTA[[#This Row],[JUMLAH]]="","",NOTA[[#This Row],[DISC 1-]]+NOTA[[#This Row],[DISC 2-]]+NOTA[[#This Row],[DISC 3-]])</f>
        <v/>
      </c>
      <c r="AC446" s="37" t="str">
        <f>IF(NOTA[[#This Row],[JUMLAH]]="","",NOTA[[#This Row],[JUMLAH]]-NOTA[[#This Row],[DISC]])</f>
        <v/>
      </c>
      <c r="AD446" s="37"/>
      <c r="AE4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6" s="37" t="str">
        <f>IF(OR(NOTA[[#This Row],[QTY]]="",NOTA[[#This Row],[HARGA SATUAN]]="",),"",NOTA[[#This Row],[QTY]]*NOTA[[#This Row],[HARGA SATUAN]])</f>
        <v/>
      </c>
      <c r="AI446" s="26" t="str">
        <f ca="1">IF(NOTA[[#This Row],[ID_H]]="","",INDEX(NOTA[TANGGAL],MATCH(,INDIRECT(ADDRESS(ROW(NOTA[TANGGAL]),COLUMN(NOTA[TANGGAL]))&amp;":"&amp;ADDRESS(ROW(),COLUMN(NOTA[TANGGAL]))),-1)))</f>
        <v/>
      </c>
      <c r="AJ446" s="26" t="str">
        <f ca="1">IF(NOTA[[#This Row],[ID_H]]="","",INDEX(NOTA[TGL.NOTA],MATCH(,INDIRECT(ADDRESS(ROW(NOTA[TGL.NOTA]),COLUMN(NOTA[TGL.NOTA]))&amp;":"&amp;ADDRESS(ROW(),COLUMN(NOTA[TGL.NOTA]))),-1)))</f>
        <v/>
      </c>
      <c r="AK446" s="26" t="str">
        <f ca="1">IF(NOTA[[#This Row],[ID_H]]="","",INDEX(NOTA[NO.NOTA],MATCH(NOTA[[#This Row],[ID_H]],NOTA[ID_H],0)))</f>
        <v/>
      </c>
      <c r="AL446" s="28" t="str">
        <f ca="1">IF(NOTA[[#This Row],[NAMA BARANG]]="","",INDEX(NOTA[SUPPLIER],MATCH(,INDIRECT(ADDRESS(ROW(NOTA[ID]),COLUMN(NOTA[ID]))&amp;":"&amp;ADDRESS(ROW(),COLUMN(NOTA[ID]))),-1)))</f>
        <v/>
      </c>
      <c r="AM446" s="28" t="str">
        <f ca="1">IF(NOTA[[#This Row],[ID_H]]="","",IF(NOTA[[#This Row],[FAKTUR]]="",INDIRECT(ADDRESS(ROW()-1,COLUMN())),NOTA[[#This Row],[FAKTUR]]))</f>
        <v/>
      </c>
      <c r="AN446" s="25" t="str">
        <f ca="1">IF(NOTA[[#This Row],[ID]]="","",COUNTIF(NOTA[ID_H],NOTA[[#This Row],[ID_H]]))</f>
        <v/>
      </c>
      <c r="AO446" s="25" t="str">
        <f ca="1">IF(NOTA[[#This Row],[TGL.NOTA]]="",IF(NOTA[[#This Row],[SUPPLIER_H]]="","",AO445),MONTH(NOTA[[#This Row],[TGL.NOTA]]))</f>
        <v/>
      </c>
      <c r="AP4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6" s="25"/>
      <c r="AU446" s="25" t="str">
        <f>IF(NOTA[[#This Row],[CONCAT1]]="","",MATCH(NOTA[[#This Row],[CONCAT1]],[3]!db[NB NOTA_C],0))</f>
        <v/>
      </c>
      <c r="AV446" s="25" t="str">
        <f>IF(NOTA[[#This Row],[QTY/ CTN]]="","",TRUE)</f>
        <v/>
      </c>
      <c r="AW446" s="25" t="str">
        <f ca="1">IF(NOTA[[#This Row],[ID_H]]="","",IF(NOTA[[#This Row],[Column3]]=TRUE,NOTA[[#This Row],[QTY/ CTN]],INDEX([3]!db[QTY/ CTN],NOTA[[#This Row],[//DB]])))</f>
        <v/>
      </c>
      <c r="AX4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6" s="25" t="str">
        <f ca="1">IF(NOTA[[#This Row],[ID_H]]="","",MATCH(NOTA[[#This Row],[NB NOTA_C_QTY]],[3]!db[NB NOTA_C_QTY+F],0))</f>
        <v/>
      </c>
      <c r="AZ446" s="38" t="str">
        <f ca="1">IF(NOTA[[#This Row],[NB NOTA_C_QTY]]="","",ROW()-2)</f>
        <v/>
      </c>
    </row>
    <row r="447" spans="1:52" ht="20.100000000000001" customHeight="1">
      <c r="A4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7" s="25" t="str">
        <f ca="1">IF(NOTA[[#This Row],[NAMA BARANG]]="","",INDEX(NOTA[ID],MATCH(,INDIRECT(ADDRESS(ROW(NOTA[ID]),COLUMN(NOTA[ID]))&amp;":"&amp;ADDRESS(ROW(),COLUMN(NOTA[ID]))),-1)))</f>
        <v/>
      </c>
      <c r="E447" s="33"/>
      <c r="H447" s="34"/>
      <c r="Q447" s="29"/>
      <c r="R447" s="35"/>
      <c r="S447" s="36"/>
      <c r="V447" s="37"/>
      <c r="W447" s="32"/>
      <c r="X447" s="37" t="str">
        <f>IF(NOTA[[#This Row],[HARGA/ CTN]]="",NOTA[[#This Row],[JUMLAH_H]],NOTA[[#This Row],[HARGA/ CTN]]*IF(NOTA[[#This Row],[C]]="",0,NOTA[[#This Row],[C]]))</f>
        <v/>
      </c>
      <c r="Y447" s="37" t="str">
        <f>IF(NOTA[[#This Row],[JUMLAH]]="","",NOTA[[#This Row],[JUMLAH]]*NOTA[[#This Row],[DISC 1]])</f>
        <v/>
      </c>
      <c r="Z447" s="37" t="str">
        <f>IF(NOTA[[#This Row],[JUMLAH]]="","",(NOTA[[#This Row],[JUMLAH]]-NOTA[[#This Row],[DISC 1-]])*NOTA[[#This Row],[DISC 2]])</f>
        <v/>
      </c>
      <c r="AA447" s="37" t="str">
        <f>IF(NOTA[[#This Row],[JUMLAH]]="","",(NOTA[[#This Row],[JUMLAH]]-NOTA[[#This Row],[DISC 1-]]-NOTA[[#This Row],[DISC 2-]])*NOTA[[#This Row],[DISC 3]])</f>
        <v/>
      </c>
      <c r="AB447" s="37" t="str">
        <f>IF(NOTA[[#This Row],[JUMLAH]]="","",NOTA[[#This Row],[DISC 1-]]+NOTA[[#This Row],[DISC 2-]]+NOTA[[#This Row],[DISC 3-]])</f>
        <v/>
      </c>
      <c r="AC447" s="37" t="str">
        <f>IF(NOTA[[#This Row],[JUMLAH]]="","",NOTA[[#This Row],[JUMLAH]]-NOTA[[#This Row],[DISC]])</f>
        <v/>
      </c>
      <c r="AD447" s="37"/>
      <c r="AE4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7" s="37" t="str">
        <f>IF(OR(NOTA[[#This Row],[QTY]]="",NOTA[[#This Row],[HARGA SATUAN]]="",),"",NOTA[[#This Row],[QTY]]*NOTA[[#This Row],[HARGA SATUAN]])</f>
        <v/>
      </c>
      <c r="AI447" s="26" t="str">
        <f ca="1">IF(NOTA[[#This Row],[ID_H]]="","",INDEX(NOTA[TANGGAL],MATCH(,INDIRECT(ADDRESS(ROW(NOTA[TANGGAL]),COLUMN(NOTA[TANGGAL]))&amp;":"&amp;ADDRESS(ROW(),COLUMN(NOTA[TANGGAL]))),-1)))</f>
        <v/>
      </c>
      <c r="AJ447" s="26" t="str">
        <f ca="1">IF(NOTA[[#This Row],[ID_H]]="","",INDEX(NOTA[TGL.NOTA],MATCH(,INDIRECT(ADDRESS(ROW(NOTA[TGL.NOTA]),COLUMN(NOTA[TGL.NOTA]))&amp;":"&amp;ADDRESS(ROW(),COLUMN(NOTA[TGL.NOTA]))),-1)))</f>
        <v/>
      </c>
      <c r="AK447" s="26" t="str">
        <f ca="1">IF(NOTA[[#This Row],[ID_H]]="","",INDEX(NOTA[NO.NOTA],MATCH(NOTA[[#This Row],[ID_H]],NOTA[ID_H],0)))</f>
        <v/>
      </c>
      <c r="AL447" s="28" t="str">
        <f ca="1">IF(NOTA[[#This Row],[NAMA BARANG]]="","",INDEX(NOTA[SUPPLIER],MATCH(,INDIRECT(ADDRESS(ROW(NOTA[ID]),COLUMN(NOTA[ID]))&amp;":"&amp;ADDRESS(ROW(),COLUMN(NOTA[ID]))),-1)))</f>
        <v/>
      </c>
      <c r="AM447" s="28" t="str">
        <f ca="1">IF(NOTA[[#This Row],[ID_H]]="","",IF(NOTA[[#This Row],[FAKTUR]]="",INDIRECT(ADDRESS(ROW()-1,COLUMN())),NOTA[[#This Row],[FAKTUR]]))</f>
        <v/>
      </c>
      <c r="AN447" s="25" t="str">
        <f ca="1">IF(NOTA[[#This Row],[ID]]="","",COUNTIF(NOTA[ID_H],NOTA[[#This Row],[ID_H]]))</f>
        <v/>
      </c>
      <c r="AO447" s="25" t="str">
        <f ca="1">IF(NOTA[[#This Row],[TGL.NOTA]]="",IF(NOTA[[#This Row],[SUPPLIER_H]]="","",AO446),MONTH(NOTA[[#This Row],[TGL.NOTA]]))</f>
        <v/>
      </c>
      <c r="AP4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7" s="25"/>
      <c r="AU447" s="25" t="str">
        <f>IF(NOTA[[#This Row],[CONCAT1]]="","",MATCH(NOTA[[#This Row],[CONCAT1]],[3]!db[NB NOTA_C],0))</f>
        <v/>
      </c>
      <c r="AV447" s="25" t="str">
        <f>IF(NOTA[[#This Row],[QTY/ CTN]]="","",TRUE)</f>
        <v/>
      </c>
      <c r="AW447" s="25" t="str">
        <f ca="1">IF(NOTA[[#This Row],[ID_H]]="","",IF(NOTA[[#This Row],[Column3]]=TRUE,NOTA[[#This Row],[QTY/ CTN]],INDEX([3]!db[QTY/ CTN],NOTA[[#This Row],[//DB]])))</f>
        <v/>
      </c>
      <c r="AX4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7" s="25" t="str">
        <f ca="1">IF(NOTA[[#This Row],[ID_H]]="","",MATCH(NOTA[[#This Row],[NB NOTA_C_QTY]],[3]!db[NB NOTA_C_QTY+F],0))</f>
        <v/>
      </c>
      <c r="AZ447" s="38" t="str">
        <f ca="1">IF(NOTA[[#This Row],[NB NOTA_C_QTY]]="","",ROW()-2)</f>
        <v/>
      </c>
    </row>
    <row r="448" spans="1:52" ht="20.100000000000001" customHeight="1">
      <c r="A4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8" s="25" t="str">
        <f ca="1">IF(NOTA[[#This Row],[NAMA BARANG]]="","",INDEX(NOTA[ID],MATCH(,INDIRECT(ADDRESS(ROW(NOTA[ID]),COLUMN(NOTA[ID]))&amp;":"&amp;ADDRESS(ROW(),COLUMN(NOTA[ID]))),-1)))</f>
        <v/>
      </c>
      <c r="E448" s="33"/>
      <c r="H448" s="34"/>
      <c r="Q448" s="29"/>
      <c r="R448" s="35"/>
      <c r="S448" s="36"/>
      <c r="V448" s="37"/>
      <c r="W448" s="32"/>
      <c r="X448" s="37" t="str">
        <f>IF(NOTA[[#This Row],[HARGA/ CTN]]="",NOTA[[#This Row],[JUMLAH_H]],NOTA[[#This Row],[HARGA/ CTN]]*IF(NOTA[[#This Row],[C]]="",0,NOTA[[#This Row],[C]]))</f>
        <v/>
      </c>
      <c r="Y448" s="37" t="str">
        <f>IF(NOTA[[#This Row],[JUMLAH]]="","",NOTA[[#This Row],[JUMLAH]]*NOTA[[#This Row],[DISC 1]])</f>
        <v/>
      </c>
      <c r="Z448" s="37" t="str">
        <f>IF(NOTA[[#This Row],[JUMLAH]]="","",(NOTA[[#This Row],[JUMLAH]]-NOTA[[#This Row],[DISC 1-]])*NOTA[[#This Row],[DISC 2]])</f>
        <v/>
      </c>
      <c r="AA448" s="37" t="str">
        <f>IF(NOTA[[#This Row],[JUMLAH]]="","",(NOTA[[#This Row],[JUMLAH]]-NOTA[[#This Row],[DISC 1-]]-NOTA[[#This Row],[DISC 2-]])*NOTA[[#This Row],[DISC 3]])</f>
        <v/>
      </c>
      <c r="AB448" s="37" t="str">
        <f>IF(NOTA[[#This Row],[JUMLAH]]="","",NOTA[[#This Row],[DISC 1-]]+NOTA[[#This Row],[DISC 2-]]+NOTA[[#This Row],[DISC 3-]])</f>
        <v/>
      </c>
      <c r="AC448" s="37" t="str">
        <f>IF(NOTA[[#This Row],[JUMLAH]]="","",NOTA[[#This Row],[JUMLAH]]-NOTA[[#This Row],[DISC]])</f>
        <v/>
      </c>
      <c r="AD448" s="37"/>
      <c r="AE4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8" s="37" t="str">
        <f>IF(OR(NOTA[[#This Row],[QTY]]="",NOTA[[#This Row],[HARGA SATUAN]]="",),"",NOTA[[#This Row],[QTY]]*NOTA[[#This Row],[HARGA SATUAN]])</f>
        <v/>
      </c>
      <c r="AI448" s="26" t="str">
        <f ca="1">IF(NOTA[[#This Row],[ID_H]]="","",INDEX(NOTA[TANGGAL],MATCH(,INDIRECT(ADDRESS(ROW(NOTA[TANGGAL]),COLUMN(NOTA[TANGGAL]))&amp;":"&amp;ADDRESS(ROW(),COLUMN(NOTA[TANGGAL]))),-1)))</f>
        <v/>
      </c>
      <c r="AJ448" s="26" t="str">
        <f ca="1">IF(NOTA[[#This Row],[ID_H]]="","",INDEX(NOTA[TGL.NOTA],MATCH(,INDIRECT(ADDRESS(ROW(NOTA[TGL.NOTA]),COLUMN(NOTA[TGL.NOTA]))&amp;":"&amp;ADDRESS(ROW(),COLUMN(NOTA[TGL.NOTA]))),-1)))</f>
        <v/>
      </c>
      <c r="AK448" s="26" t="str">
        <f ca="1">IF(NOTA[[#This Row],[ID_H]]="","",INDEX(NOTA[NO.NOTA],MATCH(NOTA[[#This Row],[ID_H]],NOTA[ID_H],0)))</f>
        <v/>
      </c>
      <c r="AL448" s="28" t="str">
        <f ca="1">IF(NOTA[[#This Row],[NAMA BARANG]]="","",INDEX(NOTA[SUPPLIER],MATCH(,INDIRECT(ADDRESS(ROW(NOTA[ID]),COLUMN(NOTA[ID]))&amp;":"&amp;ADDRESS(ROW(),COLUMN(NOTA[ID]))),-1)))</f>
        <v/>
      </c>
      <c r="AM448" s="28" t="str">
        <f ca="1">IF(NOTA[[#This Row],[ID_H]]="","",IF(NOTA[[#This Row],[FAKTUR]]="",INDIRECT(ADDRESS(ROW()-1,COLUMN())),NOTA[[#This Row],[FAKTUR]]))</f>
        <v/>
      </c>
      <c r="AN448" s="25" t="str">
        <f ca="1">IF(NOTA[[#This Row],[ID]]="","",COUNTIF(NOTA[ID_H],NOTA[[#This Row],[ID_H]]))</f>
        <v/>
      </c>
      <c r="AO448" s="25" t="str">
        <f ca="1">IF(NOTA[[#This Row],[TGL.NOTA]]="",IF(NOTA[[#This Row],[SUPPLIER_H]]="","",AO447),MONTH(NOTA[[#This Row],[TGL.NOTA]]))</f>
        <v/>
      </c>
      <c r="AP4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8" s="25"/>
      <c r="AU448" s="25" t="str">
        <f>IF(NOTA[[#This Row],[CONCAT1]]="","",MATCH(NOTA[[#This Row],[CONCAT1]],[3]!db[NB NOTA_C],0))</f>
        <v/>
      </c>
      <c r="AV448" s="25" t="str">
        <f>IF(NOTA[[#This Row],[QTY/ CTN]]="","",TRUE)</f>
        <v/>
      </c>
      <c r="AW448" s="25" t="str">
        <f ca="1">IF(NOTA[[#This Row],[ID_H]]="","",IF(NOTA[[#This Row],[Column3]]=TRUE,NOTA[[#This Row],[QTY/ CTN]],INDEX([3]!db[QTY/ CTN],NOTA[[#This Row],[//DB]])))</f>
        <v/>
      </c>
      <c r="AX4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8" s="25" t="str">
        <f ca="1">IF(NOTA[[#This Row],[ID_H]]="","",MATCH(NOTA[[#This Row],[NB NOTA_C_QTY]],[3]!db[NB NOTA_C_QTY+F],0))</f>
        <v/>
      </c>
      <c r="AZ448" s="38" t="str">
        <f ca="1">IF(NOTA[[#This Row],[NB NOTA_C_QTY]]="","",ROW()-2)</f>
        <v/>
      </c>
    </row>
    <row r="449" spans="1:52" ht="20.100000000000001" customHeight="1">
      <c r="A4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9" s="25" t="str">
        <f ca="1">IF(NOTA[[#This Row],[NAMA BARANG]]="","",INDEX(NOTA[ID],MATCH(,INDIRECT(ADDRESS(ROW(NOTA[ID]),COLUMN(NOTA[ID]))&amp;":"&amp;ADDRESS(ROW(),COLUMN(NOTA[ID]))),-1)))</f>
        <v/>
      </c>
      <c r="E449" s="33"/>
      <c r="H449" s="34"/>
      <c r="Q449" s="29"/>
      <c r="R449" s="35"/>
      <c r="S449" s="36"/>
      <c r="V449" s="37"/>
      <c r="W449" s="32"/>
      <c r="X449" s="37" t="str">
        <f>IF(NOTA[[#This Row],[HARGA/ CTN]]="",NOTA[[#This Row],[JUMLAH_H]],NOTA[[#This Row],[HARGA/ CTN]]*IF(NOTA[[#This Row],[C]]="",0,NOTA[[#This Row],[C]]))</f>
        <v/>
      </c>
      <c r="Y449" s="37" t="str">
        <f>IF(NOTA[[#This Row],[JUMLAH]]="","",NOTA[[#This Row],[JUMLAH]]*NOTA[[#This Row],[DISC 1]])</f>
        <v/>
      </c>
      <c r="Z449" s="37" t="str">
        <f>IF(NOTA[[#This Row],[JUMLAH]]="","",(NOTA[[#This Row],[JUMLAH]]-NOTA[[#This Row],[DISC 1-]])*NOTA[[#This Row],[DISC 2]])</f>
        <v/>
      </c>
      <c r="AA449" s="37" t="str">
        <f>IF(NOTA[[#This Row],[JUMLAH]]="","",(NOTA[[#This Row],[JUMLAH]]-NOTA[[#This Row],[DISC 1-]]-NOTA[[#This Row],[DISC 2-]])*NOTA[[#This Row],[DISC 3]])</f>
        <v/>
      </c>
      <c r="AB449" s="37" t="str">
        <f>IF(NOTA[[#This Row],[JUMLAH]]="","",NOTA[[#This Row],[DISC 1-]]+NOTA[[#This Row],[DISC 2-]]+NOTA[[#This Row],[DISC 3-]])</f>
        <v/>
      </c>
      <c r="AC449" s="37" t="str">
        <f>IF(NOTA[[#This Row],[JUMLAH]]="","",NOTA[[#This Row],[JUMLAH]]-NOTA[[#This Row],[DISC]])</f>
        <v/>
      </c>
      <c r="AD449" s="37"/>
      <c r="AE4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9" s="37" t="str">
        <f>IF(OR(NOTA[[#This Row],[QTY]]="",NOTA[[#This Row],[HARGA SATUAN]]="",),"",NOTA[[#This Row],[QTY]]*NOTA[[#This Row],[HARGA SATUAN]])</f>
        <v/>
      </c>
      <c r="AI449" s="26" t="str">
        <f ca="1">IF(NOTA[[#This Row],[ID_H]]="","",INDEX(NOTA[TANGGAL],MATCH(,INDIRECT(ADDRESS(ROW(NOTA[TANGGAL]),COLUMN(NOTA[TANGGAL]))&amp;":"&amp;ADDRESS(ROW(),COLUMN(NOTA[TANGGAL]))),-1)))</f>
        <v/>
      </c>
      <c r="AJ449" s="26" t="str">
        <f ca="1">IF(NOTA[[#This Row],[ID_H]]="","",INDEX(NOTA[TGL.NOTA],MATCH(,INDIRECT(ADDRESS(ROW(NOTA[TGL.NOTA]),COLUMN(NOTA[TGL.NOTA]))&amp;":"&amp;ADDRESS(ROW(),COLUMN(NOTA[TGL.NOTA]))),-1)))</f>
        <v/>
      </c>
      <c r="AK449" s="26" t="str">
        <f ca="1">IF(NOTA[[#This Row],[ID_H]]="","",INDEX(NOTA[NO.NOTA],MATCH(NOTA[[#This Row],[ID_H]],NOTA[ID_H],0)))</f>
        <v/>
      </c>
      <c r="AL449" s="28" t="str">
        <f ca="1">IF(NOTA[[#This Row],[NAMA BARANG]]="","",INDEX(NOTA[SUPPLIER],MATCH(,INDIRECT(ADDRESS(ROW(NOTA[ID]),COLUMN(NOTA[ID]))&amp;":"&amp;ADDRESS(ROW(),COLUMN(NOTA[ID]))),-1)))</f>
        <v/>
      </c>
      <c r="AM449" s="28" t="str">
        <f ca="1">IF(NOTA[[#This Row],[ID_H]]="","",IF(NOTA[[#This Row],[FAKTUR]]="",INDIRECT(ADDRESS(ROW()-1,COLUMN())),NOTA[[#This Row],[FAKTUR]]))</f>
        <v/>
      </c>
      <c r="AN449" s="25" t="str">
        <f ca="1">IF(NOTA[[#This Row],[ID]]="","",COUNTIF(NOTA[ID_H],NOTA[[#This Row],[ID_H]]))</f>
        <v/>
      </c>
      <c r="AO449" s="25" t="str">
        <f ca="1">IF(NOTA[[#This Row],[TGL.NOTA]]="",IF(NOTA[[#This Row],[SUPPLIER_H]]="","",AO448),MONTH(NOTA[[#This Row],[TGL.NOTA]]))</f>
        <v/>
      </c>
      <c r="AP4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9" s="25"/>
      <c r="AU449" s="25" t="str">
        <f>IF(NOTA[[#This Row],[CONCAT1]]="","",MATCH(NOTA[[#This Row],[CONCAT1]],[3]!db[NB NOTA_C],0))</f>
        <v/>
      </c>
      <c r="AV449" s="25" t="str">
        <f>IF(NOTA[[#This Row],[QTY/ CTN]]="","",TRUE)</f>
        <v/>
      </c>
      <c r="AW449" s="25" t="str">
        <f ca="1">IF(NOTA[[#This Row],[ID_H]]="","",IF(NOTA[[#This Row],[Column3]]=TRUE,NOTA[[#This Row],[QTY/ CTN]],INDEX([3]!db[QTY/ CTN],NOTA[[#This Row],[//DB]])))</f>
        <v/>
      </c>
      <c r="AX4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9" s="25" t="str">
        <f ca="1">IF(NOTA[[#This Row],[ID_H]]="","",MATCH(NOTA[[#This Row],[NB NOTA_C_QTY]],[3]!db[NB NOTA_C_QTY+F],0))</f>
        <v/>
      </c>
      <c r="AZ449" s="38" t="str">
        <f ca="1">IF(NOTA[[#This Row],[NB NOTA_C_QTY]]="","",ROW()-2)</f>
        <v/>
      </c>
    </row>
    <row r="450" spans="1:52" ht="20.100000000000001" customHeight="1">
      <c r="A4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0" s="25" t="str">
        <f ca="1">IF(NOTA[[#This Row],[NAMA BARANG]]="","",INDEX(NOTA[ID],MATCH(,INDIRECT(ADDRESS(ROW(NOTA[ID]),COLUMN(NOTA[ID]))&amp;":"&amp;ADDRESS(ROW(),COLUMN(NOTA[ID]))),-1)))</f>
        <v/>
      </c>
      <c r="E450" s="33"/>
      <c r="H450" s="34"/>
      <c r="Q450" s="29"/>
      <c r="R450" s="35"/>
      <c r="S450" s="36"/>
      <c r="V450" s="37"/>
      <c r="W450" s="32"/>
      <c r="X450" s="37" t="str">
        <f>IF(NOTA[[#This Row],[HARGA/ CTN]]="",NOTA[[#This Row],[JUMLAH_H]],NOTA[[#This Row],[HARGA/ CTN]]*IF(NOTA[[#This Row],[C]]="",0,NOTA[[#This Row],[C]]))</f>
        <v/>
      </c>
      <c r="Y450" s="37" t="str">
        <f>IF(NOTA[[#This Row],[JUMLAH]]="","",NOTA[[#This Row],[JUMLAH]]*NOTA[[#This Row],[DISC 1]])</f>
        <v/>
      </c>
      <c r="Z450" s="37" t="str">
        <f>IF(NOTA[[#This Row],[JUMLAH]]="","",(NOTA[[#This Row],[JUMLAH]]-NOTA[[#This Row],[DISC 1-]])*NOTA[[#This Row],[DISC 2]])</f>
        <v/>
      </c>
      <c r="AA450" s="37" t="str">
        <f>IF(NOTA[[#This Row],[JUMLAH]]="","",(NOTA[[#This Row],[JUMLAH]]-NOTA[[#This Row],[DISC 1-]]-NOTA[[#This Row],[DISC 2-]])*NOTA[[#This Row],[DISC 3]])</f>
        <v/>
      </c>
      <c r="AB450" s="37" t="str">
        <f>IF(NOTA[[#This Row],[JUMLAH]]="","",NOTA[[#This Row],[DISC 1-]]+NOTA[[#This Row],[DISC 2-]]+NOTA[[#This Row],[DISC 3-]])</f>
        <v/>
      </c>
      <c r="AC450" s="37" t="str">
        <f>IF(NOTA[[#This Row],[JUMLAH]]="","",NOTA[[#This Row],[JUMLAH]]-NOTA[[#This Row],[DISC]])</f>
        <v/>
      </c>
      <c r="AD450" s="37"/>
      <c r="AE4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0" s="37" t="str">
        <f>IF(OR(NOTA[[#This Row],[QTY]]="",NOTA[[#This Row],[HARGA SATUAN]]="",),"",NOTA[[#This Row],[QTY]]*NOTA[[#This Row],[HARGA SATUAN]])</f>
        <v/>
      </c>
      <c r="AI450" s="26" t="str">
        <f ca="1">IF(NOTA[[#This Row],[ID_H]]="","",INDEX(NOTA[TANGGAL],MATCH(,INDIRECT(ADDRESS(ROW(NOTA[TANGGAL]),COLUMN(NOTA[TANGGAL]))&amp;":"&amp;ADDRESS(ROW(),COLUMN(NOTA[TANGGAL]))),-1)))</f>
        <v/>
      </c>
      <c r="AJ450" s="26" t="str">
        <f ca="1">IF(NOTA[[#This Row],[ID_H]]="","",INDEX(NOTA[TGL.NOTA],MATCH(,INDIRECT(ADDRESS(ROW(NOTA[TGL.NOTA]),COLUMN(NOTA[TGL.NOTA]))&amp;":"&amp;ADDRESS(ROW(),COLUMN(NOTA[TGL.NOTA]))),-1)))</f>
        <v/>
      </c>
      <c r="AK450" s="26" t="str">
        <f ca="1">IF(NOTA[[#This Row],[ID_H]]="","",INDEX(NOTA[NO.NOTA],MATCH(NOTA[[#This Row],[ID_H]],NOTA[ID_H],0)))</f>
        <v/>
      </c>
      <c r="AL450" s="28" t="str">
        <f ca="1">IF(NOTA[[#This Row],[NAMA BARANG]]="","",INDEX(NOTA[SUPPLIER],MATCH(,INDIRECT(ADDRESS(ROW(NOTA[ID]),COLUMN(NOTA[ID]))&amp;":"&amp;ADDRESS(ROW(),COLUMN(NOTA[ID]))),-1)))</f>
        <v/>
      </c>
      <c r="AM450" s="28" t="str">
        <f ca="1">IF(NOTA[[#This Row],[ID_H]]="","",IF(NOTA[[#This Row],[FAKTUR]]="",INDIRECT(ADDRESS(ROW()-1,COLUMN())),NOTA[[#This Row],[FAKTUR]]))</f>
        <v/>
      </c>
      <c r="AN450" s="25" t="str">
        <f ca="1">IF(NOTA[[#This Row],[ID]]="","",COUNTIF(NOTA[ID_H],NOTA[[#This Row],[ID_H]]))</f>
        <v/>
      </c>
      <c r="AO450" s="25" t="str">
        <f ca="1">IF(NOTA[[#This Row],[TGL.NOTA]]="",IF(NOTA[[#This Row],[SUPPLIER_H]]="","",AO449),MONTH(NOTA[[#This Row],[TGL.NOTA]]))</f>
        <v/>
      </c>
      <c r="AP4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0" s="25"/>
      <c r="AU450" s="25" t="str">
        <f>IF(NOTA[[#This Row],[CONCAT1]]="","",MATCH(NOTA[[#This Row],[CONCAT1]],[3]!db[NB NOTA_C],0))</f>
        <v/>
      </c>
      <c r="AV450" s="25" t="str">
        <f>IF(NOTA[[#This Row],[QTY/ CTN]]="","",TRUE)</f>
        <v/>
      </c>
      <c r="AW450" s="25" t="str">
        <f ca="1">IF(NOTA[[#This Row],[ID_H]]="","",IF(NOTA[[#This Row],[Column3]]=TRUE,NOTA[[#This Row],[QTY/ CTN]],INDEX([3]!db[QTY/ CTN],NOTA[[#This Row],[//DB]])))</f>
        <v/>
      </c>
      <c r="AX4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0" s="25" t="str">
        <f ca="1">IF(NOTA[[#This Row],[ID_H]]="","",MATCH(NOTA[[#This Row],[NB NOTA_C_QTY]],[3]!db[NB NOTA_C_QTY+F],0))</f>
        <v/>
      </c>
      <c r="AZ450" s="38" t="str">
        <f ca="1">IF(NOTA[[#This Row],[NB NOTA_C_QTY]]="","",ROW()-2)</f>
        <v/>
      </c>
    </row>
    <row r="451" spans="1:52" ht="20.100000000000001" customHeight="1">
      <c r="A4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1" s="25" t="str">
        <f ca="1">IF(NOTA[[#This Row],[NAMA BARANG]]="","",INDEX(NOTA[ID],MATCH(,INDIRECT(ADDRESS(ROW(NOTA[ID]),COLUMN(NOTA[ID]))&amp;":"&amp;ADDRESS(ROW(),COLUMN(NOTA[ID]))),-1)))</f>
        <v/>
      </c>
      <c r="E451" s="33"/>
      <c r="H451" s="34"/>
      <c r="Q451" s="29"/>
      <c r="R451" s="35"/>
      <c r="S451" s="36"/>
      <c r="V451" s="37"/>
      <c r="W451" s="32"/>
      <c r="X451" s="37" t="str">
        <f>IF(NOTA[[#This Row],[HARGA/ CTN]]="",NOTA[[#This Row],[JUMLAH_H]],NOTA[[#This Row],[HARGA/ CTN]]*IF(NOTA[[#This Row],[C]]="",0,NOTA[[#This Row],[C]]))</f>
        <v/>
      </c>
      <c r="Y451" s="37" t="str">
        <f>IF(NOTA[[#This Row],[JUMLAH]]="","",NOTA[[#This Row],[JUMLAH]]*NOTA[[#This Row],[DISC 1]])</f>
        <v/>
      </c>
      <c r="Z451" s="37" t="str">
        <f>IF(NOTA[[#This Row],[JUMLAH]]="","",(NOTA[[#This Row],[JUMLAH]]-NOTA[[#This Row],[DISC 1-]])*NOTA[[#This Row],[DISC 2]])</f>
        <v/>
      </c>
      <c r="AA451" s="37" t="str">
        <f>IF(NOTA[[#This Row],[JUMLAH]]="","",(NOTA[[#This Row],[JUMLAH]]-NOTA[[#This Row],[DISC 1-]]-NOTA[[#This Row],[DISC 2-]])*NOTA[[#This Row],[DISC 3]])</f>
        <v/>
      </c>
      <c r="AB451" s="37" t="str">
        <f>IF(NOTA[[#This Row],[JUMLAH]]="","",NOTA[[#This Row],[DISC 1-]]+NOTA[[#This Row],[DISC 2-]]+NOTA[[#This Row],[DISC 3-]])</f>
        <v/>
      </c>
      <c r="AC451" s="37" t="str">
        <f>IF(NOTA[[#This Row],[JUMLAH]]="","",NOTA[[#This Row],[JUMLAH]]-NOTA[[#This Row],[DISC]])</f>
        <v/>
      </c>
      <c r="AD451" s="37"/>
      <c r="AE4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1" s="37" t="str">
        <f>IF(OR(NOTA[[#This Row],[QTY]]="",NOTA[[#This Row],[HARGA SATUAN]]="",),"",NOTA[[#This Row],[QTY]]*NOTA[[#This Row],[HARGA SATUAN]])</f>
        <v/>
      </c>
      <c r="AI451" s="26" t="str">
        <f ca="1">IF(NOTA[[#This Row],[ID_H]]="","",INDEX(NOTA[TANGGAL],MATCH(,INDIRECT(ADDRESS(ROW(NOTA[TANGGAL]),COLUMN(NOTA[TANGGAL]))&amp;":"&amp;ADDRESS(ROW(),COLUMN(NOTA[TANGGAL]))),-1)))</f>
        <v/>
      </c>
      <c r="AJ451" s="26" t="str">
        <f ca="1">IF(NOTA[[#This Row],[ID_H]]="","",INDEX(NOTA[TGL.NOTA],MATCH(,INDIRECT(ADDRESS(ROW(NOTA[TGL.NOTA]),COLUMN(NOTA[TGL.NOTA]))&amp;":"&amp;ADDRESS(ROW(),COLUMN(NOTA[TGL.NOTA]))),-1)))</f>
        <v/>
      </c>
      <c r="AK451" s="26" t="str">
        <f ca="1">IF(NOTA[[#This Row],[ID_H]]="","",INDEX(NOTA[NO.NOTA],MATCH(NOTA[[#This Row],[ID_H]],NOTA[ID_H],0)))</f>
        <v/>
      </c>
      <c r="AL451" s="28" t="str">
        <f ca="1">IF(NOTA[[#This Row],[NAMA BARANG]]="","",INDEX(NOTA[SUPPLIER],MATCH(,INDIRECT(ADDRESS(ROW(NOTA[ID]),COLUMN(NOTA[ID]))&amp;":"&amp;ADDRESS(ROW(),COLUMN(NOTA[ID]))),-1)))</f>
        <v/>
      </c>
      <c r="AM451" s="28" t="str">
        <f ca="1">IF(NOTA[[#This Row],[ID_H]]="","",IF(NOTA[[#This Row],[FAKTUR]]="",INDIRECT(ADDRESS(ROW()-1,COLUMN())),NOTA[[#This Row],[FAKTUR]]))</f>
        <v/>
      </c>
      <c r="AN451" s="25" t="str">
        <f ca="1">IF(NOTA[[#This Row],[ID]]="","",COUNTIF(NOTA[ID_H],NOTA[[#This Row],[ID_H]]))</f>
        <v/>
      </c>
      <c r="AO451" s="25" t="str">
        <f ca="1">IF(NOTA[[#This Row],[TGL.NOTA]]="",IF(NOTA[[#This Row],[SUPPLIER_H]]="","",AO450),MONTH(NOTA[[#This Row],[TGL.NOTA]]))</f>
        <v/>
      </c>
      <c r="AP4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1" s="25"/>
      <c r="AU451" s="25" t="str">
        <f>IF(NOTA[[#This Row],[CONCAT1]]="","",MATCH(NOTA[[#This Row],[CONCAT1]],[3]!db[NB NOTA_C],0))</f>
        <v/>
      </c>
      <c r="AV451" s="25" t="str">
        <f>IF(NOTA[[#This Row],[QTY/ CTN]]="","",TRUE)</f>
        <v/>
      </c>
      <c r="AW451" s="25" t="str">
        <f ca="1">IF(NOTA[[#This Row],[ID_H]]="","",IF(NOTA[[#This Row],[Column3]]=TRUE,NOTA[[#This Row],[QTY/ CTN]],INDEX([3]!db[QTY/ CTN],NOTA[[#This Row],[//DB]])))</f>
        <v/>
      </c>
      <c r="AX4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1" s="25" t="str">
        <f ca="1">IF(NOTA[[#This Row],[ID_H]]="","",MATCH(NOTA[[#This Row],[NB NOTA_C_QTY]],[3]!db[NB NOTA_C_QTY+F],0))</f>
        <v/>
      </c>
      <c r="AZ451" s="38" t="str">
        <f ca="1">IF(NOTA[[#This Row],[NB NOTA_C_QTY]]="","",ROW()-2)</f>
        <v/>
      </c>
    </row>
    <row r="452" spans="1:52" ht="20.100000000000001" customHeight="1">
      <c r="A4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2" s="25" t="str">
        <f ca="1">IF(NOTA[[#This Row],[NAMA BARANG]]="","",INDEX(NOTA[ID],MATCH(,INDIRECT(ADDRESS(ROW(NOTA[ID]),COLUMN(NOTA[ID]))&amp;":"&amp;ADDRESS(ROW(),COLUMN(NOTA[ID]))),-1)))</f>
        <v/>
      </c>
      <c r="E452" s="33"/>
      <c r="H452" s="34"/>
      <c r="Q452" s="29"/>
      <c r="R452" s="35"/>
      <c r="S452" s="36"/>
      <c r="V452" s="37"/>
      <c r="W452" s="32"/>
      <c r="X452" s="37" t="str">
        <f>IF(NOTA[[#This Row],[HARGA/ CTN]]="",NOTA[[#This Row],[JUMLAH_H]],NOTA[[#This Row],[HARGA/ CTN]]*IF(NOTA[[#This Row],[C]]="",0,NOTA[[#This Row],[C]]))</f>
        <v/>
      </c>
      <c r="Y452" s="37" t="str">
        <f>IF(NOTA[[#This Row],[JUMLAH]]="","",NOTA[[#This Row],[JUMLAH]]*NOTA[[#This Row],[DISC 1]])</f>
        <v/>
      </c>
      <c r="Z452" s="37" t="str">
        <f>IF(NOTA[[#This Row],[JUMLAH]]="","",(NOTA[[#This Row],[JUMLAH]]-NOTA[[#This Row],[DISC 1-]])*NOTA[[#This Row],[DISC 2]])</f>
        <v/>
      </c>
      <c r="AA452" s="37" t="str">
        <f>IF(NOTA[[#This Row],[JUMLAH]]="","",(NOTA[[#This Row],[JUMLAH]]-NOTA[[#This Row],[DISC 1-]]-NOTA[[#This Row],[DISC 2-]])*NOTA[[#This Row],[DISC 3]])</f>
        <v/>
      </c>
      <c r="AB452" s="37" t="str">
        <f>IF(NOTA[[#This Row],[JUMLAH]]="","",NOTA[[#This Row],[DISC 1-]]+NOTA[[#This Row],[DISC 2-]]+NOTA[[#This Row],[DISC 3-]])</f>
        <v/>
      </c>
      <c r="AC452" s="37" t="str">
        <f>IF(NOTA[[#This Row],[JUMLAH]]="","",NOTA[[#This Row],[JUMLAH]]-NOTA[[#This Row],[DISC]])</f>
        <v/>
      </c>
      <c r="AD452" s="37"/>
      <c r="AE4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2" s="37" t="str">
        <f>IF(OR(NOTA[[#This Row],[QTY]]="",NOTA[[#This Row],[HARGA SATUAN]]="",),"",NOTA[[#This Row],[QTY]]*NOTA[[#This Row],[HARGA SATUAN]])</f>
        <v/>
      </c>
      <c r="AI452" s="26" t="str">
        <f ca="1">IF(NOTA[[#This Row],[ID_H]]="","",INDEX(NOTA[TANGGAL],MATCH(,INDIRECT(ADDRESS(ROW(NOTA[TANGGAL]),COLUMN(NOTA[TANGGAL]))&amp;":"&amp;ADDRESS(ROW(),COLUMN(NOTA[TANGGAL]))),-1)))</f>
        <v/>
      </c>
      <c r="AJ452" s="26" t="str">
        <f ca="1">IF(NOTA[[#This Row],[ID_H]]="","",INDEX(NOTA[TGL.NOTA],MATCH(,INDIRECT(ADDRESS(ROW(NOTA[TGL.NOTA]),COLUMN(NOTA[TGL.NOTA]))&amp;":"&amp;ADDRESS(ROW(),COLUMN(NOTA[TGL.NOTA]))),-1)))</f>
        <v/>
      </c>
      <c r="AK452" s="26" t="str">
        <f ca="1">IF(NOTA[[#This Row],[ID_H]]="","",INDEX(NOTA[NO.NOTA],MATCH(NOTA[[#This Row],[ID_H]],NOTA[ID_H],0)))</f>
        <v/>
      </c>
      <c r="AL452" s="28" t="str">
        <f ca="1">IF(NOTA[[#This Row],[NAMA BARANG]]="","",INDEX(NOTA[SUPPLIER],MATCH(,INDIRECT(ADDRESS(ROW(NOTA[ID]),COLUMN(NOTA[ID]))&amp;":"&amp;ADDRESS(ROW(),COLUMN(NOTA[ID]))),-1)))</f>
        <v/>
      </c>
      <c r="AM452" s="28" t="str">
        <f ca="1">IF(NOTA[[#This Row],[ID_H]]="","",IF(NOTA[[#This Row],[FAKTUR]]="",INDIRECT(ADDRESS(ROW()-1,COLUMN())),NOTA[[#This Row],[FAKTUR]]))</f>
        <v/>
      </c>
      <c r="AN452" s="25" t="str">
        <f ca="1">IF(NOTA[[#This Row],[ID]]="","",COUNTIF(NOTA[ID_H],NOTA[[#This Row],[ID_H]]))</f>
        <v/>
      </c>
      <c r="AO452" s="25" t="str">
        <f ca="1">IF(NOTA[[#This Row],[TGL.NOTA]]="",IF(NOTA[[#This Row],[SUPPLIER_H]]="","",AO451),MONTH(NOTA[[#This Row],[TGL.NOTA]]))</f>
        <v/>
      </c>
      <c r="AP4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2" s="25"/>
      <c r="AU452" s="25" t="str">
        <f>IF(NOTA[[#This Row],[CONCAT1]]="","",MATCH(NOTA[[#This Row],[CONCAT1]],[3]!db[NB NOTA_C],0))</f>
        <v/>
      </c>
      <c r="AV452" s="25" t="str">
        <f>IF(NOTA[[#This Row],[QTY/ CTN]]="","",TRUE)</f>
        <v/>
      </c>
      <c r="AW452" s="25" t="str">
        <f ca="1">IF(NOTA[[#This Row],[ID_H]]="","",IF(NOTA[[#This Row],[Column3]]=TRUE,NOTA[[#This Row],[QTY/ CTN]],INDEX([3]!db[QTY/ CTN],NOTA[[#This Row],[//DB]])))</f>
        <v/>
      </c>
      <c r="AX4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2" s="25" t="str">
        <f ca="1">IF(NOTA[[#This Row],[ID_H]]="","",MATCH(NOTA[[#This Row],[NB NOTA_C_QTY]],[3]!db[NB NOTA_C_QTY+F],0))</f>
        <v/>
      </c>
      <c r="AZ452" s="38" t="str">
        <f ca="1">IF(NOTA[[#This Row],[NB NOTA_C_QTY]]="","",ROW()-2)</f>
        <v/>
      </c>
    </row>
    <row r="453" spans="1:52" ht="20.100000000000001" customHeight="1">
      <c r="A4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3" s="25" t="str">
        <f ca="1">IF(NOTA[[#This Row],[NAMA BARANG]]="","",INDEX(NOTA[ID],MATCH(,INDIRECT(ADDRESS(ROW(NOTA[ID]),COLUMN(NOTA[ID]))&amp;":"&amp;ADDRESS(ROW(),COLUMN(NOTA[ID]))),-1)))</f>
        <v/>
      </c>
      <c r="E453" s="33"/>
      <c r="H453" s="34"/>
      <c r="Q453" s="29"/>
      <c r="R453" s="35"/>
      <c r="S453" s="36"/>
      <c r="V453" s="37"/>
      <c r="W453" s="32"/>
      <c r="X453" s="37" t="str">
        <f>IF(NOTA[[#This Row],[HARGA/ CTN]]="",NOTA[[#This Row],[JUMLAH_H]],NOTA[[#This Row],[HARGA/ CTN]]*IF(NOTA[[#This Row],[C]]="",0,NOTA[[#This Row],[C]]))</f>
        <v/>
      </c>
      <c r="Y453" s="37" t="str">
        <f>IF(NOTA[[#This Row],[JUMLAH]]="","",NOTA[[#This Row],[JUMLAH]]*NOTA[[#This Row],[DISC 1]])</f>
        <v/>
      </c>
      <c r="Z453" s="37" t="str">
        <f>IF(NOTA[[#This Row],[JUMLAH]]="","",(NOTA[[#This Row],[JUMLAH]]-NOTA[[#This Row],[DISC 1-]])*NOTA[[#This Row],[DISC 2]])</f>
        <v/>
      </c>
      <c r="AA453" s="37" t="str">
        <f>IF(NOTA[[#This Row],[JUMLAH]]="","",(NOTA[[#This Row],[JUMLAH]]-NOTA[[#This Row],[DISC 1-]]-NOTA[[#This Row],[DISC 2-]])*NOTA[[#This Row],[DISC 3]])</f>
        <v/>
      </c>
      <c r="AB453" s="37" t="str">
        <f>IF(NOTA[[#This Row],[JUMLAH]]="","",NOTA[[#This Row],[DISC 1-]]+NOTA[[#This Row],[DISC 2-]]+NOTA[[#This Row],[DISC 3-]])</f>
        <v/>
      </c>
      <c r="AC453" s="37" t="str">
        <f>IF(NOTA[[#This Row],[JUMLAH]]="","",NOTA[[#This Row],[JUMLAH]]-NOTA[[#This Row],[DISC]])</f>
        <v/>
      </c>
      <c r="AD453" s="37"/>
      <c r="AE4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3" s="37" t="str">
        <f>IF(OR(NOTA[[#This Row],[QTY]]="",NOTA[[#This Row],[HARGA SATUAN]]="",),"",NOTA[[#This Row],[QTY]]*NOTA[[#This Row],[HARGA SATUAN]])</f>
        <v/>
      </c>
      <c r="AI453" s="26" t="str">
        <f ca="1">IF(NOTA[[#This Row],[ID_H]]="","",INDEX(NOTA[TANGGAL],MATCH(,INDIRECT(ADDRESS(ROW(NOTA[TANGGAL]),COLUMN(NOTA[TANGGAL]))&amp;":"&amp;ADDRESS(ROW(),COLUMN(NOTA[TANGGAL]))),-1)))</f>
        <v/>
      </c>
      <c r="AJ453" s="26" t="str">
        <f ca="1">IF(NOTA[[#This Row],[ID_H]]="","",INDEX(NOTA[TGL.NOTA],MATCH(,INDIRECT(ADDRESS(ROW(NOTA[TGL.NOTA]),COLUMN(NOTA[TGL.NOTA]))&amp;":"&amp;ADDRESS(ROW(),COLUMN(NOTA[TGL.NOTA]))),-1)))</f>
        <v/>
      </c>
      <c r="AK453" s="26" t="str">
        <f ca="1">IF(NOTA[[#This Row],[ID_H]]="","",INDEX(NOTA[NO.NOTA],MATCH(NOTA[[#This Row],[ID_H]],NOTA[ID_H],0)))</f>
        <v/>
      </c>
      <c r="AL453" s="28" t="str">
        <f ca="1">IF(NOTA[[#This Row],[NAMA BARANG]]="","",INDEX(NOTA[SUPPLIER],MATCH(,INDIRECT(ADDRESS(ROW(NOTA[ID]),COLUMN(NOTA[ID]))&amp;":"&amp;ADDRESS(ROW(),COLUMN(NOTA[ID]))),-1)))</f>
        <v/>
      </c>
      <c r="AM453" s="28" t="str">
        <f ca="1">IF(NOTA[[#This Row],[ID_H]]="","",IF(NOTA[[#This Row],[FAKTUR]]="",INDIRECT(ADDRESS(ROW()-1,COLUMN())),NOTA[[#This Row],[FAKTUR]]))</f>
        <v/>
      </c>
      <c r="AN453" s="25" t="str">
        <f ca="1">IF(NOTA[[#This Row],[ID]]="","",COUNTIF(NOTA[ID_H],NOTA[[#This Row],[ID_H]]))</f>
        <v/>
      </c>
      <c r="AO453" s="25" t="str">
        <f ca="1">IF(NOTA[[#This Row],[TGL.NOTA]]="",IF(NOTA[[#This Row],[SUPPLIER_H]]="","",AO452),MONTH(NOTA[[#This Row],[TGL.NOTA]]))</f>
        <v/>
      </c>
      <c r="AP4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3" s="25"/>
      <c r="AU453" s="25" t="str">
        <f>IF(NOTA[[#This Row],[CONCAT1]]="","",MATCH(NOTA[[#This Row],[CONCAT1]],[3]!db[NB NOTA_C],0))</f>
        <v/>
      </c>
      <c r="AV453" s="25" t="str">
        <f>IF(NOTA[[#This Row],[QTY/ CTN]]="","",TRUE)</f>
        <v/>
      </c>
      <c r="AW453" s="25" t="str">
        <f ca="1">IF(NOTA[[#This Row],[ID_H]]="","",IF(NOTA[[#This Row],[Column3]]=TRUE,NOTA[[#This Row],[QTY/ CTN]],INDEX([3]!db[QTY/ CTN],NOTA[[#This Row],[//DB]])))</f>
        <v/>
      </c>
      <c r="AX4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3" s="25" t="str">
        <f ca="1">IF(NOTA[[#This Row],[ID_H]]="","",MATCH(NOTA[[#This Row],[NB NOTA_C_QTY]],[3]!db[NB NOTA_C_QTY+F],0))</f>
        <v/>
      </c>
      <c r="AZ453" s="38" t="str">
        <f ca="1">IF(NOTA[[#This Row],[NB NOTA_C_QTY]]="","",ROW()-2)</f>
        <v/>
      </c>
    </row>
    <row r="454" spans="1:52" ht="20.100000000000001" customHeight="1">
      <c r="A4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4" s="25" t="str">
        <f ca="1">IF(NOTA[[#This Row],[NAMA BARANG]]="","",INDEX(NOTA[ID],MATCH(,INDIRECT(ADDRESS(ROW(NOTA[ID]),COLUMN(NOTA[ID]))&amp;":"&amp;ADDRESS(ROW(),COLUMN(NOTA[ID]))),-1)))</f>
        <v/>
      </c>
      <c r="E454" s="33"/>
      <c r="H454" s="34"/>
      <c r="Q454" s="29"/>
      <c r="R454" s="35"/>
      <c r="S454" s="36"/>
      <c r="V454" s="37"/>
      <c r="W454" s="32"/>
      <c r="X454" s="37" t="str">
        <f>IF(NOTA[[#This Row],[HARGA/ CTN]]="",NOTA[[#This Row],[JUMLAH_H]],NOTA[[#This Row],[HARGA/ CTN]]*IF(NOTA[[#This Row],[C]]="",0,NOTA[[#This Row],[C]]))</f>
        <v/>
      </c>
      <c r="Y454" s="37" t="str">
        <f>IF(NOTA[[#This Row],[JUMLAH]]="","",NOTA[[#This Row],[JUMLAH]]*NOTA[[#This Row],[DISC 1]])</f>
        <v/>
      </c>
      <c r="Z454" s="37" t="str">
        <f>IF(NOTA[[#This Row],[JUMLAH]]="","",(NOTA[[#This Row],[JUMLAH]]-NOTA[[#This Row],[DISC 1-]])*NOTA[[#This Row],[DISC 2]])</f>
        <v/>
      </c>
      <c r="AA454" s="37" t="str">
        <f>IF(NOTA[[#This Row],[JUMLAH]]="","",(NOTA[[#This Row],[JUMLAH]]-NOTA[[#This Row],[DISC 1-]]-NOTA[[#This Row],[DISC 2-]])*NOTA[[#This Row],[DISC 3]])</f>
        <v/>
      </c>
      <c r="AB454" s="37" t="str">
        <f>IF(NOTA[[#This Row],[JUMLAH]]="","",NOTA[[#This Row],[DISC 1-]]+NOTA[[#This Row],[DISC 2-]]+NOTA[[#This Row],[DISC 3-]])</f>
        <v/>
      </c>
      <c r="AC454" s="37" t="str">
        <f>IF(NOTA[[#This Row],[JUMLAH]]="","",NOTA[[#This Row],[JUMLAH]]-NOTA[[#This Row],[DISC]])</f>
        <v/>
      </c>
      <c r="AD454" s="37"/>
      <c r="AE4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4" s="37" t="str">
        <f>IF(OR(NOTA[[#This Row],[QTY]]="",NOTA[[#This Row],[HARGA SATUAN]]="",),"",NOTA[[#This Row],[QTY]]*NOTA[[#This Row],[HARGA SATUAN]])</f>
        <v/>
      </c>
      <c r="AI454" s="26" t="str">
        <f ca="1">IF(NOTA[[#This Row],[ID_H]]="","",INDEX(NOTA[TANGGAL],MATCH(,INDIRECT(ADDRESS(ROW(NOTA[TANGGAL]),COLUMN(NOTA[TANGGAL]))&amp;":"&amp;ADDRESS(ROW(),COLUMN(NOTA[TANGGAL]))),-1)))</f>
        <v/>
      </c>
      <c r="AJ454" s="26" t="str">
        <f ca="1">IF(NOTA[[#This Row],[ID_H]]="","",INDEX(NOTA[TGL.NOTA],MATCH(,INDIRECT(ADDRESS(ROW(NOTA[TGL.NOTA]),COLUMN(NOTA[TGL.NOTA]))&amp;":"&amp;ADDRESS(ROW(),COLUMN(NOTA[TGL.NOTA]))),-1)))</f>
        <v/>
      </c>
      <c r="AK454" s="26" t="str">
        <f ca="1">IF(NOTA[[#This Row],[ID_H]]="","",INDEX(NOTA[NO.NOTA],MATCH(NOTA[[#This Row],[ID_H]],NOTA[ID_H],0)))</f>
        <v/>
      </c>
      <c r="AL454" s="28" t="str">
        <f ca="1">IF(NOTA[[#This Row],[NAMA BARANG]]="","",INDEX(NOTA[SUPPLIER],MATCH(,INDIRECT(ADDRESS(ROW(NOTA[ID]),COLUMN(NOTA[ID]))&amp;":"&amp;ADDRESS(ROW(),COLUMN(NOTA[ID]))),-1)))</f>
        <v/>
      </c>
      <c r="AM454" s="28" t="str">
        <f ca="1">IF(NOTA[[#This Row],[ID_H]]="","",IF(NOTA[[#This Row],[FAKTUR]]="",INDIRECT(ADDRESS(ROW()-1,COLUMN())),NOTA[[#This Row],[FAKTUR]]))</f>
        <v/>
      </c>
      <c r="AN454" s="25" t="str">
        <f ca="1">IF(NOTA[[#This Row],[ID]]="","",COUNTIF(NOTA[ID_H],NOTA[[#This Row],[ID_H]]))</f>
        <v/>
      </c>
      <c r="AO454" s="25" t="str">
        <f ca="1">IF(NOTA[[#This Row],[TGL.NOTA]]="",IF(NOTA[[#This Row],[SUPPLIER_H]]="","",AO453),MONTH(NOTA[[#This Row],[TGL.NOTA]]))</f>
        <v/>
      </c>
      <c r="AP4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4" s="25"/>
      <c r="AU454" s="25" t="str">
        <f>IF(NOTA[[#This Row],[CONCAT1]]="","",MATCH(NOTA[[#This Row],[CONCAT1]],[3]!db[NB NOTA_C],0))</f>
        <v/>
      </c>
      <c r="AV454" s="25" t="str">
        <f>IF(NOTA[[#This Row],[QTY/ CTN]]="","",TRUE)</f>
        <v/>
      </c>
      <c r="AW454" s="25" t="str">
        <f ca="1">IF(NOTA[[#This Row],[ID_H]]="","",IF(NOTA[[#This Row],[Column3]]=TRUE,NOTA[[#This Row],[QTY/ CTN]],INDEX([3]!db[QTY/ CTN],NOTA[[#This Row],[//DB]])))</f>
        <v/>
      </c>
      <c r="AX4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4" s="25" t="str">
        <f ca="1">IF(NOTA[[#This Row],[ID_H]]="","",MATCH(NOTA[[#This Row],[NB NOTA_C_QTY]],[3]!db[NB NOTA_C_QTY+F],0))</f>
        <v/>
      </c>
      <c r="AZ454" s="38" t="str">
        <f ca="1">IF(NOTA[[#This Row],[NB NOTA_C_QTY]]="","",ROW()-2)</f>
        <v/>
      </c>
    </row>
    <row r="455" spans="1:52" ht="20.100000000000001" customHeight="1">
      <c r="A4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5" s="25" t="str">
        <f ca="1">IF(NOTA[[#This Row],[NAMA BARANG]]="","",INDEX(NOTA[ID],MATCH(,INDIRECT(ADDRESS(ROW(NOTA[ID]),COLUMN(NOTA[ID]))&amp;":"&amp;ADDRESS(ROW(),COLUMN(NOTA[ID]))),-1)))</f>
        <v/>
      </c>
      <c r="E455" s="33"/>
      <c r="H455" s="34"/>
      <c r="Q455" s="29"/>
      <c r="R455" s="35"/>
      <c r="S455" s="36"/>
      <c r="V455" s="37"/>
      <c r="W455" s="32"/>
      <c r="X455" s="37" t="str">
        <f>IF(NOTA[[#This Row],[HARGA/ CTN]]="",NOTA[[#This Row],[JUMLAH_H]],NOTA[[#This Row],[HARGA/ CTN]]*IF(NOTA[[#This Row],[C]]="",0,NOTA[[#This Row],[C]]))</f>
        <v/>
      </c>
      <c r="Y455" s="37" t="str">
        <f>IF(NOTA[[#This Row],[JUMLAH]]="","",NOTA[[#This Row],[JUMLAH]]*NOTA[[#This Row],[DISC 1]])</f>
        <v/>
      </c>
      <c r="Z455" s="37" t="str">
        <f>IF(NOTA[[#This Row],[JUMLAH]]="","",(NOTA[[#This Row],[JUMLAH]]-NOTA[[#This Row],[DISC 1-]])*NOTA[[#This Row],[DISC 2]])</f>
        <v/>
      </c>
      <c r="AA455" s="37" t="str">
        <f>IF(NOTA[[#This Row],[JUMLAH]]="","",(NOTA[[#This Row],[JUMLAH]]-NOTA[[#This Row],[DISC 1-]]-NOTA[[#This Row],[DISC 2-]])*NOTA[[#This Row],[DISC 3]])</f>
        <v/>
      </c>
      <c r="AB455" s="37" t="str">
        <f>IF(NOTA[[#This Row],[JUMLAH]]="","",NOTA[[#This Row],[DISC 1-]]+NOTA[[#This Row],[DISC 2-]]+NOTA[[#This Row],[DISC 3-]])</f>
        <v/>
      </c>
      <c r="AC455" s="37" t="str">
        <f>IF(NOTA[[#This Row],[JUMLAH]]="","",NOTA[[#This Row],[JUMLAH]]-NOTA[[#This Row],[DISC]])</f>
        <v/>
      </c>
      <c r="AD455" s="37"/>
      <c r="AE4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5" s="37" t="str">
        <f>IF(OR(NOTA[[#This Row],[QTY]]="",NOTA[[#This Row],[HARGA SATUAN]]="",),"",NOTA[[#This Row],[QTY]]*NOTA[[#This Row],[HARGA SATUAN]])</f>
        <v/>
      </c>
      <c r="AI455" s="26" t="str">
        <f ca="1">IF(NOTA[[#This Row],[ID_H]]="","",INDEX(NOTA[TANGGAL],MATCH(,INDIRECT(ADDRESS(ROW(NOTA[TANGGAL]),COLUMN(NOTA[TANGGAL]))&amp;":"&amp;ADDRESS(ROW(),COLUMN(NOTA[TANGGAL]))),-1)))</f>
        <v/>
      </c>
      <c r="AJ455" s="26" t="str">
        <f ca="1">IF(NOTA[[#This Row],[ID_H]]="","",INDEX(NOTA[TGL.NOTA],MATCH(,INDIRECT(ADDRESS(ROW(NOTA[TGL.NOTA]),COLUMN(NOTA[TGL.NOTA]))&amp;":"&amp;ADDRESS(ROW(),COLUMN(NOTA[TGL.NOTA]))),-1)))</f>
        <v/>
      </c>
      <c r="AK455" s="26" t="str">
        <f ca="1">IF(NOTA[[#This Row],[ID_H]]="","",INDEX(NOTA[NO.NOTA],MATCH(NOTA[[#This Row],[ID_H]],NOTA[ID_H],0)))</f>
        <v/>
      </c>
      <c r="AL455" s="28" t="str">
        <f ca="1">IF(NOTA[[#This Row],[NAMA BARANG]]="","",INDEX(NOTA[SUPPLIER],MATCH(,INDIRECT(ADDRESS(ROW(NOTA[ID]),COLUMN(NOTA[ID]))&amp;":"&amp;ADDRESS(ROW(),COLUMN(NOTA[ID]))),-1)))</f>
        <v/>
      </c>
      <c r="AM455" s="28" t="str">
        <f ca="1">IF(NOTA[[#This Row],[ID_H]]="","",IF(NOTA[[#This Row],[FAKTUR]]="",INDIRECT(ADDRESS(ROW()-1,COLUMN())),NOTA[[#This Row],[FAKTUR]]))</f>
        <v/>
      </c>
      <c r="AN455" s="25" t="str">
        <f ca="1">IF(NOTA[[#This Row],[ID]]="","",COUNTIF(NOTA[ID_H],NOTA[[#This Row],[ID_H]]))</f>
        <v/>
      </c>
      <c r="AO455" s="25" t="str">
        <f ca="1">IF(NOTA[[#This Row],[TGL.NOTA]]="",IF(NOTA[[#This Row],[SUPPLIER_H]]="","",AO454),MONTH(NOTA[[#This Row],[TGL.NOTA]]))</f>
        <v/>
      </c>
      <c r="AP4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5" s="25"/>
      <c r="AU455" s="25" t="str">
        <f>IF(NOTA[[#This Row],[CONCAT1]]="","",MATCH(NOTA[[#This Row],[CONCAT1]],[3]!db[NB NOTA_C],0))</f>
        <v/>
      </c>
      <c r="AV455" s="25" t="str">
        <f>IF(NOTA[[#This Row],[QTY/ CTN]]="","",TRUE)</f>
        <v/>
      </c>
      <c r="AW455" s="25" t="str">
        <f ca="1">IF(NOTA[[#This Row],[ID_H]]="","",IF(NOTA[[#This Row],[Column3]]=TRUE,NOTA[[#This Row],[QTY/ CTN]],INDEX([3]!db[QTY/ CTN],NOTA[[#This Row],[//DB]])))</f>
        <v/>
      </c>
      <c r="AX4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5" s="25" t="str">
        <f ca="1">IF(NOTA[[#This Row],[ID_H]]="","",MATCH(NOTA[[#This Row],[NB NOTA_C_QTY]],[3]!db[NB NOTA_C_QTY+F],0))</f>
        <v/>
      </c>
      <c r="AZ455" s="38" t="str">
        <f ca="1">IF(NOTA[[#This Row],[NB NOTA_C_QTY]]="","",ROW()-2)</f>
        <v/>
      </c>
    </row>
    <row r="456" spans="1:52" ht="20.100000000000001" customHeight="1">
      <c r="A4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6" s="25" t="str">
        <f ca="1">IF(NOTA[[#This Row],[NAMA BARANG]]="","",INDEX(NOTA[ID],MATCH(,INDIRECT(ADDRESS(ROW(NOTA[ID]),COLUMN(NOTA[ID]))&amp;":"&amp;ADDRESS(ROW(),COLUMN(NOTA[ID]))),-1)))</f>
        <v/>
      </c>
      <c r="E456" s="33"/>
      <c r="H456" s="34"/>
      <c r="Q456" s="29"/>
      <c r="R456" s="35"/>
      <c r="S456" s="36"/>
      <c r="V456" s="37"/>
      <c r="W456" s="32"/>
      <c r="X456" s="37" t="str">
        <f>IF(NOTA[[#This Row],[HARGA/ CTN]]="",NOTA[[#This Row],[JUMLAH_H]],NOTA[[#This Row],[HARGA/ CTN]]*IF(NOTA[[#This Row],[C]]="",0,NOTA[[#This Row],[C]]))</f>
        <v/>
      </c>
      <c r="Y456" s="37" t="str">
        <f>IF(NOTA[[#This Row],[JUMLAH]]="","",NOTA[[#This Row],[JUMLAH]]*NOTA[[#This Row],[DISC 1]])</f>
        <v/>
      </c>
      <c r="Z456" s="37" t="str">
        <f>IF(NOTA[[#This Row],[JUMLAH]]="","",(NOTA[[#This Row],[JUMLAH]]-NOTA[[#This Row],[DISC 1-]])*NOTA[[#This Row],[DISC 2]])</f>
        <v/>
      </c>
      <c r="AA456" s="37" t="str">
        <f>IF(NOTA[[#This Row],[JUMLAH]]="","",(NOTA[[#This Row],[JUMLAH]]-NOTA[[#This Row],[DISC 1-]]-NOTA[[#This Row],[DISC 2-]])*NOTA[[#This Row],[DISC 3]])</f>
        <v/>
      </c>
      <c r="AB456" s="37" t="str">
        <f>IF(NOTA[[#This Row],[JUMLAH]]="","",NOTA[[#This Row],[DISC 1-]]+NOTA[[#This Row],[DISC 2-]]+NOTA[[#This Row],[DISC 3-]])</f>
        <v/>
      </c>
      <c r="AC456" s="37" t="str">
        <f>IF(NOTA[[#This Row],[JUMLAH]]="","",NOTA[[#This Row],[JUMLAH]]-NOTA[[#This Row],[DISC]])</f>
        <v/>
      </c>
      <c r="AD456" s="37"/>
      <c r="AE4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6" s="37" t="str">
        <f>IF(OR(NOTA[[#This Row],[QTY]]="",NOTA[[#This Row],[HARGA SATUAN]]="",),"",NOTA[[#This Row],[QTY]]*NOTA[[#This Row],[HARGA SATUAN]])</f>
        <v/>
      </c>
      <c r="AI456" s="26" t="str">
        <f ca="1">IF(NOTA[[#This Row],[ID_H]]="","",INDEX(NOTA[TANGGAL],MATCH(,INDIRECT(ADDRESS(ROW(NOTA[TANGGAL]),COLUMN(NOTA[TANGGAL]))&amp;":"&amp;ADDRESS(ROW(),COLUMN(NOTA[TANGGAL]))),-1)))</f>
        <v/>
      </c>
      <c r="AJ456" s="26" t="str">
        <f ca="1">IF(NOTA[[#This Row],[ID_H]]="","",INDEX(NOTA[TGL.NOTA],MATCH(,INDIRECT(ADDRESS(ROW(NOTA[TGL.NOTA]),COLUMN(NOTA[TGL.NOTA]))&amp;":"&amp;ADDRESS(ROW(),COLUMN(NOTA[TGL.NOTA]))),-1)))</f>
        <v/>
      </c>
      <c r="AK456" s="26" t="str">
        <f ca="1">IF(NOTA[[#This Row],[ID_H]]="","",INDEX(NOTA[NO.NOTA],MATCH(NOTA[[#This Row],[ID_H]],NOTA[ID_H],0)))</f>
        <v/>
      </c>
      <c r="AL456" s="28" t="str">
        <f ca="1">IF(NOTA[[#This Row],[NAMA BARANG]]="","",INDEX(NOTA[SUPPLIER],MATCH(,INDIRECT(ADDRESS(ROW(NOTA[ID]),COLUMN(NOTA[ID]))&amp;":"&amp;ADDRESS(ROW(),COLUMN(NOTA[ID]))),-1)))</f>
        <v/>
      </c>
      <c r="AM456" s="28" t="str">
        <f ca="1">IF(NOTA[[#This Row],[ID_H]]="","",IF(NOTA[[#This Row],[FAKTUR]]="",INDIRECT(ADDRESS(ROW()-1,COLUMN())),NOTA[[#This Row],[FAKTUR]]))</f>
        <v/>
      </c>
      <c r="AN456" s="25" t="str">
        <f ca="1">IF(NOTA[[#This Row],[ID]]="","",COUNTIF(NOTA[ID_H],NOTA[[#This Row],[ID_H]]))</f>
        <v/>
      </c>
      <c r="AO456" s="25" t="str">
        <f ca="1">IF(NOTA[[#This Row],[TGL.NOTA]]="",IF(NOTA[[#This Row],[SUPPLIER_H]]="","",AO455),MONTH(NOTA[[#This Row],[TGL.NOTA]]))</f>
        <v/>
      </c>
      <c r="AP4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6" s="25"/>
      <c r="AU456" s="25" t="str">
        <f>IF(NOTA[[#This Row],[CONCAT1]]="","",MATCH(NOTA[[#This Row],[CONCAT1]],[3]!db[NB NOTA_C],0))</f>
        <v/>
      </c>
      <c r="AV456" s="25" t="str">
        <f>IF(NOTA[[#This Row],[QTY/ CTN]]="","",TRUE)</f>
        <v/>
      </c>
      <c r="AW456" s="25" t="str">
        <f ca="1">IF(NOTA[[#This Row],[ID_H]]="","",IF(NOTA[[#This Row],[Column3]]=TRUE,NOTA[[#This Row],[QTY/ CTN]],INDEX([3]!db[QTY/ CTN],NOTA[[#This Row],[//DB]])))</f>
        <v/>
      </c>
      <c r="AX4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6" s="25" t="str">
        <f ca="1">IF(NOTA[[#This Row],[ID_H]]="","",MATCH(NOTA[[#This Row],[NB NOTA_C_QTY]],[3]!db[NB NOTA_C_QTY+F],0))</f>
        <v/>
      </c>
      <c r="AZ456" s="38" t="str">
        <f ca="1">IF(NOTA[[#This Row],[NB NOTA_C_QTY]]="","",ROW()-2)</f>
        <v/>
      </c>
    </row>
    <row r="457" spans="1:52" ht="20.100000000000001" customHeight="1">
      <c r="A4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7" s="25" t="str">
        <f ca="1">IF(NOTA[[#This Row],[NAMA BARANG]]="","",INDEX(NOTA[ID],MATCH(,INDIRECT(ADDRESS(ROW(NOTA[ID]),COLUMN(NOTA[ID]))&amp;":"&amp;ADDRESS(ROW(),COLUMN(NOTA[ID]))),-1)))</f>
        <v/>
      </c>
      <c r="E457" s="33"/>
      <c r="H457" s="34"/>
      <c r="Q457" s="29"/>
      <c r="R457" s="35"/>
      <c r="S457" s="36"/>
      <c r="V457" s="37"/>
      <c r="W457" s="32"/>
      <c r="X457" s="37" t="str">
        <f>IF(NOTA[[#This Row],[HARGA/ CTN]]="",NOTA[[#This Row],[JUMLAH_H]],NOTA[[#This Row],[HARGA/ CTN]]*IF(NOTA[[#This Row],[C]]="",0,NOTA[[#This Row],[C]]))</f>
        <v/>
      </c>
      <c r="Y457" s="37" t="str">
        <f>IF(NOTA[[#This Row],[JUMLAH]]="","",NOTA[[#This Row],[JUMLAH]]*NOTA[[#This Row],[DISC 1]])</f>
        <v/>
      </c>
      <c r="Z457" s="37" t="str">
        <f>IF(NOTA[[#This Row],[JUMLAH]]="","",(NOTA[[#This Row],[JUMLAH]]-NOTA[[#This Row],[DISC 1-]])*NOTA[[#This Row],[DISC 2]])</f>
        <v/>
      </c>
      <c r="AA457" s="37" t="str">
        <f>IF(NOTA[[#This Row],[JUMLAH]]="","",(NOTA[[#This Row],[JUMLAH]]-NOTA[[#This Row],[DISC 1-]]-NOTA[[#This Row],[DISC 2-]])*NOTA[[#This Row],[DISC 3]])</f>
        <v/>
      </c>
      <c r="AB457" s="37" t="str">
        <f>IF(NOTA[[#This Row],[JUMLAH]]="","",NOTA[[#This Row],[DISC 1-]]+NOTA[[#This Row],[DISC 2-]]+NOTA[[#This Row],[DISC 3-]])</f>
        <v/>
      </c>
      <c r="AC457" s="37" t="str">
        <f>IF(NOTA[[#This Row],[JUMLAH]]="","",NOTA[[#This Row],[JUMLAH]]-NOTA[[#This Row],[DISC]])</f>
        <v/>
      </c>
      <c r="AD457" s="37"/>
      <c r="AE4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7" s="37" t="str">
        <f>IF(OR(NOTA[[#This Row],[QTY]]="",NOTA[[#This Row],[HARGA SATUAN]]="",),"",NOTA[[#This Row],[QTY]]*NOTA[[#This Row],[HARGA SATUAN]])</f>
        <v/>
      </c>
      <c r="AI457" s="26" t="str">
        <f ca="1">IF(NOTA[[#This Row],[ID_H]]="","",INDEX(NOTA[TANGGAL],MATCH(,INDIRECT(ADDRESS(ROW(NOTA[TANGGAL]),COLUMN(NOTA[TANGGAL]))&amp;":"&amp;ADDRESS(ROW(),COLUMN(NOTA[TANGGAL]))),-1)))</f>
        <v/>
      </c>
      <c r="AJ457" s="26" t="str">
        <f ca="1">IF(NOTA[[#This Row],[ID_H]]="","",INDEX(NOTA[TGL.NOTA],MATCH(,INDIRECT(ADDRESS(ROW(NOTA[TGL.NOTA]),COLUMN(NOTA[TGL.NOTA]))&amp;":"&amp;ADDRESS(ROW(),COLUMN(NOTA[TGL.NOTA]))),-1)))</f>
        <v/>
      </c>
      <c r="AK457" s="26" t="str">
        <f ca="1">IF(NOTA[[#This Row],[ID_H]]="","",INDEX(NOTA[NO.NOTA],MATCH(NOTA[[#This Row],[ID_H]],NOTA[ID_H],0)))</f>
        <v/>
      </c>
      <c r="AL457" s="28" t="str">
        <f ca="1">IF(NOTA[[#This Row],[NAMA BARANG]]="","",INDEX(NOTA[SUPPLIER],MATCH(,INDIRECT(ADDRESS(ROW(NOTA[ID]),COLUMN(NOTA[ID]))&amp;":"&amp;ADDRESS(ROW(),COLUMN(NOTA[ID]))),-1)))</f>
        <v/>
      </c>
      <c r="AM457" s="28" t="str">
        <f ca="1">IF(NOTA[[#This Row],[ID_H]]="","",IF(NOTA[[#This Row],[FAKTUR]]="",INDIRECT(ADDRESS(ROW()-1,COLUMN())),NOTA[[#This Row],[FAKTUR]]))</f>
        <v/>
      </c>
      <c r="AN457" s="25" t="str">
        <f ca="1">IF(NOTA[[#This Row],[ID]]="","",COUNTIF(NOTA[ID_H],NOTA[[#This Row],[ID_H]]))</f>
        <v/>
      </c>
      <c r="AO457" s="25" t="str">
        <f ca="1">IF(NOTA[[#This Row],[TGL.NOTA]]="",IF(NOTA[[#This Row],[SUPPLIER_H]]="","",AO456),MONTH(NOTA[[#This Row],[TGL.NOTA]]))</f>
        <v/>
      </c>
      <c r="AP4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7" s="25"/>
      <c r="AU457" s="25" t="str">
        <f>IF(NOTA[[#This Row],[CONCAT1]]="","",MATCH(NOTA[[#This Row],[CONCAT1]],[3]!db[NB NOTA_C],0))</f>
        <v/>
      </c>
      <c r="AV457" s="25" t="str">
        <f>IF(NOTA[[#This Row],[QTY/ CTN]]="","",TRUE)</f>
        <v/>
      </c>
      <c r="AW457" s="25" t="str">
        <f ca="1">IF(NOTA[[#This Row],[ID_H]]="","",IF(NOTA[[#This Row],[Column3]]=TRUE,NOTA[[#This Row],[QTY/ CTN]],INDEX([3]!db[QTY/ CTN],NOTA[[#This Row],[//DB]])))</f>
        <v/>
      </c>
      <c r="AX4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7" s="25" t="str">
        <f ca="1">IF(NOTA[[#This Row],[ID_H]]="","",MATCH(NOTA[[#This Row],[NB NOTA_C_QTY]],[3]!db[NB NOTA_C_QTY+F],0))</f>
        <v/>
      </c>
      <c r="AZ457" s="38" t="str">
        <f ca="1">IF(NOTA[[#This Row],[NB NOTA_C_QTY]]="","",ROW()-2)</f>
        <v/>
      </c>
    </row>
    <row r="458" spans="1:52" ht="20.100000000000001" customHeight="1">
      <c r="A4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8" s="25" t="str">
        <f ca="1">IF(NOTA[[#This Row],[NAMA BARANG]]="","",INDEX(NOTA[ID],MATCH(,INDIRECT(ADDRESS(ROW(NOTA[ID]),COLUMN(NOTA[ID]))&amp;":"&amp;ADDRESS(ROW(),COLUMN(NOTA[ID]))),-1)))</f>
        <v/>
      </c>
      <c r="E458" s="33"/>
      <c r="H458" s="34"/>
      <c r="Q458" s="29"/>
      <c r="R458" s="35"/>
      <c r="S458" s="36"/>
      <c r="V458" s="37"/>
      <c r="W458" s="32"/>
      <c r="X458" s="37" t="str">
        <f>IF(NOTA[[#This Row],[HARGA/ CTN]]="",NOTA[[#This Row],[JUMLAH_H]],NOTA[[#This Row],[HARGA/ CTN]]*IF(NOTA[[#This Row],[C]]="",0,NOTA[[#This Row],[C]]))</f>
        <v/>
      </c>
      <c r="Y458" s="37" t="str">
        <f>IF(NOTA[[#This Row],[JUMLAH]]="","",NOTA[[#This Row],[JUMLAH]]*NOTA[[#This Row],[DISC 1]])</f>
        <v/>
      </c>
      <c r="Z458" s="37" t="str">
        <f>IF(NOTA[[#This Row],[JUMLAH]]="","",(NOTA[[#This Row],[JUMLAH]]-NOTA[[#This Row],[DISC 1-]])*NOTA[[#This Row],[DISC 2]])</f>
        <v/>
      </c>
      <c r="AA458" s="37" t="str">
        <f>IF(NOTA[[#This Row],[JUMLAH]]="","",(NOTA[[#This Row],[JUMLAH]]-NOTA[[#This Row],[DISC 1-]]-NOTA[[#This Row],[DISC 2-]])*NOTA[[#This Row],[DISC 3]])</f>
        <v/>
      </c>
      <c r="AB458" s="37" t="str">
        <f>IF(NOTA[[#This Row],[JUMLAH]]="","",NOTA[[#This Row],[DISC 1-]]+NOTA[[#This Row],[DISC 2-]]+NOTA[[#This Row],[DISC 3-]])</f>
        <v/>
      </c>
      <c r="AC458" s="37" t="str">
        <f>IF(NOTA[[#This Row],[JUMLAH]]="","",NOTA[[#This Row],[JUMLAH]]-NOTA[[#This Row],[DISC]])</f>
        <v/>
      </c>
      <c r="AD458" s="37"/>
      <c r="AE4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8" s="37" t="str">
        <f>IF(OR(NOTA[[#This Row],[QTY]]="",NOTA[[#This Row],[HARGA SATUAN]]="",),"",NOTA[[#This Row],[QTY]]*NOTA[[#This Row],[HARGA SATUAN]])</f>
        <v/>
      </c>
      <c r="AI458" s="26" t="str">
        <f ca="1">IF(NOTA[[#This Row],[ID_H]]="","",INDEX(NOTA[TANGGAL],MATCH(,INDIRECT(ADDRESS(ROW(NOTA[TANGGAL]),COLUMN(NOTA[TANGGAL]))&amp;":"&amp;ADDRESS(ROW(),COLUMN(NOTA[TANGGAL]))),-1)))</f>
        <v/>
      </c>
      <c r="AJ458" s="26" t="str">
        <f ca="1">IF(NOTA[[#This Row],[ID_H]]="","",INDEX(NOTA[TGL.NOTA],MATCH(,INDIRECT(ADDRESS(ROW(NOTA[TGL.NOTA]),COLUMN(NOTA[TGL.NOTA]))&amp;":"&amp;ADDRESS(ROW(),COLUMN(NOTA[TGL.NOTA]))),-1)))</f>
        <v/>
      </c>
      <c r="AK458" s="26" t="str">
        <f ca="1">IF(NOTA[[#This Row],[ID_H]]="","",INDEX(NOTA[NO.NOTA],MATCH(NOTA[[#This Row],[ID_H]],NOTA[ID_H],0)))</f>
        <v/>
      </c>
      <c r="AL458" s="28" t="str">
        <f ca="1">IF(NOTA[[#This Row],[NAMA BARANG]]="","",INDEX(NOTA[SUPPLIER],MATCH(,INDIRECT(ADDRESS(ROW(NOTA[ID]),COLUMN(NOTA[ID]))&amp;":"&amp;ADDRESS(ROW(),COLUMN(NOTA[ID]))),-1)))</f>
        <v/>
      </c>
      <c r="AM458" s="28" t="str">
        <f ca="1">IF(NOTA[[#This Row],[ID_H]]="","",IF(NOTA[[#This Row],[FAKTUR]]="",INDIRECT(ADDRESS(ROW()-1,COLUMN())),NOTA[[#This Row],[FAKTUR]]))</f>
        <v/>
      </c>
      <c r="AN458" s="25" t="str">
        <f ca="1">IF(NOTA[[#This Row],[ID]]="","",COUNTIF(NOTA[ID_H],NOTA[[#This Row],[ID_H]]))</f>
        <v/>
      </c>
      <c r="AO458" s="25" t="str">
        <f ca="1">IF(NOTA[[#This Row],[TGL.NOTA]]="",IF(NOTA[[#This Row],[SUPPLIER_H]]="","",AO457),MONTH(NOTA[[#This Row],[TGL.NOTA]]))</f>
        <v/>
      </c>
      <c r="AP4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8" s="25"/>
      <c r="AU458" s="25" t="str">
        <f>IF(NOTA[[#This Row],[CONCAT1]]="","",MATCH(NOTA[[#This Row],[CONCAT1]],[3]!db[NB NOTA_C],0))</f>
        <v/>
      </c>
      <c r="AV458" s="25" t="str">
        <f>IF(NOTA[[#This Row],[QTY/ CTN]]="","",TRUE)</f>
        <v/>
      </c>
      <c r="AW458" s="25" t="str">
        <f ca="1">IF(NOTA[[#This Row],[ID_H]]="","",IF(NOTA[[#This Row],[Column3]]=TRUE,NOTA[[#This Row],[QTY/ CTN]],INDEX([3]!db[QTY/ CTN],NOTA[[#This Row],[//DB]])))</f>
        <v/>
      </c>
      <c r="AX4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8" s="25" t="str">
        <f ca="1">IF(NOTA[[#This Row],[ID_H]]="","",MATCH(NOTA[[#This Row],[NB NOTA_C_QTY]],[3]!db[NB NOTA_C_QTY+F],0))</f>
        <v/>
      </c>
      <c r="AZ458" s="38" t="str">
        <f ca="1">IF(NOTA[[#This Row],[NB NOTA_C_QTY]]="","",ROW()-2)</f>
        <v/>
      </c>
    </row>
    <row r="459" spans="1:52" ht="20.100000000000001" customHeight="1">
      <c r="A4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9" s="25" t="str">
        <f ca="1">IF(NOTA[[#This Row],[NAMA BARANG]]="","",INDEX(NOTA[ID],MATCH(,INDIRECT(ADDRESS(ROW(NOTA[ID]),COLUMN(NOTA[ID]))&amp;":"&amp;ADDRESS(ROW(),COLUMN(NOTA[ID]))),-1)))</f>
        <v/>
      </c>
      <c r="E459" s="33"/>
      <c r="H459" s="34"/>
      <c r="Q459" s="29"/>
      <c r="R459" s="35"/>
      <c r="S459" s="36"/>
      <c r="V459" s="37"/>
      <c r="W459" s="32"/>
      <c r="X459" s="37" t="str">
        <f>IF(NOTA[[#This Row],[HARGA/ CTN]]="",NOTA[[#This Row],[JUMLAH_H]],NOTA[[#This Row],[HARGA/ CTN]]*IF(NOTA[[#This Row],[C]]="",0,NOTA[[#This Row],[C]]))</f>
        <v/>
      </c>
      <c r="Y459" s="37" t="str">
        <f>IF(NOTA[[#This Row],[JUMLAH]]="","",NOTA[[#This Row],[JUMLAH]]*NOTA[[#This Row],[DISC 1]])</f>
        <v/>
      </c>
      <c r="Z459" s="37" t="str">
        <f>IF(NOTA[[#This Row],[JUMLAH]]="","",(NOTA[[#This Row],[JUMLAH]]-NOTA[[#This Row],[DISC 1-]])*NOTA[[#This Row],[DISC 2]])</f>
        <v/>
      </c>
      <c r="AA459" s="37" t="str">
        <f>IF(NOTA[[#This Row],[JUMLAH]]="","",(NOTA[[#This Row],[JUMLAH]]-NOTA[[#This Row],[DISC 1-]]-NOTA[[#This Row],[DISC 2-]])*NOTA[[#This Row],[DISC 3]])</f>
        <v/>
      </c>
      <c r="AB459" s="37" t="str">
        <f>IF(NOTA[[#This Row],[JUMLAH]]="","",NOTA[[#This Row],[DISC 1-]]+NOTA[[#This Row],[DISC 2-]]+NOTA[[#This Row],[DISC 3-]])</f>
        <v/>
      </c>
      <c r="AC459" s="37" t="str">
        <f>IF(NOTA[[#This Row],[JUMLAH]]="","",NOTA[[#This Row],[JUMLAH]]-NOTA[[#This Row],[DISC]])</f>
        <v/>
      </c>
      <c r="AD459" s="37"/>
      <c r="AE4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9" s="37" t="str">
        <f>IF(OR(NOTA[[#This Row],[QTY]]="",NOTA[[#This Row],[HARGA SATUAN]]="",),"",NOTA[[#This Row],[QTY]]*NOTA[[#This Row],[HARGA SATUAN]])</f>
        <v/>
      </c>
      <c r="AI459" s="26" t="str">
        <f ca="1">IF(NOTA[[#This Row],[ID_H]]="","",INDEX(NOTA[TANGGAL],MATCH(,INDIRECT(ADDRESS(ROW(NOTA[TANGGAL]),COLUMN(NOTA[TANGGAL]))&amp;":"&amp;ADDRESS(ROW(),COLUMN(NOTA[TANGGAL]))),-1)))</f>
        <v/>
      </c>
      <c r="AJ459" s="26" t="str">
        <f ca="1">IF(NOTA[[#This Row],[ID_H]]="","",INDEX(NOTA[TGL.NOTA],MATCH(,INDIRECT(ADDRESS(ROW(NOTA[TGL.NOTA]),COLUMN(NOTA[TGL.NOTA]))&amp;":"&amp;ADDRESS(ROW(),COLUMN(NOTA[TGL.NOTA]))),-1)))</f>
        <v/>
      </c>
      <c r="AK459" s="26" t="str">
        <f ca="1">IF(NOTA[[#This Row],[ID_H]]="","",INDEX(NOTA[NO.NOTA],MATCH(NOTA[[#This Row],[ID_H]],NOTA[ID_H],0)))</f>
        <v/>
      </c>
      <c r="AL459" s="28" t="str">
        <f ca="1">IF(NOTA[[#This Row],[NAMA BARANG]]="","",INDEX(NOTA[SUPPLIER],MATCH(,INDIRECT(ADDRESS(ROW(NOTA[ID]),COLUMN(NOTA[ID]))&amp;":"&amp;ADDRESS(ROW(),COLUMN(NOTA[ID]))),-1)))</f>
        <v/>
      </c>
      <c r="AM459" s="28" t="str">
        <f ca="1">IF(NOTA[[#This Row],[ID_H]]="","",IF(NOTA[[#This Row],[FAKTUR]]="",INDIRECT(ADDRESS(ROW()-1,COLUMN())),NOTA[[#This Row],[FAKTUR]]))</f>
        <v/>
      </c>
      <c r="AN459" s="25" t="str">
        <f ca="1">IF(NOTA[[#This Row],[ID]]="","",COUNTIF(NOTA[ID_H],NOTA[[#This Row],[ID_H]]))</f>
        <v/>
      </c>
      <c r="AO459" s="25" t="str">
        <f ca="1">IF(NOTA[[#This Row],[TGL.NOTA]]="",IF(NOTA[[#This Row],[SUPPLIER_H]]="","",AO458),MONTH(NOTA[[#This Row],[TGL.NOTA]]))</f>
        <v/>
      </c>
      <c r="AP4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9" s="25"/>
      <c r="AU459" s="25" t="str">
        <f>IF(NOTA[[#This Row],[CONCAT1]]="","",MATCH(NOTA[[#This Row],[CONCAT1]],[3]!db[NB NOTA_C],0))</f>
        <v/>
      </c>
      <c r="AV459" s="25" t="str">
        <f>IF(NOTA[[#This Row],[QTY/ CTN]]="","",TRUE)</f>
        <v/>
      </c>
      <c r="AW459" s="25" t="str">
        <f ca="1">IF(NOTA[[#This Row],[ID_H]]="","",IF(NOTA[[#This Row],[Column3]]=TRUE,NOTA[[#This Row],[QTY/ CTN]],INDEX([3]!db[QTY/ CTN],NOTA[[#This Row],[//DB]])))</f>
        <v/>
      </c>
      <c r="AX4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9" s="25" t="str">
        <f ca="1">IF(NOTA[[#This Row],[ID_H]]="","",MATCH(NOTA[[#This Row],[NB NOTA_C_QTY]],[3]!db[NB NOTA_C_QTY+F],0))</f>
        <v/>
      </c>
      <c r="AZ459" s="38" t="str">
        <f ca="1">IF(NOTA[[#This Row],[NB NOTA_C_QTY]]="","",ROW()-2)</f>
        <v/>
      </c>
    </row>
    <row r="460" spans="1:52" ht="20.100000000000001" customHeight="1">
      <c r="A4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0" s="25" t="str">
        <f ca="1">IF(NOTA[[#This Row],[NAMA BARANG]]="","",INDEX(NOTA[ID],MATCH(,INDIRECT(ADDRESS(ROW(NOTA[ID]),COLUMN(NOTA[ID]))&amp;":"&amp;ADDRESS(ROW(),COLUMN(NOTA[ID]))),-1)))</f>
        <v/>
      </c>
      <c r="E460" s="33"/>
      <c r="H460" s="34"/>
      <c r="Q460" s="29"/>
      <c r="R460" s="35"/>
      <c r="S460" s="36"/>
      <c r="V460" s="37"/>
      <c r="W460" s="32"/>
      <c r="X460" s="37" t="str">
        <f>IF(NOTA[[#This Row],[HARGA/ CTN]]="",NOTA[[#This Row],[JUMLAH_H]],NOTA[[#This Row],[HARGA/ CTN]]*IF(NOTA[[#This Row],[C]]="",0,NOTA[[#This Row],[C]]))</f>
        <v/>
      </c>
      <c r="Y460" s="37" t="str">
        <f>IF(NOTA[[#This Row],[JUMLAH]]="","",NOTA[[#This Row],[JUMLAH]]*NOTA[[#This Row],[DISC 1]])</f>
        <v/>
      </c>
      <c r="Z460" s="37" t="str">
        <f>IF(NOTA[[#This Row],[JUMLAH]]="","",(NOTA[[#This Row],[JUMLAH]]-NOTA[[#This Row],[DISC 1-]])*NOTA[[#This Row],[DISC 2]])</f>
        <v/>
      </c>
      <c r="AA460" s="37" t="str">
        <f>IF(NOTA[[#This Row],[JUMLAH]]="","",(NOTA[[#This Row],[JUMLAH]]-NOTA[[#This Row],[DISC 1-]]-NOTA[[#This Row],[DISC 2-]])*NOTA[[#This Row],[DISC 3]])</f>
        <v/>
      </c>
      <c r="AB460" s="37" t="str">
        <f>IF(NOTA[[#This Row],[JUMLAH]]="","",NOTA[[#This Row],[DISC 1-]]+NOTA[[#This Row],[DISC 2-]]+NOTA[[#This Row],[DISC 3-]])</f>
        <v/>
      </c>
      <c r="AC460" s="37" t="str">
        <f>IF(NOTA[[#This Row],[JUMLAH]]="","",NOTA[[#This Row],[JUMLAH]]-NOTA[[#This Row],[DISC]])</f>
        <v/>
      </c>
      <c r="AD460" s="37"/>
      <c r="AE4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0" s="37" t="str">
        <f>IF(OR(NOTA[[#This Row],[QTY]]="",NOTA[[#This Row],[HARGA SATUAN]]="",),"",NOTA[[#This Row],[QTY]]*NOTA[[#This Row],[HARGA SATUAN]])</f>
        <v/>
      </c>
      <c r="AI460" s="26" t="str">
        <f ca="1">IF(NOTA[[#This Row],[ID_H]]="","",INDEX(NOTA[TANGGAL],MATCH(,INDIRECT(ADDRESS(ROW(NOTA[TANGGAL]),COLUMN(NOTA[TANGGAL]))&amp;":"&amp;ADDRESS(ROW(),COLUMN(NOTA[TANGGAL]))),-1)))</f>
        <v/>
      </c>
      <c r="AJ460" s="26" t="str">
        <f ca="1">IF(NOTA[[#This Row],[ID_H]]="","",INDEX(NOTA[TGL.NOTA],MATCH(,INDIRECT(ADDRESS(ROW(NOTA[TGL.NOTA]),COLUMN(NOTA[TGL.NOTA]))&amp;":"&amp;ADDRESS(ROW(),COLUMN(NOTA[TGL.NOTA]))),-1)))</f>
        <v/>
      </c>
      <c r="AK460" s="26" t="str">
        <f ca="1">IF(NOTA[[#This Row],[ID_H]]="","",INDEX(NOTA[NO.NOTA],MATCH(NOTA[[#This Row],[ID_H]],NOTA[ID_H],0)))</f>
        <v/>
      </c>
      <c r="AL460" s="28" t="str">
        <f ca="1">IF(NOTA[[#This Row],[NAMA BARANG]]="","",INDEX(NOTA[SUPPLIER],MATCH(,INDIRECT(ADDRESS(ROW(NOTA[ID]),COLUMN(NOTA[ID]))&amp;":"&amp;ADDRESS(ROW(),COLUMN(NOTA[ID]))),-1)))</f>
        <v/>
      </c>
      <c r="AM460" s="28" t="str">
        <f ca="1">IF(NOTA[[#This Row],[ID_H]]="","",IF(NOTA[[#This Row],[FAKTUR]]="",INDIRECT(ADDRESS(ROW()-1,COLUMN())),NOTA[[#This Row],[FAKTUR]]))</f>
        <v/>
      </c>
      <c r="AN460" s="25" t="str">
        <f ca="1">IF(NOTA[[#This Row],[ID]]="","",COUNTIF(NOTA[ID_H],NOTA[[#This Row],[ID_H]]))</f>
        <v/>
      </c>
      <c r="AO460" s="25" t="str">
        <f ca="1">IF(NOTA[[#This Row],[TGL.NOTA]]="",IF(NOTA[[#This Row],[SUPPLIER_H]]="","",AO459),MONTH(NOTA[[#This Row],[TGL.NOTA]]))</f>
        <v/>
      </c>
      <c r="AP4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0" s="25"/>
      <c r="AU460" s="25" t="str">
        <f>IF(NOTA[[#This Row],[CONCAT1]]="","",MATCH(NOTA[[#This Row],[CONCAT1]],[3]!db[NB NOTA_C],0))</f>
        <v/>
      </c>
      <c r="AV460" s="25" t="str">
        <f>IF(NOTA[[#This Row],[QTY/ CTN]]="","",TRUE)</f>
        <v/>
      </c>
      <c r="AW460" s="25" t="str">
        <f ca="1">IF(NOTA[[#This Row],[ID_H]]="","",IF(NOTA[[#This Row],[Column3]]=TRUE,NOTA[[#This Row],[QTY/ CTN]],INDEX([3]!db[QTY/ CTN],NOTA[[#This Row],[//DB]])))</f>
        <v/>
      </c>
      <c r="AX4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0" s="25" t="str">
        <f ca="1">IF(NOTA[[#This Row],[ID_H]]="","",MATCH(NOTA[[#This Row],[NB NOTA_C_QTY]],[3]!db[NB NOTA_C_QTY+F],0))</f>
        <v/>
      </c>
      <c r="AZ460" s="38" t="str">
        <f ca="1">IF(NOTA[[#This Row],[NB NOTA_C_QTY]]="","",ROW()-2)</f>
        <v/>
      </c>
    </row>
    <row r="461" spans="1:52" ht="20.100000000000001" customHeight="1">
      <c r="A4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1" s="25" t="str">
        <f ca="1">IF(NOTA[[#This Row],[NAMA BARANG]]="","",INDEX(NOTA[ID],MATCH(,INDIRECT(ADDRESS(ROW(NOTA[ID]),COLUMN(NOTA[ID]))&amp;":"&amp;ADDRESS(ROW(),COLUMN(NOTA[ID]))),-1)))</f>
        <v/>
      </c>
      <c r="E461" s="33"/>
      <c r="H461" s="34"/>
      <c r="Q461" s="29"/>
      <c r="R461" s="35"/>
      <c r="S461" s="36"/>
      <c r="V461" s="37"/>
      <c r="W461" s="32"/>
      <c r="X461" s="37" t="str">
        <f>IF(NOTA[[#This Row],[HARGA/ CTN]]="",NOTA[[#This Row],[JUMLAH_H]],NOTA[[#This Row],[HARGA/ CTN]]*IF(NOTA[[#This Row],[C]]="",0,NOTA[[#This Row],[C]]))</f>
        <v/>
      </c>
      <c r="Y461" s="37" t="str">
        <f>IF(NOTA[[#This Row],[JUMLAH]]="","",NOTA[[#This Row],[JUMLAH]]*NOTA[[#This Row],[DISC 1]])</f>
        <v/>
      </c>
      <c r="Z461" s="37" t="str">
        <f>IF(NOTA[[#This Row],[JUMLAH]]="","",(NOTA[[#This Row],[JUMLAH]]-NOTA[[#This Row],[DISC 1-]])*NOTA[[#This Row],[DISC 2]])</f>
        <v/>
      </c>
      <c r="AA461" s="37" t="str">
        <f>IF(NOTA[[#This Row],[JUMLAH]]="","",(NOTA[[#This Row],[JUMLAH]]-NOTA[[#This Row],[DISC 1-]]-NOTA[[#This Row],[DISC 2-]])*NOTA[[#This Row],[DISC 3]])</f>
        <v/>
      </c>
      <c r="AB461" s="37" t="str">
        <f>IF(NOTA[[#This Row],[JUMLAH]]="","",NOTA[[#This Row],[DISC 1-]]+NOTA[[#This Row],[DISC 2-]]+NOTA[[#This Row],[DISC 3-]])</f>
        <v/>
      </c>
      <c r="AC461" s="37" t="str">
        <f>IF(NOTA[[#This Row],[JUMLAH]]="","",NOTA[[#This Row],[JUMLAH]]-NOTA[[#This Row],[DISC]])</f>
        <v/>
      </c>
      <c r="AD461" s="37"/>
      <c r="AE4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1" s="37" t="str">
        <f>IF(OR(NOTA[[#This Row],[QTY]]="",NOTA[[#This Row],[HARGA SATUAN]]="",),"",NOTA[[#This Row],[QTY]]*NOTA[[#This Row],[HARGA SATUAN]])</f>
        <v/>
      </c>
      <c r="AI461" s="26" t="str">
        <f ca="1">IF(NOTA[[#This Row],[ID_H]]="","",INDEX(NOTA[TANGGAL],MATCH(,INDIRECT(ADDRESS(ROW(NOTA[TANGGAL]),COLUMN(NOTA[TANGGAL]))&amp;":"&amp;ADDRESS(ROW(),COLUMN(NOTA[TANGGAL]))),-1)))</f>
        <v/>
      </c>
      <c r="AJ461" s="26" t="str">
        <f ca="1">IF(NOTA[[#This Row],[ID_H]]="","",INDEX(NOTA[TGL.NOTA],MATCH(,INDIRECT(ADDRESS(ROW(NOTA[TGL.NOTA]),COLUMN(NOTA[TGL.NOTA]))&amp;":"&amp;ADDRESS(ROW(),COLUMN(NOTA[TGL.NOTA]))),-1)))</f>
        <v/>
      </c>
      <c r="AK461" s="26" t="str">
        <f ca="1">IF(NOTA[[#This Row],[ID_H]]="","",INDEX(NOTA[NO.NOTA],MATCH(NOTA[[#This Row],[ID_H]],NOTA[ID_H],0)))</f>
        <v/>
      </c>
      <c r="AL461" s="28" t="str">
        <f ca="1">IF(NOTA[[#This Row],[NAMA BARANG]]="","",INDEX(NOTA[SUPPLIER],MATCH(,INDIRECT(ADDRESS(ROW(NOTA[ID]),COLUMN(NOTA[ID]))&amp;":"&amp;ADDRESS(ROW(),COLUMN(NOTA[ID]))),-1)))</f>
        <v/>
      </c>
      <c r="AM461" s="28" t="str">
        <f ca="1">IF(NOTA[[#This Row],[ID_H]]="","",IF(NOTA[[#This Row],[FAKTUR]]="",INDIRECT(ADDRESS(ROW()-1,COLUMN())),NOTA[[#This Row],[FAKTUR]]))</f>
        <v/>
      </c>
      <c r="AN461" s="25" t="str">
        <f ca="1">IF(NOTA[[#This Row],[ID]]="","",COUNTIF(NOTA[ID_H],NOTA[[#This Row],[ID_H]]))</f>
        <v/>
      </c>
      <c r="AO461" s="25" t="str">
        <f ca="1">IF(NOTA[[#This Row],[TGL.NOTA]]="",IF(NOTA[[#This Row],[SUPPLIER_H]]="","",AO460),MONTH(NOTA[[#This Row],[TGL.NOTA]]))</f>
        <v/>
      </c>
      <c r="AP4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1" s="25"/>
      <c r="AU461" s="25" t="str">
        <f>IF(NOTA[[#This Row],[CONCAT1]]="","",MATCH(NOTA[[#This Row],[CONCAT1]],[3]!db[NB NOTA_C],0))</f>
        <v/>
      </c>
      <c r="AV461" s="25" t="str">
        <f>IF(NOTA[[#This Row],[QTY/ CTN]]="","",TRUE)</f>
        <v/>
      </c>
      <c r="AW461" s="25" t="str">
        <f ca="1">IF(NOTA[[#This Row],[ID_H]]="","",IF(NOTA[[#This Row],[Column3]]=TRUE,NOTA[[#This Row],[QTY/ CTN]],INDEX([3]!db[QTY/ CTN],NOTA[[#This Row],[//DB]])))</f>
        <v/>
      </c>
      <c r="AX4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1" s="25" t="str">
        <f ca="1">IF(NOTA[[#This Row],[ID_H]]="","",MATCH(NOTA[[#This Row],[NB NOTA_C_QTY]],[3]!db[NB NOTA_C_QTY+F],0))</f>
        <v/>
      </c>
      <c r="AZ461" s="38" t="str">
        <f ca="1">IF(NOTA[[#This Row],[NB NOTA_C_QTY]]="","",ROW()-2)</f>
        <v/>
      </c>
    </row>
    <row r="462" spans="1:52" ht="20.100000000000001" customHeight="1">
      <c r="A4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2" s="25" t="str">
        <f ca="1">IF(NOTA[[#This Row],[NAMA BARANG]]="","",INDEX(NOTA[ID],MATCH(,INDIRECT(ADDRESS(ROW(NOTA[ID]),COLUMN(NOTA[ID]))&amp;":"&amp;ADDRESS(ROW(),COLUMN(NOTA[ID]))),-1)))</f>
        <v/>
      </c>
      <c r="E462" s="33"/>
      <c r="H462" s="34"/>
      <c r="Q462" s="29"/>
      <c r="R462" s="35"/>
      <c r="S462" s="36"/>
      <c r="V462" s="37"/>
      <c r="W462" s="32"/>
      <c r="X462" s="37" t="str">
        <f>IF(NOTA[[#This Row],[HARGA/ CTN]]="",NOTA[[#This Row],[JUMLAH_H]],NOTA[[#This Row],[HARGA/ CTN]]*IF(NOTA[[#This Row],[C]]="",0,NOTA[[#This Row],[C]]))</f>
        <v/>
      </c>
      <c r="Y462" s="37" t="str">
        <f>IF(NOTA[[#This Row],[JUMLAH]]="","",NOTA[[#This Row],[JUMLAH]]*NOTA[[#This Row],[DISC 1]])</f>
        <v/>
      </c>
      <c r="Z462" s="37" t="str">
        <f>IF(NOTA[[#This Row],[JUMLAH]]="","",(NOTA[[#This Row],[JUMLAH]]-NOTA[[#This Row],[DISC 1-]])*NOTA[[#This Row],[DISC 2]])</f>
        <v/>
      </c>
      <c r="AA462" s="37" t="str">
        <f>IF(NOTA[[#This Row],[JUMLAH]]="","",(NOTA[[#This Row],[JUMLAH]]-NOTA[[#This Row],[DISC 1-]]-NOTA[[#This Row],[DISC 2-]])*NOTA[[#This Row],[DISC 3]])</f>
        <v/>
      </c>
      <c r="AB462" s="37" t="str">
        <f>IF(NOTA[[#This Row],[JUMLAH]]="","",NOTA[[#This Row],[DISC 1-]]+NOTA[[#This Row],[DISC 2-]]+NOTA[[#This Row],[DISC 3-]])</f>
        <v/>
      </c>
      <c r="AC462" s="37" t="str">
        <f>IF(NOTA[[#This Row],[JUMLAH]]="","",NOTA[[#This Row],[JUMLAH]]-NOTA[[#This Row],[DISC]])</f>
        <v/>
      </c>
      <c r="AD462" s="37"/>
      <c r="AE4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2" s="37" t="str">
        <f>IF(OR(NOTA[[#This Row],[QTY]]="",NOTA[[#This Row],[HARGA SATUAN]]="",),"",NOTA[[#This Row],[QTY]]*NOTA[[#This Row],[HARGA SATUAN]])</f>
        <v/>
      </c>
      <c r="AI462" s="26" t="str">
        <f ca="1">IF(NOTA[[#This Row],[ID_H]]="","",INDEX(NOTA[TANGGAL],MATCH(,INDIRECT(ADDRESS(ROW(NOTA[TANGGAL]),COLUMN(NOTA[TANGGAL]))&amp;":"&amp;ADDRESS(ROW(),COLUMN(NOTA[TANGGAL]))),-1)))</f>
        <v/>
      </c>
      <c r="AJ462" s="26" t="str">
        <f ca="1">IF(NOTA[[#This Row],[ID_H]]="","",INDEX(NOTA[TGL.NOTA],MATCH(,INDIRECT(ADDRESS(ROW(NOTA[TGL.NOTA]),COLUMN(NOTA[TGL.NOTA]))&amp;":"&amp;ADDRESS(ROW(),COLUMN(NOTA[TGL.NOTA]))),-1)))</f>
        <v/>
      </c>
      <c r="AK462" s="26" t="str">
        <f ca="1">IF(NOTA[[#This Row],[ID_H]]="","",INDEX(NOTA[NO.NOTA],MATCH(NOTA[[#This Row],[ID_H]],NOTA[ID_H],0)))</f>
        <v/>
      </c>
      <c r="AL462" s="28" t="str">
        <f ca="1">IF(NOTA[[#This Row],[NAMA BARANG]]="","",INDEX(NOTA[SUPPLIER],MATCH(,INDIRECT(ADDRESS(ROW(NOTA[ID]),COLUMN(NOTA[ID]))&amp;":"&amp;ADDRESS(ROW(),COLUMN(NOTA[ID]))),-1)))</f>
        <v/>
      </c>
      <c r="AM462" s="28" t="str">
        <f ca="1">IF(NOTA[[#This Row],[ID_H]]="","",IF(NOTA[[#This Row],[FAKTUR]]="",INDIRECT(ADDRESS(ROW()-1,COLUMN())),NOTA[[#This Row],[FAKTUR]]))</f>
        <v/>
      </c>
      <c r="AN462" s="25" t="str">
        <f ca="1">IF(NOTA[[#This Row],[ID]]="","",COUNTIF(NOTA[ID_H],NOTA[[#This Row],[ID_H]]))</f>
        <v/>
      </c>
      <c r="AO462" s="25" t="str">
        <f ca="1">IF(NOTA[[#This Row],[TGL.NOTA]]="",IF(NOTA[[#This Row],[SUPPLIER_H]]="","",AO461),MONTH(NOTA[[#This Row],[TGL.NOTA]]))</f>
        <v/>
      </c>
      <c r="AP4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2" s="25"/>
      <c r="AU462" s="25" t="str">
        <f>IF(NOTA[[#This Row],[CONCAT1]]="","",MATCH(NOTA[[#This Row],[CONCAT1]],[3]!db[NB NOTA_C],0))</f>
        <v/>
      </c>
      <c r="AV462" s="25" t="str">
        <f>IF(NOTA[[#This Row],[QTY/ CTN]]="","",TRUE)</f>
        <v/>
      </c>
      <c r="AW462" s="25" t="str">
        <f ca="1">IF(NOTA[[#This Row],[ID_H]]="","",IF(NOTA[[#This Row],[Column3]]=TRUE,NOTA[[#This Row],[QTY/ CTN]],INDEX([3]!db[QTY/ CTN],NOTA[[#This Row],[//DB]])))</f>
        <v/>
      </c>
      <c r="AX4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2" s="25" t="str">
        <f ca="1">IF(NOTA[[#This Row],[ID_H]]="","",MATCH(NOTA[[#This Row],[NB NOTA_C_QTY]],[3]!db[NB NOTA_C_QTY+F],0))</f>
        <v/>
      </c>
      <c r="AZ462" s="38" t="str">
        <f ca="1">IF(NOTA[[#This Row],[NB NOTA_C_QTY]]="","",ROW()-2)</f>
        <v/>
      </c>
    </row>
    <row r="463" spans="1:52" ht="20.100000000000001" customHeight="1">
      <c r="A4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3" s="25" t="str">
        <f ca="1">IF(NOTA[[#This Row],[NAMA BARANG]]="","",INDEX(NOTA[ID],MATCH(,INDIRECT(ADDRESS(ROW(NOTA[ID]),COLUMN(NOTA[ID]))&amp;":"&amp;ADDRESS(ROW(),COLUMN(NOTA[ID]))),-1)))</f>
        <v/>
      </c>
      <c r="E463" s="33"/>
      <c r="H463" s="34"/>
      <c r="Q463" s="29"/>
      <c r="R463" s="35"/>
      <c r="S463" s="36"/>
      <c r="V463" s="37"/>
      <c r="W463" s="32"/>
      <c r="X463" s="37" t="str">
        <f>IF(NOTA[[#This Row],[HARGA/ CTN]]="",NOTA[[#This Row],[JUMLAH_H]],NOTA[[#This Row],[HARGA/ CTN]]*IF(NOTA[[#This Row],[C]]="",0,NOTA[[#This Row],[C]]))</f>
        <v/>
      </c>
      <c r="Y463" s="37" t="str">
        <f>IF(NOTA[[#This Row],[JUMLAH]]="","",NOTA[[#This Row],[JUMLAH]]*NOTA[[#This Row],[DISC 1]])</f>
        <v/>
      </c>
      <c r="Z463" s="37" t="str">
        <f>IF(NOTA[[#This Row],[JUMLAH]]="","",(NOTA[[#This Row],[JUMLAH]]-NOTA[[#This Row],[DISC 1-]])*NOTA[[#This Row],[DISC 2]])</f>
        <v/>
      </c>
      <c r="AA463" s="37" t="str">
        <f>IF(NOTA[[#This Row],[JUMLAH]]="","",(NOTA[[#This Row],[JUMLAH]]-NOTA[[#This Row],[DISC 1-]]-NOTA[[#This Row],[DISC 2-]])*NOTA[[#This Row],[DISC 3]])</f>
        <v/>
      </c>
      <c r="AB463" s="37" t="str">
        <f>IF(NOTA[[#This Row],[JUMLAH]]="","",NOTA[[#This Row],[DISC 1-]]+NOTA[[#This Row],[DISC 2-]]+NOTA[[#This Row],[DISC 3-]])</f>
        <v/>
      </c>
      <c r="AC463" s="37" t="str">
        <f>IF(NOTA[[#This Row],[JUMLAH]]="","",NOTA[[#This Row],[JUMLAH]]-NOTA[[#This Row],[DISC]])</f>
        <v/>
      </c>
      <c r="AD463" s="37"/>
      <c r="AE4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3" s="37" t="str">
        <f>IF(OR(NOTA[[#This Row],[QTY]]="",NOTA[[#This Row],[HARGA SATUAN]]="",),"",NOTA[[#This Row],[QTY]]*NOTA[[#This Row],[HARGA SATUAN]])</f>
        <v/>
      </c>
      <c r="AI463" s="26" t="str">
        <f ca="1">IF(NOTA[[#This Row],[ID_H]]="","",INDEX(NOTA[TANGGAL],MATCH(,INDIRECT(ADDRESS(ROW(NOTA[TANGGAL]),COLUMN(NOTA[TANGGAL]))&amp;":"&amp;ADDRESS(ROW(),COLUMN(NOTA[TANGGAL]))),-1)))</f>
        <v/>
      </c>
      <c r="AJ463" s="26" t="str">
        <f ca="1">IF(NOTA[[#This Row],[ID_H]]="","",INDEX(NOTA[TGL.NOTA],MATCH(,INDIRECT(ADDRESS(ROW(NOTA[TGL.NOTA]),COLUMN(NOTA[TGL.NOTA]))&amp;":"&amp;ADDRESS(ROW(),COLUMN(NOTA[TGL.NOTA]))),-1)))</f>
        <v/>
      </c>
      <c r="AK463" s="26" t="str">
        <f ca="1">IF(NOTA[[#This Row],[ID_H]]="","",INDEX(NOTA[NO.NOTA],MATCH(NOTA[[#This Row],[ID_H]],NOTA[ID_H],0)))</f>
        <v/>
      </c>
      <c r="AL463" s="28" t="str">
        <f ca="1">IF(NOTA[[#This Row],[NAMA BARANG]]="","",INDEX(NOTA[SUPPLIER],MATCH(,INDIRECT(ADDRESS(ROW(NOTA[ID]),COLUMN(NOTA[ID]))&amp;":"&amp;ADDRESS(ROW(),COLUMN(NOTA[ID]))),-1)))</f>
        <v/>
      </c>
      <c r="AM463" s="28" t="str">
        <f ca="1">IF(NOTA[[#This Row],[ID_H]]="","",IF(NOTA[[#This Row],[FAKTUR]]="",INDIRECT(ADDRESS(ROW()-1,COLUMN())),NOTA[[#This Row],[FAKTUR]]))</f>
        <v/>
      </c>
      <c r="AN463" s="25" t="str">
        <f ca="1">IF(NOTA[[#This Row],[ID]]="","",COUNTIF(NOTA[ID_H],NOTA[[#This Row],[ID_H]]))</f>
        <v/>
      </c>
      <c r="AO463" s="25" t="str">
        <f ca="1">IF(NOTA[[#This Row],[TGL.NOTA]]="",IF(NOTA[[#This Row],[SUPPLIER_H]]="","",AO462),MONTH(NOTA[[#This Row],[TGL.NOTA]]))</f>
        <v/>
      </c>
      <c r="AP4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3" s="25"/>
      <c r="AU463" s="25" t="str">
        <f>IF(NOTA[[#This Row],[CONCAT1]]="","",MATCH(NOTA[[#This Row],[CONCAT1]],[3]!db[NB NOTA_C],0))</f>
        <v/>
      </c>
      <c r="AV463" s="25" t="str">
        <f>IF(NOTA[[#This Row],[QTY/ CTN]]="","",TRUE)</f>
        <v/>
      </c>
      <c r="AW463" s="25" t="str">
        <f ca="1">IF(NOTA[[#This Row],[ID_H]]="","",IF(NOTA[[#This Row],[Column3]]=TRUE,NOTA[[#This Row],[QTY/ CTN]],INDEX([3]!db[QTY/ CTN],NOTA[[#This Row],[//DB]])))</f>
        <v/>
      </c>
      <c r="AX4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3" s="25" t="str">
        <f ca="1">IF(NOTA[[#This Row],[ID_H]]="","",MATCH(NOTA[[#This Row],[NB NOTA_C_QTY]],[3]!db[NB NOTA_C_QTY+F],0))</f>
        <v/>
      </c>
      <c r="AZ463" s="38" t="str">
        <f ca="1">IF(NOTA[[#This Row],[NB NOTA_C_QTY]]="","",ROW()-2)</f>
        <v/>
      </c>
    </row>
    <row r="464" spans="1:52" ht="20.100000000000001" customHeight="1">
      <c r="A4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4" s="25" t="str">
        <f ca="1">IF(NOTA[[#This Row],[NAMA BARANG]]="","",INDEX(NOTA[ID],MATCH(,INDIRECT(ADDRESS(ROW(NOTA[ID]),COLUMN(NOTA[ID]))&amp;":"&amp;ADDRESS(ROW(),COLUMN(NOTA[ID]))),-1)))</f>
        <v/>
      </c>
      <c r="E464" s="33"/>
      <c r="H464" s="34"/>
      <c r="Q464" s="29"/>
      <c r="R464" s="35"/>
      <c r="S464" s="36"/>
      <c r="V464" s="37"/>
      <c r="W464" s="32"/>
      <c r="X464" s="37" t="str">
        <f>IF(NOTA[[#This Row],[HARGA/ CTN]]="",NOTA[[#This Row],[JUMLAH_H]],NOTA[[#This Row],[HARGA/ CTN]]*IF(NOTA[[#This Row],[C]]="",0,NOTA[[#This Row],[C]]))</f>
        <v/>
      </c>
      <c r="Y464" s="37" t="str">
        <f>IF(NOTA[[#This Row],[JUMLAH]]="","",NOTA[[#This Row],[JUMLAH]]*NOTA[[#This Row],[DISC 1]])</f>
        <v/>
      </c>
      <c r="Z464" s="37" t="str">
        <f>IF(NOTA[[#This Row],[JUMLAH]]="","",(NOTA[[#This Row],[JUMLAH]]-NOTA[[#This Row],[DISC 1-]])*NOTA[[#This Row],[DISC 2]])</f>
        <v/>
      </c>
      <c r="AA464" s="37" t="str">
        <f>IF(NOTA[[#This Row],[JUMLAH]]="","",(NOTA[[#This Row],[JUMLAH]]-NOTA[[#This Row],[DISC 1-]]-NOTA[[#This Row],[DISC 2-]])*NOTA[[#This Row],[DISC 3]])</f>
        <v/>
      </c>
      <c r="AB464" s="37" t="str">
        <f>IF(NOTA[[#This Row],[JUMLAH]]="","",NOTA[[#This Row],[DISC 1-]]+NOTA[[#This Row],[DISC 2-]]+NOTA[[#This Row],[DISC 3-]])</f>
        <v/>
      </c>
      <c r="AC464" s="37" t="str">
        <f>IF(NOTA[[#This Row],[JUMLAH]]="","",NOTA[[#This Row],[JUMLAH]]-NOTA[[#This Row],[DISC]])</f>
        <v/>
      </c>
      <c r="AD464" s="37"/>
      <c r="AE4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4" s="37" t="str">
        <f>IF(OR(NOTA[[#This Row],[QTY]]="",NOTA[[#This Row],[HARGA SATUAN]]="",),"",NOTA[[#This Row],[QTY]]*NOTA[[#This Row],[HARGA SATUAN]])</f>
        <v/>
      </c>
      <c r="AI464" s="26" t="str">
        <f ca="1">IF(NOTA[[#This Row],[ID_H]]="","",INDEX(NOTA[TANGGAL],MATCH(,INDIRECT(ADDRESS(ROW(NOTA[TANGGAL]),COLUMN(NOTA[TANGGAL]))&amp;":"&amp;ADDRESS(ROW(),COLUMN(NOTA[TANGGAL]))),-1)))</f>
        <v/>
      </c>
      <c r="AJ464" s="26" t="str">
        <f ca="1">IF(NOTA[[#This Row],[ID_H]]="","",INDEX(NOTA[TGL.NOTA],MATCH(,INDIRECT(ADDRESS(ROW(NOTA[TGL.NOTA]),COLUMN(NOTA[TGL.NOTA]))&amp;":"&amp;ADDRESS(ROW(),COLUMN(NOTA[TGL.NOTA]))),-1)))</f>
        <v/>
      </c>
      <c r="AK464" s="26" t="str">
        <f ca="1">IF(NOTA[[#This Row],[ID_H]]="","",INDEX(NOTA[NO.NOTA],MATCH(NOTA[[#This Row],[ID_H]],NOTA[ID_H],0)))</f>
        <v/>
      </c>
      <c r="AL464" s="28" t="str">
        <f ca="1">IF(NOTA[[#This Row],[NAMA BARANG]]="","",INDEX(NOTA[SUPPLIER],MATCH(,INDIRECT(ADDRESS(ROW(NOTA[ID]),COLUMN(NOTA[ID]))&amp;":"&amp;ADDRESS(ROW(),COLUMN(NOTA[ID]))),-1)))</f>
        <v/>
      </c>
      <c r="AM464" s="28" t="str">
        <f ca="1">IF(NOTA[[#This Row],[ID_H]]="","",IF(NOTA[[#This Row],[FAKTUR]]="",INDIRECT(ADDRESS(ROW()-1,COLUMN())),NOTA[[#This Row],[FAKTUR]]))</f>
        <v/>
      </c>
      <c r="AN464" s="25" t="str">
        <f ca="1">IF(NOTA[[#This Row],[ID]]="","",COUNTIF(NOTA[ID_H],NOTA[[#This Row],[ID_H]]))</f>
        <v/>
      </c>
      <c r="AO464" s="25" t="str">
        <f ca="1">IF(NOTA[[#This Row],[TGL.NOTA]]="",IF(NOTA[[#This Row],[SUPPLIER_H]]="","",AO463),MONTH(NOTA[[#This Row],[TGL.NOTA]]))</f>
        <v/>
      </c>
      <c r="AP4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4" s="25"/>
      <c r="AU464" s="25" t="str">
        <f>IF(NOTA[[#This Row],[CONCAT1]]="","",MATCH(NOTA[[#This Row],[CONCAT1]],[3]!db[NB NOTA_C],0))</f>
        <v/>
      </c>
      <c r="AV464" s="25" t="str">
        <f>IF(NOTA[[#This Row],[QTY/ CTN]]="","",TRUE)</f>
        <v/>
      </c>
      <c r="AW464" s="25" t="str">
        <f ca="1">IF(NOTA[[#This Row],[ID_H]]="","",IF(NOTA[[#This Row],[Column3]]=TRUE,NOTA[[#This Row],[QTY/ CTN]],INDEX([3]!db[QTY/ CTN],NOTA[[#This Row],[//DB]])))</f>
        <v/>
      </c>
      <c r="AX4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4" s="25" t="str">
        <f ca="1">IF(NOTA[[#This Row],[ID_H]]="","",MATCH(NOTA[[#This Row],[NB NOTA_C_QTY]],[3]!db[NB NOTA_C_QTY+F],0))</f>
        <v/>
      </c>
      <c r="AZ464" s="38" t="str">
        <f ca="1">IF(NOTA[[#This Row],[NB NOTA_C_QTY]]="","",ROW()-2)</f>
        <v/>
      </c>
    </row>
    <row r="465" spans="1:52" ht="20.100000000000001" customHeight="1">
      <c r="A4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5" s="25" t="str">
        <f ca="1">IF(NOTA[[#This Row],[NAMA BARANG]]="","",INDEX(NOTA[ID],MATCH(,INDIRECT(ADDRESS(ROW(NOTA[ID]),COLUMN(NOTA[ID]))&amp;":"&amp;ADDRESS(ROW(),COLUMN(NOTA[ID]))),-1)))</f>
        <v/>
      </c>
      <c r="E465" s="33"/>
      <c r="H465" s="34"/>
      <c r="Q465" s="29"/>
      <c r="R465" s="35"/>
      <c r="S465" s="36"/>
      <c r="V465" s="37"/>
      <c r="W465" s="32"/>
      <c r="X465" s="37" t="str">
        <f>IF(NOTA[[#This Row],[HARGA/ CTN]]="",NOTA[[#This Row],[JUMLAH_H]],NOTA[[#This Row],[HARGA/ CTN]]*IF(NOTA[[#This Row],[C]]="",0,NOTA[[#This Row],[C]]))</f>
        <v/>
      </c>
      <c r="Y465" s="37" t="str">
        <f>IF(NOTA[[#This Row],[JUMLAH]]="","",NOTA[[#This Row],[JUMLAH]]*NOTA[[#This Row],[DISC 1]])</f>
        <v/>
      </c>
      <c r="Z465" s="37" t="str">
        <f>IF(NOTA[[#This Row],[JUMLAH]]="","",(NOTA[[#This Row],[JUMLAH]]-NOTA[[#This Row],[DISC 1-]])*NOTA[[#This Row],[DISC 2]])</f>
        <v/>
      </c>
      <c r="AA465" s="37" t="str">
        <f>IF(NOTA[[#This Row],[JUMLAH]]="","",(NOTA[[#This Row],[JUMLAH]]-NOTA[[#This Row],[DISC 1-]]-NOTA[[#This Row],[DISC 2-]])*NOTA[[#This Row],[DISC 3]])</f>
        <v/>
      </c>
      <c r="AB465" s="37" t="str">
        <f>IF(NOTA[[#This Row],[JUMLAH]]="","",NOTA[[#This Row],[DISC 1-]]+NOTA[[#This Row],[DISC 2-]]+NOTA[[#This Row],[DISC 3-]])</f>
        <v/>
      </c>
      <c r="AC465" s="37" t="str">
        <f>IF(NOTA[[#This Row],[JUMLAH]]="","",NOTA[[#This Row],[JUMLAH]]-NOTA[[#This Row],[DISC]])</f>
        <v/>
      </c>
      <c r="AD465" s="37"/>
      <c r="AE4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5" s="37" t="str">
        <f>IF(OR(NOTA[[#This Row],[QTY]]="",NOTA[[#This Row],[HARGA SATUAN]]="",),"",NOTA[[#This Row],[QTY]]*NOTA[[#This Row],[HARGA SATUAN]])</f>
        <v/>
      </c>
      <c r="AI465" s="26" t="str">
        <f ca="1">IF(NOTA[[#This Row],[ID_H]]="","",INDEX(NOTA[TANGGAL],MATCH(,INDIRECT(ADDRESS(ROW(NOTA[TANGGAL]),COLUMN(NOTA[TANGGAL]))&amp;":"&amp;ADDRESS(ROW(),COLUMN(NOTA[TANGGAL]))),-1)))</f>
        <v/>
      </c>
      <c r="AJ465" s="26" t="str">
        <f ca="1">IF(NOTA[[#This Row],[ID_H]]="","",INDEX(NOTA[TGL.NOTA],MATCH(,INDIRECT(ADDRESS(ROW(NOTA[TGL.NOTA]),COLUMN(NOTA[TGL.NOTA]))&amp;":"&amp;ADDRESS(ROW(),COLUMN(NOTA[TGL.NOTA]))),-1)))</f>
        <v/>
      </c>
      <c r="AK465" s="26" t="str">
        <f ca="1">IF(NOTA[[#This Row],[ID_H]]="","",INDEX(NOTA[NO.NOTA],MATCH(NOTA[[#This Row],[ID_H]],NOTA[ID_H],0)))</f>
        <v/>
      </c>
      <c r="AL465" s="28" t="str">
        <f ca="1">IF(NOTA[[#This Row],[NAMA BARANG]]="","",INDEX(NOTA[SUPPLIER],MATCH(,INDIRECT(ADDRESS(ROW(NOTA[ID]),COLUMN(NOTA[ID]))&amp;":"&amp;ADDRESS(ROW(),COLUMN(NOTA[ID]))),-1)))</f>
        <v/>
      </c>
      <c r="AM465" s="28" t="str">
        <f ca="1">IF(NOTA[[#This Row],[ID_H]]="","",IF(NOTA[[#This Row],[FAKTUR]]="",INDIRECT(ADDRESS(ROW()-1,COLUMN())),NOTA[[#This Row],[FAKTUR]]))</f>
        <v/>
      </c>
      <c r="AN465" s="25" t="str">
        <f ca="1">IF(NOTA[[#This Row],[ID]]="","",COUNTIF(NOTA[ID_H],NOTA[[#This Row],[ID_H]]))</f>
        <v/>
      </c>
      <c r="AO465" s="25" t="str">
        <f ca="1">IF(NOTA[[#This Row],[TGL.NOTA]]="",IF(NOTA[[#This Row],[SUPPLIER_H]]="","",AO464),MONTH(NOTA[[#This Row],[TGL.NOTA]]))</f>
        <v/>
      </c>
      <c r="AP4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5" s="25"/>
      <c r="AU465" s="25" t="str">
        <f>IF(NOTA[[#This Row],[CONCAT1]]="","",MATCH(NOTA[[#This Row],[CONCAT1]],[3]!db[NB NOTA_C],0))</f>
        <v/>
      </c>
      <c r="AV465" s="25" t="str">
        <f>IF(NOTA[[#This Row],[QTY/ CTN]]="","",TRUE)</f>
        <v/>
      </c>
      <c r="AW465" s="25" t="str">
        <f ca="1">IF(NOTA[[#This Row],[ID_H]]="","",IF(NOTA[[#This Row],[Column3]]=TRUE,NOTA[[#This Row],[QTY/ CTN]],INDEX([3]!db[QTY/ CTN],NOTA[[#This Row],[//DB]])))</f>
        <v/>
      </c>
      <c r="AX4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5" s="25" t="str">
        <f ca="1">IF(NOTA[[#This Row],[ID_H]]="","",MATCH(NOTA[[#This Row],[NB NOTA_C_QTY]],[3]!db[NB NOTA_C_QTY+F],0))</f>
        <v/>
      </c>
      <c r="AZ465" s="38" t="str">
        <f ca="1">IF(NOTA[[#This Row],[NB NOTA_C_QTY]]="","",ROW()-2)</f>
        <v/>
      </c>
    </row>
    <row r="466" spans="1:52" ht="20.100000000000001" customHeight="1">
      <c r="A4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6" s="25" t="str">
        <f ca="1">IF(NOTA[[#This Row],[NAMA BARANG]]="","",INDEX(NOTA[ID],MATCH(,INDIRECT(ADDRESS(ROW(NOTA[ID]),COLUMN(NOTA[ID]))&amp;":"&amp;ADDRESS(ROW(),COLUMN(NOTA[ID]))),-1)))</f>
        <v/>
      </c>
      <c r="E466" s="33"/>
      <c r="H466" s="34"/>
      <c r="Q466" s="29"/>
      <c r="R466" s="35"/>
      <c r="S466" s="36"/>
      <c r="V466" s="37"/>
      <c r="W466" s="32"/>
      <c r="X466" s="37" t="str">
        <f>IF(NOTA[[#This Row],[HARGA/ CTN]]="",NOTA[[#This Row],[JUMLAH_H]],NOTA[[#This Row],[HARGA/ CTN]]*IF(NOTA[[#This Row],[C]]="",0,NOTA[[#This Row],[C]]))</f>
        <v/>
      </c>
      <c r="Y466" s="37" t="str">
        <f>IF(NOTA[[#This Row],[JUMLAH]]="","",NOTA[[#This Row],[JUMLAH]]*NOTA[[#This Row],[DISC 1]])</f>
        <v/>
      </c>
      <c r="Z466" s="37" t="str">
        <f>IF(NOTA[[#This Row],[JUMLAH]]="","",(NOTA[[#This Row],[JUMLAH]]-NOTA[[#This Row],[DISC 1-]])*NOTA[[#This Row],[DISC 2]])</f>
        <v/>
      </c>
      <c r="AA466" s="37" t="str">
        <f>IF(NOTA[[#This Row],[JUMLAH]]="","",(NOTA[[#This Row],[JUMLAH]]-NOTA[[#This Row],[DISC 1-]]-NOTA[[#This Row],[DISC 2-]])*NOTA[[#This Row],[DISC 3]])</f>
        <v/>
      </c>
      <c r="AB466" s="37" t="str">
        <f>IF(NOTA[[#This Row],[JUMLAH]]="","",NOTA[[#This Row],[DISC 1-]]+NOTA[[#This Row],[DISC 2-]]+NOTA[[#This Row],[DISC 3-]])</f>
        <v/>
      </c>
      <c r="AC466" s="37" t="str">
        <f>IF(NOTA[[#This Row],[JUMLAH]]="","",NOTA[[#This Row],[JUMLAH]]-NOTA[[#This Row],[DISC]])</f>
        <v/>
      </c>
      <c r="AD466" s="37"/>
      <c r="AE4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6" s="37" t="str">
        <f>IF(OR(NOTA[[#This Row],[QTY]]="",NOTA[[#This Row],[HARGA SATUAN]]="",),"",NOTA[[#This Row],[QTY]]*NOTA[[#This Row],[HARGA SATUAN]])</f>
        <v/>
      </c>
      <c r="AI466" s="26" t="str">
        <f ca="1">IF(NOTA[[#This Row],[ID_H]]="","",INDEX(NOTA[TANGGAL],MATCH(,INDIRECT(ADDRESS(ROW(NOTA[TANGGAL]),COLUMN(NOTA[TANGGAL]))&amp;":"&amp;ADDRESS(ROW(),COLUMN(NOTA[TANGGAL]))),-1)))</f>
        <v/>
      </c>
      <c r="AJ466" s="26" t="str">
        <f ca="1">IF(NOTA[[#This Row],[ID_H]]="","",INDEX(NOTA[TGL.NOTA],MATCH(,INDIRECT(ADDRESS(ROW(NOTA[TGL.NOTA]),COLUMN(NOTA[TGL.NOTA]))&amp;":"&amp;ADDRESS(ROW(),COLUMN(NOTA[TGL.NOTA]))),-1)))</f>
        <v/>
      </c>
      <c r="AK466" s="26" t="str">
        <f ca="1">IF(NOTA[[#This Row],[ID_H]]="","",INDEX(NOTA[NO.NOTA],MATCH(NOTA[[#This Row],[ID_H]],NOTA[ID_H],0)))</f>
        <v/>
      </c>
      <c r="AL466" s="28" t="str">
        <f ca="1">IF(NOTA[[#This Row],[NAMA BARANG]]="","",INDEX(NOTA[SUPPLIER],MATCH(,INDIRECT(ADDRESS(ROW(NOTA[ID]),COLUMN(NOTA[ID]))&amp;":"&amp;ADDRESS(ROW(),COLUMN(NOTA[ID]))),-1)))</f>
        <v/>
      </c>
      <c r="AM466" s="28" t="str">
        <f ca="1">IF(NOTA[[#This Row],[ID_H]]="","",IF(NOTA[[#This Row],[FAKTUR]]="",INDIRECT(ADDRESS(ROW()-1,COLUMN())),NOTA[[#This Row],[FAKTUR]]))</f>
        <v/>
      </c>
      <c r="AN466" s="25" t="str">
        <f ca="1">IF(NOTA[[#This Row],[ID]]="","",COUNTIF(NOTA[ID_H],NOTA[[#This Row],[ID_H]]))</f>
        <v/>
      </c>
      <c r="AO466" s="25" t="str">
        <f ca="1">IF(NOTA[[#This Row],[TGL.NOTA]]="",IF(NOTA[[#This Row],[SUPPLIER_H]]="","",AO465),MONTH(NOTA[[#This Row],[TGL.NOTA]]))</f>
        <v/>
      </c>
      <c r="AP4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6" s="25"/>
      <c r="AU466" s="25" t="str">
        <f>IF(NOTA[[#This Row],[CONCAT1]]="","",MATCH(NOTA[[#This Row],[CONCAT1]],[3]!db[NB NOTA_C],0))</f>
        <v/>
      </c>
      <c r="AV466" s="25" t="str">
        <f>IF(NOTA[[#This Row],[QTY/ CTN]]="","",TRUE)</f>
        <v/>
      </c>
      <c r="AW466" s="25" t="str">
        <f ca="1">IF(NOTA[[#This Row],[ID_H]]="","",IF(NOTA[[#This Row],[Column3]]=TRUE,NOTA[[#This Row],[QTY/ CTN]],INDEX([3]!db[QTY/ CTN],NOTA[[#This Row],[//DB]])))</f>
        <v/>
      </c>
      <c r="AX4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6" s="25" t="str">
        <f ca="1">IF(NOTA[[#This Row],[ID_H]]="","",MATCH(NOTA[[#This Row],[NB NOTA_C_QTY]],[3]!db[NB NOTA_C_QTY+F],0))</f>
        <v/>
      </c>
      <c r="AZ466" s="38" t="str">
        <f ca="1">IF(NOTA[[#This Row],[NB NOTA_C_QTY]]="","",ROW()-2)</f>
        <v/>
      </c>
    </row>
    <row r="467" spans="1:52" ht="20.100000000000001" customHeight="1">
      <c r="A4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7" s="25" t="str">
        <f ca="1">IF(NOTA[[#This Row],[NAMA BARANG]]="","",INDEX(NOTA[ID],MATCH(,INDIRECT(ADDRESS(ROW(NOTA[ID]),COLUMN(NOTA[ID]))&amp;":"&amp;ADDRESS(ROW(),COLUMN(NOTA[ID]))),-1)))</f>
        <v/>
      </c>
      <c r="E467" s="33"/>
      <c r="H467" s="34"/>
      <c r="Q467" s="29"/>
      <c r="R467" s="35"/>
      <c r="S467" s="36"/>
      <c r="V467" s="37"/>
      <c r="W467" s="32"/>
      <c r="X467" s="37" t="str">
        <f>IF(NOTA[[#This Row],[HARGA/ CTN]]="",NOTA[[#This Row],[JUMLAH_H]],NOTA[[#This Row],[HARGA/ CTN]]*IF(NOTA[[#This Row],[C]]="",0,NOTA[[#This Row],[C]]))</f>
        <v/>
      </c>
      <c r="Y467" s="37" t="str">
        <f>IF(NOTA[[#This Row],[JUMLAH]]="","",NOTA[[#This Row],[JUMLAH]]*NOTA[[#This Row],[DISC 1]])</f>
        <v/>
      </c>
      <c r="Z467" s="37" t="str">
        <f>IF(NOTA[[#This Row],[JUMLAH]]="","",(NOTA[[#This Row],[JUMLAH]]-NOTA[[#This Row],[DISC 1-]])*NOTA[[#This Row],[DISC 2]])</f>
        <v/>
      </c>
      <c r="AA467" s="37" t="str">
        <f>IF(NOTA[[#This Row],[JUMLAH]]="","",(NOTA[[#This Row],[JUMLAH]]-NOTA[[#This Row],[DISC 1-]]-NOTA[[#This Row],[DISC 2-]])*NOTA[[#This Row],[DISC 3]])</f>
        <v/>
      </c>
      <c r="AB467" s="37" t="str">
        <f>IF(NOTA[[#This Row],[JUMLAH]]="","",NOTA[[#This Row],[DISC 1-]]+NOTA[[#This Row],[DISC 2-]]+NOTA[[#This Row],[DISC 3-]])</f>
        <v/>
      </c>
      <c r="AC467" s="37" t="str">
        <f>IF(NOTA[[#This Row],[JUMLAH]]="","",NOTA[[#This Row],[JUMLAH]]-NOTA[[#This Row],[DISC]])</f>
        <v/>
      </c>
      <c r="AD467" s="37"/>
      <c r="AE4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7" s="37" t="str">
        <f>IF(OR(NOTA[[#This Row],[QTY]]="",NOTA[[#This Row],[HARGA SATUAN]]="",),"",NOTA[[#This Row],[QTY]]*NOTA[[#This Row],[HARGA SATUAN]])</f>
        <v/>
      </c>
      <c r="AI467" s="26" t="str">
        <f ca="1">IF(NOTA[[#This Row],[ID_H]]="","",INDEX(NOTA[TANGGAL],MATCH(,INDIRECT(ADDRESS(ROW(NOTA[TANGGAL]),COLUMN(NOTA[TANGGAL]))&amp;":"&amp;ADDRESS(ROW(),COLUMN(NOTA[TANGGAL]))),-1)))</f>
        <v/>
      </c>
      <c r="AJ467" s="26" t="str">
        <f ca="1">IF(NOTA[[#This Row],[ID_H]]="","",INDEX(NOTA[TGL.NOTA],MATCH(,INDIRECT(ADDRESS(ROW(NOTA[TGL.NOTA]),COLUMN(NOTA[TGL.NOTA]))&amp;":"&amp;ADDRESS(ROW(),COLUMN(NOTA[TGL.NOTA]))),-1)))</f>
        <v/>
      </c>
      <c r="AK467" s="26" t="str">
        <f ca="1">IF(NOTA[[#This Row],[ID_H]]="","",INDEX(NOTA[NO.NOTA],MATCH(NOTA[[#This Row],[ID_H]],NOTA[ID_H],0)))</f>
        <v/>
      </c>
      <c r="AL467" s="28" t="str">
        <f ca="1">IF(NOTA[[#This Row],[NAMA BARANG]]="","",INDEX(NOTA[SUPPLIER],MATCH(,INDIRECT(ADDRESS(ROW(NOTA[ID]),COLUMN(NOTA[ID]))&amp;":"&amp;ADDRESS(ROW(),COLUMN(NOTA[ID]))),-1)))</f>
        <v/>
      </c>
      <c r="AM467" s="28" t="str">
        <f ca="1">IF(NOTA[[#This Row],[ID_H]]="","",IF(NOTA[[#This Row],[FAKTUR]]="",INDIRECT(ADDRESS(ROW()-1,COLUMN())),NOTA[[#This Row],[FAKTUR]]))</f>
        <v/>
      </c>
      <c r="AN467" s="25" t="str">
        <f ca="1">IF(NOTA[[#This Row],[ID]]="","",COUNTIF(NOTA[ID_H],NOTA[[#This Row],[ID_H]]))</f>
        <v/>
      </c>
      <c r="AO467" s="25" t="str">
        <f ca="1">IF(NOTA[[#This Row],[TGL.NOTA]]="",IF(NOTA[[#This Row],[SUPPLIER_H]]="","",AO466),MONTH(NOTA[[#This Row],[TGL.NOTA]]))</f>
        <v/>
      </c>
      <c r="AP4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7" s="25"/>
      <c r="AU467" s="25" t="str">
        <f>IF(NOTA[[#This Row],[CONCAT1]]="","",MATCH(NOTA[[#This Row],[CONCAT1]],[3]!db[NB NOTA_C],0))</f>
        <v/>
      </c>
      <c r="AV467" s="25" t="str">
        <f>IF(NOTA[[#This Row],[QTY/ CTN]]="","",TRUE)</f>
        <v/>
      </c>
      <c r="AW467" s="25" t="str">
        <f ca="1">IF(NOTA[[#This Row],[ID_H]]="","",IF(NOTA[[#This Row],[Column3]]=TRUE,NOTA[[#This Row],[QTY/ CTN]],INDEX([3]!db[QTY/ CTN],NOTA[[#This Row],[//DB]])))</f>
        <v/>
      </c>
      <c r="AX4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7" s="25" t="str">
        <f ca="1">IF(NOTA[[#This Row],[ID_H]]="","",MATCH(NOTA[[#This Row],[NB NOTA_C_QTY]],[3]!db[NB NOTA_C_QTY+F],0))</f>
        <v/>
      </c>
      <c r="AZ467" s="38" t="str">
        <f ca="1">IF(NOTA[[#This Row],[NB NOTA_C_QTY]]="","",ROW()-2)</f>
        <v/>
      </c>
    </row>
    <row r="468" spans="1:52" ht="20.100000000000001" customHeight="1">
      <c r="A4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8" s="25" t="str">
        <f ca="1">IF(NOTA[[#This Row],[NAMA BARANG]]="","",INDEX(NOTA[ID],MATCH(,INDIRECT(ADDRESS(ROW(NOTA[ID]),COLUMN(NOTA[ID]))&amp;":"&amp;ADDRESS(ROW(),COLUMN(NOTA[ID]))),-1)))</f>
        <v/>
      </c>
      <c r="E468" s="33"/>
      <c r="H468" s="34"/>
      <c r="Q468" s="29"/>
      <c r="R468" s="35"/>
      <c r="S468" s="36"/>
      <c r="V468" s="37"/>
      <c r="W468" s="32"/>
      <c r="X468" s="37" t="str">
        <f>IF(NOTA[[#This Row],[HARGA/ CTN]]="",NOTA[[#This Row],[JUMLAH_H]],NOTA[[#This Row],[HARGA/ CTN]]*IF(NOTA[[#This Row],[C]]="",0,NOTA[[#This Row],[C]]))</f>
        <v/>
      </c>
      <c r="Y468" s="37" t="str">
        <f>IF(NOTA[[#This Row],[JUMLAH]]="","",NOTA[[#This Row],[JUMLAH]]*NOTA[[#This Row],[DISC 1]])</f>
        <v/>
      </c>
      <c r="Z468" s="37" t="str">
        <f>IF(NOTA[[#This Row],[JUMLAH]]="","",(NOTA[[#This Row],[JUMLAH]]-NOTA[[#This Row],[DISC 1-]])*NOTA[[#This Row],[DISC 2]])</f>
        <v/>
      </c>
      <c r="AA468" s="37" t="str">
        <f>IF(NOTA[[#This Row],[JUMLAH]]="","",(NOTA[[#This Row],[JUMLAH]]-NOTA[[#This Row],[DISC 1-]]-NOTA[[#This Row],[DISC 2-]])*NOTA[[#This Row],[DISC 3]])</f>
        <v/>
      </c>
      <c r="AB468" s="37" t="str">
        <f>IF(NOTA[[#This Row],[JUMLAH]]="","",NOTA[[#This Row],[DISC 1-]]+NOTA[[#This Row],[DISC 2-]]+NOTA[[#This Row],[DISC 3-]])</f>
        <v/>
      </c>
      <c r="AC468" s="37" t="str">
        <f>IF(NOTA[[#This Row],[JUMLAH]]="","",NOTA[[#This Row],[JUMLAH]]-NOTA[[#This Row],[DISC]])</f>
        <v/>
      </c>
      <c r="AD468" s="37"/>
      <c r="AE4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8" s="37" t="str">
        <f>IF(OR(NOTA[[#This Row],[QTY]]="",NOTA[[#This Row],[HARGA SATUAN]]="",),"",NOTA[[#This Row],[QTY]]*NOTA[[#This Row],[HARGA SATUAN]])</f>
        <v/>
      </c>
      <c r="AI468" s="26" t="str">
        <f ca="1">IF(NOTA[[#This Row],[ID_H]]="","",INDEX(NOTA[TANGGAL],MATCH(,INDIRECT(ADDRESS(ROW(NOTA[TANGGAL]),COLUMN(NOTA[TANGGAL]))&amp;":"&amp;ADDRESS(ROW(),COLUMN(NOTA[TANGGAL]))),-1)))</f>
        <v/>
      </c>
      <c r="AJ468" s="26" t="str">
        <f ca="1">IF(NOTA[[#This Row],[ID_H]]="","",INDEX(NOTA[TGL.NOTA],MATCH(,INDIRECT(ADDRESS(ROW(NOTA[TGL.NOTA]),COLUMN(NOTA[TGL.NOTA]))&amp;":"&amp;ADDRESS(ROW(),COLUMN(NOTA[TGL.NOTA]))),-1)))</f>
        <v/>
      </c>
      <c r="AK468" s="26" t="str">
        <f ca="1">IF(NOTA[[#This Row],[ID_H]]="","",INDEX(NOTA[NO.NOTA],MATCH(NOTA[[#This Row],[ID_H]],NOTA[ID_H],0)))</f>
        <v/>
      </c>
      <c r="AL468" s="28" t="str">
        <f ca="1">IF(NOTA[[#This Row],[NAMA BARANG]]="","",INDEX(NOTA[SUPPLIER],MATCH(,INDIRECT(ADDRESS(ROW(NOTA[ID]),COLUMN(NOTA[ID]))&amp;":"&amp;ADDRESS(ROW(),COLUMN(NOTA[ID]))),-1)))</f>
        <v/>
      </c>
      <c r="AM468" s="28" t="str">
        <f ca="1">IF(NOTA[[#This Row],[ID_H]]="","",IF(NOTA[[#This Row],[FAKTUR]]="",INDIRECT(ADDRESS(ROW()-1,COLUMN())),NOTA[[#This Row],[FAKTUR]]))</f>
        <v/>
      </c>
      <c r="AN468" s="25" t="str">
        <f ca="1">IF(NOTA[[#This Row],[ID]]="","",COUNTIF(NOTA[ID_H],NOTA[[#This Row],[ID_H]]))</f>
        <v/>
      </c>
      <c r="AO468" s="25" t="str">
        <f ca="1">IF(NOTA[[#This Row],[TGL.NOTA]]="",IF(NOTA[[#This Row],[SUPPLIER_H]]="","",AO467),MONTH(NOTA[[#This Row],[TGL.NOTA]]))</f>
        <v/>
      </c>
      <c r="AP4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8" s="25"/>
      <c r="AU468" s="25" t="str">
        <f>IF(NOTA[[#This Row],[CONCAT1]]="","",MATCH(NOTA[[#This Row],[CONCAT1]],[3]!db[NB NOTA_C],0))</f>
        <v/>
      </c>
      <c r="AV468" s="25" t="str">
        <f>IF(NOTA[[#This Row],[QTY/ CTN]]="","",TRUE)</f>
        <v/>
      </c>
      <c r="AW468" s="25" t="str">
        <f ca="1">IF(NOTA[[#This Row],[ID_H]]="","",IF(NOTA[[#This Row],[Column3]]=TRUE,NOTA[[#This Row],[QTY/ CTN]],INDEX([3]!db[QTY/ CTN],NOTA[[#This Row],[//DB]])))</f>
        <v/>
      </c>
      <c r="AX4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8" s="25" t="str">
        <f ca="1">IF(NOTA[[#This Row],[ID_H]]="","",MATCH(NOTA[[#This Row],[NB NOTA_C_QTY]],[3]!db[NB NOTA_C_QTY+F],0))</f>
        <v/>
      </c>
      <c r="AZ468" s="38" t="str">
        <f ca="1">IF(NOTA[[#This Row],[NB NOTA_C_QTY]]="","",ROW()-2)</f>
        <v/>
      </c>
    </row>
    <row r="469" spans="1:52" ht="20.100000000000001" customHeight="1">
      <c r="A4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9" s="25" t="str">
        <f ca="1">IF(NOTA[[#This Row],[NAMA BARANG]]="","",INDEX(NOTA[ID],MATCH(,INDIRECT(ADDRESS(ROW(NOTA[ID]),COLUMN(NOTA[ID]))&amp;":"&amp;ADDRESS(ROW(),COLUMN(NOTA[ID]))),-1)))</f>
        <v/>
      </c>
      <c r="E469" s="33"/>
      <c r="H469" s="34"/>
      <c r="Q469" s="29"/>
      <c r="R469" s="35"/>
      <c r="S469" s="36"/>
      <c r="V469" s="37"/>
      <c r="W469" s="32"/>
      <c r="X469" s="37" t="str">
        <f>IF(NOTA[[#This Row],[HARGA/ CTN]]="",NOTA[[#This Row],[JUMLAH_H]],NOTA[[#This Row],[HARGA/ CTN]]*IF(NOTA[[#This Row],[C]]="",0,NOTA[[#This Row],[C]]))</f>
        <v/>
      </c>
      <c r="Y469" s="37" t="str">
        <f>IF(NOTA[[#This Row],[JUMLAH]]="","",NOTA[[#This Row],[JUMLAH]]*NOTA[[#This Row],[DISC 1]])</f>
        <v/>
      </c>
      <c r="Z469" s="37" t="str">
        <f>IF(NOTA[[#This Row],[JUMLAH]]="","",(NOTA[[#This Row],[JUMLAH]]-NOTA[[#This Row],[DISC 1-]])*NOTA[[#This Row],[DISC 2]])</f>
        <v/>
      </c>
      <c r="AA469" s="37" t="str">
        <f>IF(NOTA[[#This Row],[JUMLAH]]="","",(NOTA[[#This Row],[JUMLAH]]-NOTA[[#This Row],[DISC 1-]]-NOTA[[#This Row],[DISC 2-]])*NOTA[[#This Row],[DISC 3]])</f>
        <v/>
      </c>
      <c r="AB469" s="37" t="str">
        <f>IF(NOTA[[#This Row],[JUMLAH]]="","",NOTA[[#This Row],[DISC 1-]]+NOTA[[#This Row],[DISC 2-]]+NOTA[[#This Row],[DISC 3-]])</f>
        <v/>
      </c>
      <c r="AC469" s="37" t="str">
        <f>IF(NOTA[[#This Row],[JUMLAH]]="","",NOTA[[#This Row],[JUMLAH]]-NOTA[[#This Row],[DISC]])</f>
        <v/>
      </c>
      <c r="AD469" s="37"/>
      <c r="AE4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9" s="37" t="str">
        <f>IF(OR(NOTA[[#This Row],[QTY]]="",NOTA[[#This Row],[HARGA SATUAN]]="",),"",NOTA[[#This Row],[QTY]]*NOTA[[#This Row],[HARGA SATUAN]])</f>
        <v/>
      </c>
      <c r="AI469" s="26" t="str">
        <f ca="1">IF(NOTA[[#This Row],[ID_H]]="","",INDEX(NOTA[TANGGAL],MATCH(,INDIRECT(ADDRESS(ROW(NOTA[TANGGAL]),COLUMN(NOTA[TANGGAL]))&amp;":"&amp;ADDRESS(ROW(),COLUMN(NOTA[TANGGAL]))),-1)))</f>
        <v/>
      </c>
      <c r="AJ469" s="26" t="str">
        <f ca="1">IF(NOTA[[#This Row],[ID_H]]="","",INDEX(NOTA[TGL.NOTA],MATCH(,INDIRECT(ADDRESS(ROW(NOTA[TGL.NOTA]),COLUMN(NOTA[TGL.NOTA]))&amp;":"&amp;ADDRESS(ROW(),COLUMN(NOTA[TGL.NOTA]))),-1)))</f>
        <v/>
      </c>
      <c r="AK469" s="26" t="str">
        <f ca="1">IF(NOTA[[#This Row],[ID_H]]="","",INDEX(NOTA[NO.NOTA],MATCH(NOTA[[#This Row],[ID_H]],NOTA[ID_H],0)))</f>
        <v/>
      </c>
      <c r="AL469" s="28" t="str">
        <f ca="1">IF(NOTA[[#This Row],[NAMA BARANG]]="","",INDEX(NOTA[SUPPLIER],MATCH(,INDIRECT(ADDRESS(ROW(NOTA[ID]),COLUMN(NOTA[ID]))&amp;":"&amp;ADDRESS(ROW(),COLUMN(NOTA[ID]))),-1)))</f>
        <v/>
      </c>
      <c r="AM469" s="28" t="str">
        <f ca="1">IF(NOTA[[#This Row],[ID_H]]="","",IF(NOTA[[#This Row],[FAKTUR]]="",INDIRECT(ADDRESS(ROW()-1,COLUMN())),NOTA[[#This Row],[FAKTUR]]))</f>
        <v/>
      </c>
      <c r="AN469" s="25" t="str">
        <f ca="1">IF(NOTA[[#This Row],[ID]]="","",COUNTIF(NOTA[ID_H],NOTA[[#This Row],[ID_H]]))</f>
        <v/>
      </c>
      <c r="AO469" s="25" t="str">
        <f ca="1">IF(NOTA[[#This Row],[TGL.NOTA]]="",IF(NOTA[[#This Row],[SUPPLIER_H]]="","",AO468),MONTH(NOTA[[#This Row],[TGL.NOTA]]))</f>
        <v/>
      </c>
      <c r="AP4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9" s="25"/>
      <c r="AU469" s="25" t="str">
        <f>IF(NOTA[[#This Row],[CONCAT1]]="","",MATCH(NOTA[[#This Row],[CONCAT1]],[3]!db[NB NOTA_C],0))</f>
        <v/>
      </c>
      <c r="AV469" s="25" t="str">
        <f>IF(NOTA[[#This Row],[QTY/ CTN]]="","",TRUE)</f>
        <v/>
      </c>
      <c r="AW469" s="25" t="str">
        <f ca="1">IF(NOTA[[#This Row],[ID_H]]="","",IF(NOTA[[#This Row],[Column3]]=TRUE,NOTA[[#This Row],[QTY/ CTN]],INDEX([3]!db[QTY/ CTN],NOTA[[#This Row],[//DB]])))</f>
        <v/>
      </c>
      <c r="AX4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9" s="25" t="str">
        <f ca="1">IF(NOTA[[#This Row],[ID_H]]="","",MATCH(NOTA[[#This Row],[NB NOTA_C_QTY]],[3]!db[NB NOTA_C_QTY+F],0))</f>
        <v/>
      </c>
      <c r="AZ469" s="38" t="str">
        <f ca="1">IF(NOTA[[#This Row],[NB NOTA_C_QTY]]="","",ROW()-2)</f>
        <v/>
      </c>
    </row>
    <row r="470" spans="1:52" ht="20.100000000000001" customHeight="1">
      <c r="A4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0" s="25" t="str">
        <f ca="1">IF(NOTA[[#This Row],[NAMA BARANG]]="","",INDEX(NOTA[ID],MATCH(,INDIRECT(ADDRESS(ROW(NOTA[ID]),COLUMN(NOTA[ID]))&amp;":"&amp;ADDRESS(ROW(),COLUMN(NOTA[ID]))),-1)))</f>
        <v/>
      </c>
      <c r="E470" s="33"/>
      <c r="H470" s="34"/>
      <c r="Q470" s="29"/>
      <c r="R470" s="35"/>
      <c r="S470" s="36"/>
      <c r="V470" s="37"/>
      <c r="W470" s="32"/>
      <c r="X470" s="37" t="str">
        <f>IF(NOTA[[#This Row],[HARGA/ CTN]]="",NOTA[[#This Row],[JUMLAH_H]],NOTA[[#This Row],[HARGA/ CTN]]*IF(NOTA[[#This Row],[C]]="",0,NOTA[[#This Row],[C]]))</f>
        <v/>
      </c>
      <c r="Y470" s="37" t="str">
        <f>IF(NOTA[[#This Row],[JUMLAH]]="","",NOTA[[#This Row],[JUMLAH]]*NOTA[[#This Row],[DISC 1]])</f>
        <v/>
      </c>
      <c r="Z470" s="37" t="str">
        <f>IF(NOTA[[#This Row],[JUMLAH]]="","",(NOTA[[#This Row],[JUMLAH]]-NOTA[[#This Row],[DISC 1-]])*NOTA[[#This Row],[DISC 2]])</f>
        <v/>
      </c>
      <c r="AA470" s="37" t="str">
        <f>IF(NOTA[[#This Row],[JUMLAH]]="","",(NOTA[[#This Row],[JUMLAH]]-NOTA[[#This Row],[DISC 1-]]-NOTA[[#This Row],[DISC 2-]])*NOTA[[#This Row],[DISC 3]])</f>
        <v/>
      </c>
      <c r="AB470" s="37" t="str">
        <f>IF(NOTA[[#This Row],[JUMLAH]]="","",NOTA[[#This Row],[DISC 1-]]+NOTA[[#This Row],[DISC 2-]]+NOTA[[#This Row],[DISC 3-]])</f>
        <v/>
      </c>
      <c r="AC470" s="37" t="str">
        <f>IF(NOTA[[#This Row],[JUMLAH]]="","",NOTA[[#This Row],[JUMLAH]]-NOTA[[#This Row],[DISC]])</f>
        <v/>
      </c>
      <c r="AD470" s="37"/>
      <c r="AE4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0" s="37" t="str">
        <f>IF(OR(NOTA[[#This Row],[QTY]]="",NOTA[[#This Row],[HARGA SATUAN]]="",),"",NOTA[[#This Row],[QTY]]*NOTA[[#This Row],[HARGA SATUAN]])</f>
        <v/>
      </c>
      <c r="AI470" s="26" t="str">
        <f ca="1">IF(NOTA[[#This Row],[ID_H]]="","",INDEX(NOTA[TANGGAL],MATCH(,INDIRECT(ADDRESS(ROW(NOTA[TANGGAL]),COLUMN(NOTA[TANGGAL]))&amp;":"&amp;ADDRESS(ROW(),COLUMN(NOTA[TANGGAL]))),-1)))</f>
        <v/>
      </c>
      <c r="AJ470" s="26" t="str">
        <f ca="1">IF(NOTA[[#This Row],[ID_H]]="","",INDEX(NOTA[TGL.NOTA],MATCH(,INDIRECT(ADDRESS(ROW(NOTA[TGL.NOTA]),COLUMN(NOTA[TGL.NOTA]))&amp;":"&amp;ADDRESS(ROW(),COLUMN(NOTA[TGL.NOTA]))),-1)))</f>
        <v/>
      </c>
      <c r="AK470" s="26" t="str">
        <f ca="1">IF(NOTA[[#This Row],[ID_H]]="","",INDEX(NOTA[NO.NOTA],MATCH(NOTA[[#This Row],[ID_H]],NOTA[ID_H],0)))</f>
        <v/>
      </c>
      <c r="AL470" s="28" t="str">
        <f ca="1">IF(NOTA[[#This Row],[NAMA BARANG]]="","",INDEX(NOTA[SUPPLIER],MATCH(,INDIRECT(ADDRESS(ROW(NOTA[ID]),COLUMN(NOTA[ID]))&amp;":"&amp;ADDRESS(ROW(),COLUMN(NOTA[ID]))),-1)))</f>
        <v/>
      </c>
      <c r="AM470" s="28" t="str">
        <f ca="1">IF(NOTA[[#This Row],[ID_H]]="","",IF(NOTA[[#This Row],[FAKTUR]]="",INDIRECT(ADDRESS(ROW()-1,COLUMN())),NOTA[[#This Row],[FAKTUR]]))</f>
        <v/>
      </c>
      <c r="AN470" s="25" t="str">
        <f ca="1">IF(NOTA[[#This Row],[ID]]="","",COUNTIF(NOTA[ID_H],NOTA[[#This Row],[ID_H]]))</f>
        <v/>
      </c>
      <c r="AO470" s="25" t="str">
        <f ca="1">IF(NOTA[[#This Row],[TGL.NOTA]]="",IF(NOTA[[#This Row],[SUPPLIER_H]]="","",AO469),MONTH(NOTA[[#This Row],[TGL.NOTA]]))</f>
        <v/>
      </c>
      <c r="AP4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0" s="25"/>
      <c r="AU470" s="25" t="str">
        <f>IF(NOTA[[#This Row],[CONCAT1]]="","",MATCH(NOTA[[#This Row],[CONCAT1]],[3]!db[NB NOTA_C],0))</f>
        <v/>
      </c>
      <c r="AV470" s="25" t="str">
        <f>IF(NOTA[[#This Row],[QTY/ CTN]]="","",TRUE)</f>
        <v/>
      </c>
      <c r="AW470" s="25" t="str">
        <f ca="1">IF(NOTA[[#This Row],[ID_H]]="","",IF(NOTA[[#This Row],[Column3]]=TRUE,NOTA[[#This Row],[QTY/ CTN]],INDEX([3]!db[QTY/ CTN],NOTA[[#This Row],[//DB]])))</f>
        <v/>
      </c>
      <c r="AX4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0" s="25" t="str">
        <f ca="1">IF(NOTA[[#This Row],[ID_H]]="","",MATCH(NOTA[[#This Row],[NB NOTA_C_QTY]],[3]!db[NB NOTA_C_QTY+F],0))</f>
        <v/>
      </c>
      <c r="AZ470" s="38" t="str">
        <f ca="1">IF(NOTA[[#This Row],[NB NOTA_C_QTY]]="","",ROW()-2)</f>
        <v/>
      </c>
    </row>
    <row r="471" spans="1:52" ht="20.100000000000001" customHeight="1">
      <c r="A4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1" s="25" t="str">
        <f ca="1">IF(NOTA[[#This Row],[NAMA BARANG]]="","",INDEX(NOTA[ID],MATCH(,INDIRECT(ADDRESS(ROW(NOTA[ID]),COLUMN(NOTA[ID]))&amp;":"&amp;ADDRESS(ROW(),COLUMN(NOTA[ID]))),-1)))</f>
        <v/>
      </c>
      <c r="E471" s="33"/>
      <c r="H471" s="34"/>
      <c r="Q471" s="29"/>
      <c r="R471" s="35"/>
      <c r="S471" s="36"/>
      <c r="V471" s="37"/>
      <c r="W471" s="32"/>
      <c r="X471" s="37" t="str">
        <f>IF(NOTA[[#This Row],[HARGA/ CTN]]="",NOTA[[#This Row],[JUMLAH_H]],NOTA[[#This Row],[HARGA/ CTN]]*IF(NOTA[[#This Row],[C]]="",0,NOTA[[#This Row],[C]]))</f>
        <v/>
      </c>
      <c r="Y471" s="37" t="str">
        <f>IF(NOTA[[#This Row],[JUMLAH]]="","",NOTA[[#This Row],[JUMLAH]]*NOTA[[#This Row],[DISC 1]])</f>
        <v/>
      </c>
      <c r="Z471" s="37" t="str">
        <f>IF(NOTA[[#This Row],[JUMLAH]]="","",(NOTA[[#This Row],[JUMLAH]]-NOTA[[#This Row],[DISC 1-]])*NOTA[[#This Row],[DISC 2]])</f>
        <v/>
      </c>
      <c r="AA471" s="37" t="str">
        <f>IF(NOTA[[#This Row],[JUMLAH]]="","",(NOTA[[#This Row],[JUMLAH]]-NOTA[[#This Row],[DISC 1-]]-NOTA[[#This Row],[DISC 2-]])*NOTA[[#This Row],[DISC 3]])</f>
        <v/>
      </c>
      <c r="AB471" s="37" t="str">
        <f>IF(NOTA[[#This Row],[JUMLAH]]="","",NOTA[[#This Row],[DISC 1-]]+NOTA[[#This Row],[DISC 2-]]+NOTA[[#This Row],[DISC 3-]])</f>
        <v/>
      </c>
      <c r="AC471" s="37" t="str">
        <f>IF(NOTA[[#This Row],[JUMLAH]]="","",NOTA[[#This Row],[JUMLAH]]-NOTA[[#This Row],[DISC]])</f>
        <v/>
      </c>
      <c r="AD471" s="37"/>
      <c r="AE4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1" s="37" t="str">
        <f>IF(OR(NOTA[[#This Row],[QTY]]="",NOTA[[#This Row],[HARGA SATUAN]]="",),"",NOTA[[#This Row],[QTY]]*NOTA[[#This Row],[HARGA SATUAN]])</f>
        <v/>
      </c>
      <c r="AI471" s="26" t="str">
        <f ca="1">IF(NOTA[[#This Row],[ID_H]]="","",INDEX(NOTA[TANGGAL],MATCH(,INDIRECT(ADDRESS(ROW(NOTA[TANGGAL]),COLUMN(NOTA[TANGGAL]))&amp;":"&amp;ADDRESS(ROW(),COLUMN(NOTA[TANGGAL]))),-1)))</f>
        <v/>
      </c>
      <c r="AJ471" s="26" t="str">
        <f ca="1">IF(NOTA[[#This Row],[ID_H]]="","",INDEX(NOTA[TGL.NOTA],MATCH(,INDIRECT(ADDRESS(ROW(NOTA[TGL.NOTA]),COLUMN(NOTA[TGL.NOTA]))&amp;":"&amp;ADDRESS(ROW(),COLUMN(NOTA[TGL.NOTA]))),-1)))</f>
        <v/>
      </c>
      <c r="AK471" s="26" t="str">
        <f ca="1">IF(NOTA[[#This Row],[ID_H]]="","",INDEX(NOTA[NO.NOTA],MATCH(NOTA[[#This Row],[ID_H]],NOTA[ID_H],0)))</f>
        <v/>
      </c>
      <c r="AL471" s="28" t="str">
        <f ca="1">IF(NOTA[[#This Row],[NAMA BARANG]]="","",INDEX(NOTA[SUPPLIER],MATCH(,INDIRECT(ADDRESS(ROW(NOTA[ID]),COLUMN(NOTA[ID]))&amp;":"&amp;ADDRESS(ROW(),COLUMN(NOTA[ID]))),-1)))</f>
        <v/>
      </c>
      <c r="AM471" s="28" t="str">
        <f ca="1">IF(NOTA[[#This Row],[ID_H]]="","",IF(NOTA[[#This Row],[FAKTUR]]="",INDIRECT(ADDRESS(ROW()-1,COLUMN())),NOTA[[#This Row],[FAKTUR]]))</f>
        <v/>
      </c>
      <c r="AN471" s="25" t="str">
        <f ca="1">IF(NOTA[[#This Row],[ID]]="","",COUNTIF(NOTA[ID_H],NOTA[[#This Row],[ID_H]]))</f>
        <v/>
      </c>
      <c r="AO471" s="25" t="str">
        <f ca="1">IF(NOTA[[#This Row],[TGL.NOTA]]="",IF(NOTA[[#This Row],[SUPPLIER_H]]="","",AO470),MONTH(NOTA[[#This Row],[TGL.NOTA]]))</f>
        <v/>
      </c>
      <c r="AP4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1" s="25"/>
      <c r="AU471" s="25" t="str">
        <f>IF(NOTA[[#This Row],[CONCAT1]]="","",MATCH(NOTA[[#This Row],[CONCAT1]],[3]!db[NB NOTA_C],0))</f>
        <v/>
      </c>
      <c r="AV471" s="25" t="str">
        <f>IF(NOTA[[#This Row],[QTY/ CTN]]="","",TRUE)</f>
        <v/>
      </c>
      <c r="AW471" s="25" t="str">
        <f ca="1">IF(NOTA[[#This Row],[ID_H]]="","",IF(NOTA[[#This Row],[Column3]]=TRUE,NOTA[[#This Row],[QTY/ CTN]],INDEX([3]!db[QTY/ CTN],NOTA[[#This Row],[//DB]])))</f>
        <v/>
      </c>
      <c r="AX4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1" s="25" t="str">
        <f ca="1">IF(NOTA[[#This Row],[ID_H]]="","",MATCH(NOTA[[#This Row],[NB NOTA_C_QTY]],[3]!db[NB NOTA_C_QTY+F],0))</f>
        <v/>
      </c>
      <c r="AZ471" s="38" t="str">
        <f ca="1">IF(NOTA[[#This Row],[NB NOTA_C_QTY]]="","",ROW()-2)</f>
        <v/>
      </c>
    </row>
    <row r="472" spans="1:52" ht="20.100000000000001" customHeight="1">
      <c r="A4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2" s="25" t="str">
        <f ca="1">IF(NOTA[[#This Row],[NAMA BARANG]]="","",INDEX(NOTA[ID],MATCH(,INDIRECT(ADDRESS(ROW(NOTA[ID]),COLUMN(NOTA[ID]))&amp;":"&amp;ADDRESS(ROW(),COLUMN(NOTA[ID]))),-1)))</f>
        <v/>
      </c>
      <c r="E472" s="33"/>
      <c r="H472" s="34"/>
      <c r="Q472" s="29"/>
      <c r="R472" s="35"/>
      <c r="S472" s="36"/>
      <c r="V472" s="37"/>
      <c r="W472" s="32"/>
      <c r="X472" s="37" t="str">
        <f>IF(NOTA[[#This Row],[HARGA/ CTN]]="",NOTA[[#This Row],[JUMLAH_H]],NOTA[[#This Row],[HARGA/ CTN]]*IF(NOTA[[#This Row],[C]]="",0,NOTA[[#This Row],[C]]))</f>
        <v/>
      </c>
      <c r="Y472" s="37" t="str">
        <f>IF(NOTA[[#This Row],[JUMLAH]]="","",NOTA[[#This Row],[JUMLAH]]*NOTA[[#This Row],[DISC 1]])</f>
        <v/>
      </c>
      <c r="Z472" s="37" t="str">
        <f>IF(NOTA[[#This Row],[JUMLAH]]="","",(NOTA[[#This Row],[JUMLAH]]-NOTA[[#This Row],[DISC 1-]])*NOTA[[#This Row],[DISC 2]])</f>
        <v/>
      </c>
      <c r="AA472" s="37" t="str">
        <f>IF(NOTA[[#This Row],[JUMLAH]]="","",(NOTA[[#This Row],[JUMLAH]]-NOTA[[#This Row],[DISC 1-]]-NOTA[[#This Row],[DISC 2-]])*NOTA[[#This Row],[DISC 3]])</f>
        <v/>
      </c>
      <c r="AB472" s="37" t="str">
        <f>IF(NOTA[[#This Row],[JUMLAH]]="","",NOTA[[#This Row],[DISC 1-]]+NOTA[[#This Row],[DISC 2-]]+NOTA[[#This Row],[DISC 3-]])</f>
        <v/>
      </c>
      <c r="AC472" s="37" t="str">
        <f>IF(NOTA[[#This Row],[JUMLAH]]="","",NOTA[[#This Row],[JUMLAH]]-NOTA[[#This Row],[DISC]])</f>
        <v/>
      </c>
      <c r="AD472" s="37"/>
      <c r="AE4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2" s="37" t="str">
        <f>IF(OR(NOTA[[#This Row],[QTY]]="",NOTA[[#This Row],[HARGA SATUAN]]="",),"",NOTA[[#This Row],[QTY]]*NOTA[[#This Row],[HARGA SATUAN]])</f>
        <v/>
      </c>
      <c r="AI472" s="26" t="str">
        <f ca="1">IF(NOTA[[#This Row],[ID_H]]="","",INDEX(NOTA[TANGGAL],MATCH(,INDIRECT(ADDRESS(ROW(NOTA[TANGGAL]),COLUMN(NOTA[TANGGAL]))&amp;":"&amp;ADDRESS(ROW(),COLUMN(NOTA[TANGGAL]))),-1)))</f>
        <v/>
      </c>
      <c r="AJ472" s="26" t="str">
        <f ca="1">IF(NOTA[[#This Row],[ID_H]]="","",INDEX(NOTA[TGL.NOTA],MATCH(,INDIRECT(ADDRESS(ROW(NOTA[TGL.NOTA]),COLUMN(NOTA[TGL.NOTA]))&amp;":"&amp;ADDRESS(ROW(),COLUMN(NOTA[TGL.NOTA]))),-1)))</f>
        <v/>
      </c>
      <c r="AK472" s="26" t="str">
        <f ca="1">IF(NOTA[[#This Row],[ID_H]]="","",INDEX(NOTA[NO.NOTA],MATCH(NOTA[[#This Row],[ID_H]],NOTA[ID_H],0)))</f>
        <v/>
      </c>
      <c r="AL472" s="28" t="str">
        <f ca="1">IF(NOTA[[#This Row],[NAMA BARANG]]="","",INDEX(NOTA[SUPPLIER],MATCH(,INDIRECT(ADDRESS(ROW(NOTA[ID]),COLUMN(NOTA[ID]))&amp;":"&amp;ADDRESS(ROW(),COLUMN(NOTA[ID]))),-1)))</f>
        <v/>
      </c>
      <c r="AM472" s="28" t="str">
        <f ca="1">IF(NOTA[[#This Row],[ID_H]]="","",IF(NOTA[[#This Row],[FAKTUR]]="",INDIRECT(ADDRESS(ROW()-1,COLUMN())),NOTA[[#This Row],[FAKTUR]]))</f>
        <v/>
      </c>
      <c r="AN472" s="25" t="str">
        <f ca="1">IF(NOTA[[#This Row],[ID]]="","",COUNTIF(NOTA[ID_H],NOTA[[#This Row],[ID_H]]))</f>
        <v/>
      </c>
      <c r="AO472" s="25" t="str">
        <f ca="1">IF(NOTA[[#This Row],[TGL.NOTA]]="",IF(NOTA[[#This Row],[SUPPLIER_H]]="","",AO471),MONTH(NOTA[[#This Row],[TGL.NOTA]]))</f>
        <v/>
      </c>
      <c r="AP4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2" s="25"/>
      <c r="AU472" s="25" t="str">
        <f>IF(NOTA[[#This Row],[CONCAT1]]="","",MATCH(NOTA[[#This Row],[CONCAT1]],[3]!db[NB NOTA_C],0))</f>
        <v/>
      </c>
      <c r="AV472" s="25" t="str">
        <f>IF(NOTA[[#This Row],[QTY/ CTN]]="","",TRUE)</f>
        <v/>
      </c>
      <c r="AW472" s="25" t="str">
        <f ca="1">IF(NOTA[[#This Row],[ID_H]]="","",IF(NOTA[[#This Row],[Column3]]=TRUE,NOTA[[#This Row],[QTY/ CTN]],INDEX([3]!db[QTY/ CTN],NOTA[[#This Row],[//DB]])))</f>
        <v/>
      </c>
      <c r="AX4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2" s="25" t="str">
        <f ca="1">IF(NOTA[[#This Row],[ID_H]]="","",MATCH(NOTA[[#This Row],[NB NOTA_C_QTY]],[3]!db[NB NOTA_C_QTY+F],0))</f>
        <v/>
      </c>
      <c r="AZ472" s="38" t="str">
        <f ca="1">IF(NOTA[[#This Row],[NB NOTA_C_QTY]]="","",ROW()-2)</f>
        <v/>
      </c>
    </row>
    <row r="473" spans="1:52" ht="20.100000000000001" customHeight="1">
      <c r="A4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3" s="25" t="str">
        <f ca="1">IF(NOTA[[#This Row],[NAMA BARANG]]="","",INDEX(NOTA[ID],MATCH(,INDIRECT(ADDRESS(ROW(NOTA[ID]),COLUMN(NOTA[ID]))&amp;":"&amp;ADDRESS(ROW(),COLUMN(NOTA[ID]))),-1)))</f>
        <v/>
      </c>
      <c r="E473" s="33"/>
      <c r="H473" s="34"/>
      <c r="Q473" s="29"/>
      <c r="R473" s="35"/>
      <c r="S473" s="36"/>
      <c r="V473" s="37"/>
      <c r="W473" s="32"/>
      <c r="X473" s="37" t="str">
        <f>IF(NOTA[[#This Row],[HARGA/ CTN]]="",NOTA[[#This Row],[JUMLAH_H]],NOTA[[#This Row],[HARGA/ CTN]]*IF(NOTA[[#This Row],[C]]="",0,NOTA[[#This Row],[C]]))</f>
        <v/>
      </c>
      <c r="Y473" s="37" t="str">
        <f>IF(NOTA[[#This Row],[JUMLAH]]="","",NOTA[[#This Row],[JUMLAH]]*NOTA[[#This Row],[DISC 1]])</f>
        <v/>
      </c>
      <c r="Z473" s="37" t="str">
        <f>IF(NOTA[[#This Row],[JUMLAH]]="","",(NOTA[[#This Row],[JUMLAH]]-NOTA[[#This Row],[DISC 1-]])*NOTA[[#This Row],[DISC 2]])</f>
        <v/>
      </c>
      <c r="AA473" s="37" t="str">
        <f>IF(NOTA[[#This Row],[JUMLAH]]="","",(NOTA[[#This Row],[JUMLAH]]-NOTA[[#This Row],[DISC 1-]]-NOTA[[#This Row],[DISC 2-]])*NOTA[[#This Row],[DISC 3]])</f>
        <v/>
      </c>
      <c r="AB473" s="37" t="str">
        <f>IF(NOTA[[#This Row],[JUMLAH]]="","",NOTA[[#This Row],[DISC 1-]]+NOTA[[#This Row],[DISC 2-]]+NOTA[[#This Row],[DISC 3-]])</f>
        <v/>
      </c>
      <c r="AC473" s="37" t="str">
        <f>IF(NOTA[[#This Row],[JUMLAH]]="","",NOTA[[#This Row],[JUMLAH]]-NOTA[[#This Row],[DISC]])</f>
        <v/>
      </c>
      <c r="AD473" s="37"/>
      <c r="AE4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3" s="37" t="str">
        <f>IF(OR(NOTA[[#This Row],[QTY]]="",NOTA[[#This Row],[HARGA SATUAN]]="",),"",NOTA[[#This Row],[QTY]]*NOTA[[#This Row],[HARGA SATUAN]])</f>
        <v/>
      </c>
      <c r="AI473" s="26" t="str">
        <f ca="1">IF(NOTA[[#This Row],[ID_H]]="","",INDEX(NOTA[TANGGAL],MATCH(,INDIRECT(ADDRESS(ROW(NOTA[TANGGAL]),COLUMN(NOTA[TANGGAL]))&amp;":"&amp;ADDRESS(ROW(),COLUMN(NOTA[TANGGAL]))),-1)))</f>
        <v/>
      </c>
      <c r="AJ473" s="26" t="str">
        <f ca="1">IF(NOTA[[#This Row],[ID_H]]="","",INDEX(NOTA[TGL.NOTA],MATCH(,INDIRECT(ADDRESS(ROW(NOTA[TGL.NOTA]),COLUMN(NOTA[TGL.NOTA]))&amp;":"&amp;ADDRESS(ROW(),COLUMN(NOTA[TGL.NOTA]))),-1)))</f>
        <v/>
      </c>
      <c r="AK473" s="26" t="str">
        <f ca="1">IF(NOTA[[#This Row],[ID_H]]="","",INDEX(NOTA[NO.NOTA],MATCH(NOTA[[#This Row],[ID_H]],NOTA[ID_H],0)))</f>
        <v/>
      </c>
      <c r="AL473" s="28" t="str">
        <f ca="1">IF(NOTA[[#This Row],[NAMA BARANG]]="","",INDEX(NOTA[SUPPLIER],MATCH(,INDIRECT(ADDRESS(ROW(NOTA[ID]),COLUMN(NOTA[ID]))&amp;":"&amp;ADDRESS(ROW(),COLUMN(NOTA[ID]))),-1)))</f>
        <v/>
      </c>
      <c r="AM473" s="28" t="str">
        <f ca="1">IF(NOTA[[#This Row],[ID_H]]="","",IF(NOTA[[#This Row],[FAKTUR]]="",INDIRECT(ADDRESS(ROW()-1,COLUMN())),NOTA[[#This Row],[FAKTUR]]))</f>
        <v/>
      </c>
      <c r="AN473" s="25" t="str">
        <f ca="1">IF(NOTA[[#This Row],[ID]]="","",COUNTIF(NOTA[ID_H],NOTA[[#This Row],[ID_H]]))</f>
        <v/>
      </c>
      <c r="AO473" s="25" t="str">
        <f ca="1">IF(NOTA[[#This Row],[TGL.NOTA]]="",IF(NOTA[[#This Row],[SUPPLIER_H]]="","",AO472),MONTH(NOTA[[#This Row],[TGL.NOTA]]))</f>
        <v/>
      </c>
      <c r="AP4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3" s="25"/>
      <c r="AU473" s="25" t="str">
        <f>IF(NOTA[[#This Row],[CONCAT1]]="","",MATCH(NOTA[[#This Row],[CONCAT1]],[3]!db[NB NOTA_C],0))</f>
        <v/>
      </c>
      <c r="AV473" s="25" t="str">
        <f>IF(NOTA[[#This Row],[QTY/ CTN]]="","",TRUE)</f>
        <v/>
      </c>
      <c r="AW473" s="25" t="str">
        <f ca="1">IF(NOTA[[#This Row],[ID_H]]="","",IF(NOTA[[#This Row],[Column3]]=TRUE,NOTA[[#This Row],[QTY/ CTN]],INDEX([3]!db[QTY/ CTN],NOTA[[#This Row],[//DB]])))</f>
        <v/>
      </c>
      <c r="AX4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3" s="25" t="str">
        <f ca="1">IF(NOTA[[#This Row],[ID_H]]="","",MATCH(NOTA[[#This Row],[NB NOTA_C_QTY]],[3]!db[NB NOTA_C_QTY+F],0))</f>
        <v/>
      </c>
      <c r="AZ473" s="38" t="str">
        <f ca="1">IF(NOTA[[#This Row],[NB NOTA_C_QTY]]="","",ROW()-2)</f>
        <v/>
      </c>
    </row>
    <row r="474" spans="1:52" ht="20.100000000000001" customHeight="1">
      <c r="A4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4" s="25" t="str">
        <f ca="1">IF(NOTA[[#This Row],[NAMA BARANG]]="","",INDEX(NOTA[ID],MATCH(,INDIRECT(ADDRESS(ROW(NOTA[ID]),COLUMN(NOTA[ID]))&amp;":"&amp;ADDRESS(ROW(),COLUMN(NOTA[ID]))),-1)))</f>
        <v/>
      </c>
      <c r="E474" s="33"/>
      <c r="H474" s="34"/>
      <c r="Q474" s="29"/>
      <c r="R474" s="35"/>
      <c r="S474" s="36"/>
      <c r="V474" s="37"/>
      <c r="W474" s="32"/>
      <c r="X474" s="37" t="str">
        <f>IF(NOTA[[#This Row],[HARGA/ CTN]]="",NOTA[[#This Row],[JUMLAH_H]],NOTA[[#This Row],[HARGA/ CTN]]*IF(NOTA[[#This Row],[C]]="",0,NOTA[[#This Row],[C]]))</f>
        <v/>
      </c>
      <c r="Y474" s="37" t="str">
        <f>IF(NOTA[[#This Row],[JUMLAH]]="","",NOTA[[#This Row],[JUMLAH]]*NOTA[[#This Row],[DISC 1]])</f>
        <v/>
      </c>
      <c r="Z474" s="37" t="str">
        <f>IF(NOTA[[#This Row],[JUMLAH]]="","",(NOTA[[#This Row],[JUMLAH]]-NOTA[[#This Row],[DISC 1-]])*NOTA[[#This Row],[DISC 2]])</f>
        <v/>
      </c>
      <c r="AA474" s="37" t="str">
        <f>IF(NOTA[[#This Row],[JUMLAH]]="","",(NOTA[[#This Row],[JUMLAH]]-NOTA[[#This Row],[DISC 1-]]-NOTA[[#This Row],[DISC 2-]])*NOTA[[#This Row],[DISC 3]])</f>
        <v/>
      </c>
      <c r="AB474" s="37" t="str">
        <f>IF(NOTA[[#This Row],[JUMLAH]]="","",NOTA[[#This Row],[DISC 1-]]+NOTA[[#This Row],[DISC 2-]]+NOTA[[#This Row],[DISC 3-]])</f>
        <v/>
      </c>
      <c r="AC474" s="37" t="str">
        <f>IF(NOTA[[#This Row],[JUMLAH]]="","",NOTA[[#This Row],[JUMLAH]]-NOTA[[#This Row],[DISC]])</f>
        <v/>
      </c>
      <c r="AD474" s="37"/>
      <c r="AE4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4" s="37" t="str">
        <f>IF(OR(NOTA[[#This Row],[QTY]]="",NOTA[[#This Row],[HARGA SATUAN]]="",),"",NOTA[[#This Row],[QTY]]*NOTA[[#This Row],[HARGA SATUAN]])</f>
        <v/>
      </c>
      <c r="AI474" s="26" t="str">
        <f ca="1">IF(NOTA[[#This Row],[ID_H]]="","",INDEX(NOTA[TANGGAL],MATCH(,INDIRECT(ADDRESS(ROW(NOTA[TANGGAL]),COLUMN(NOTA[TANGGAL]))&amp;":"&amp;ADDRESS(ROW(),COLUMN(NOTA[TANGGAL]))),-1)))</f>
        <v/>
      </c>
      <c r="AJ474" s="26" t="str">
        <f ca="1">IF(NOTA[[#This Row],[ID_H]]="","",INDEX(NOTA[TGL.NOTA],MATCH(,INDIRECT(ADDRESS(ROW(NOTA[TGL.NOTA]),COLUMN(NOTA[TGL.NOTA]))&amp;":"&amp;ADDRESS(ROW(),COLUMN(NOTA[TGL.NOTA]))),-1)))</f>
        <v/>
      </c>
      <c r="AK474" s="26" t="str">
        <f ca="1">IF(NOTA[[#This Row],[ID_H]]="","",INDEX(NOTA[NO.NOTA],MATCH(NOTA[[#This Row],[ID_H]],NOTA[ID_H],0)))</f>
        <v/>
      </c>
      <c r="AL474" s="28" t="str">
        <f ca="1">IF(NOTA[[#This Row],[NAMA BARANG]]="","",INDEX(NOTA[SUPPLIER],MATCH(,INDIRECT(ADDRESS(ROW(NOTA[ID]),COLUMN(NOTA[ID]))&amp;":"&amp;ADDRESS(ROW(),COLUMN(NOTA[ID]))),-1)))</f>
        <v/>
      </c>
      <c r="AM474" s="28" t="str">
        <f ca="1">IF(NOTA[[#This Row],[ID_H]]="","",IF(NOTA[[#This Row],[FAKTUR]]="",INDIRECT(ADDRESS(ROW()-1,COLUMN())),NOTA[[#This Row],[FAKTUR]]))</f>
        <v/>
      </c>
      <c r="AN474" s="25" t="str">
        <f ca="1">IF(NOTA[[#This Row],[ID]]="","",COUNTIF(NOTA[ID_H],NOTA[[#This Row],[ID_H]]))</f>
        <v/>
      </c>
      <c r="AO474" s="25" t="str">
        <f ca="1">IF(NOTA[[#This Row],[TGL.NOTA]]="",IF(NOTA[[#This Row],[SUPPLIER_H]]="","",AO473),MONTH(NOTA[[#This Row],[TGL.NOTA]]))</f>
        <v/>
      </c>
      <c r="AP4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4" s="25"/>
      <c r="AU474" s="25" t="str">
        <f>IF(NOTA[[#This Row],[CONCAT1]]="","",MATCH(NOTA[[#This Row],[CONCAT1]],[3]!db[NB NOTA_C],0))</f>
        <v/>
      </c>
      <c r="AV474" s="25" t="str">
        <f>IF(NOTA[[#This Row],[QTY/ CTN]]="","",TRUE)</f>
        <v/>
      </c>
      <c r="AW474" s="25" t="str">
        <f ca="1">IF(NOTA[[#This Row],[ID_H]]="","",IF(NOTA[[#This Row],[Column3]]=TRUE,NOTA[[#This Row],[QTY/ CTN]],INDEX([3]!db[QTY/ CTN],NOTA[[#This Row],[//DB]])))</f>
        <v/>
      </c>
      <c r="AX4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4" s="25" t="str">
        <f ca="1">IF(NOTA[[#This Row],[ID_H]]="","",MATCH(NOTA[[#This Row],[NB NOTA_C_QTY]],[3]!db[NB NOTA_C_QTY+F],0))</f>
        <v/>
      </c>
      <c r="AZ474" s="38" t="str">
        <f ca="1">IF(NOTA[[#This Row],[NB NOTA_C_QTY]]="","",ROW()-2)</f>
        <v/>
      </c>
    </row>
    <row r="475" spans="1:52" ht="20.100000000000001" customHeight="1">
      <c r="A4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5" s="25" t="str">
        <f ca="1">IF(NOTA[[#This Row],[NAMA BARANG]]="","",INDEX(NOTA[ID],MATCH(,INDIRECT(ADDRESS(ROW(NOTA[ID]),COLUMN(NOTA[ID]))&amp;":"&amp;ADDRESS(ROW(),COLUMN(NOTA[ID]))),-1)))</f>
        <v/>
      </c>
      <c r="E475" s="33"/>
      <c r="H475" s="34"/>
      <c r="Q475" s="29"/>
      <c r="R475" s="35"/>
      <c r="S475" s="36"/>
      <c r="V475" s="37"/>
      <c r="W475" s="32"/>
      <c r="X475" s="37" t="str">
        <f>IF(NOTA[[#This Row],[HARGA/ CTN]]="",NOTA[[#This Row],[JUMLAH_H]],NOTA[[#This Row],[HARGA/ CTN]]*IF(NOTA[[#This Row],[C]]="",0,NOTA[[#This Row],[C]]))</f>
        <v/>
      </c>
      <c r="Y475" s="37" t="str">
        <f>IF(NOTA[[#This Row],[JUMLAH]]="","",NOTA[[#This Row],[JUMLAH]]*NOTA[[#This Row],[DISC 1]])</f>
        <v/>
      </c>
      <c r="Z475" s="37" t="str">
        <f>IF(NOTA[[#This Row],[JUMLAH]]="","",(NOTA[[#This Row],[JUMLAH]]-NOTA[[#This Row],[DISC 1-]])*NOTA[[#This Row],[DISC 2]])</f>
        <v/>
      </c>
      <c r="AA475" s="37" t="str">
        <f>IF(NOTA[[#This Row],[JUMLAH]]="","",(NOTA[[#This Row],[JUMLAH]]-NOTA[[#This Row],[DISC 1-]]-NOTA[[#This Row],[DISC 2-]])*NOTA[[#This Row],[DISC 3]])</f>
        <v/>
      </c>
      <c r="AB475" s="37" t="str">
        <f>IF(NOTA[[#This Row],[JUMLAH]]="","",NOTA[[#This Row],[DISC 1-]]+NOTA[[#This Row],[DISC 2-]]+NOTA[[#This Row],[DISC 3-]])</f>
        <v/>
      </c>
      <c r="AC475" s="37" t="str">
        <f>IF(NOTA[[#This Row],[JUMLAH]]="","",NOTA[[#This Row],[JUMLAH]]-NOTA[[#This Row],[DISC]])</f>
        <v/>
      </c>
      <c r="AD475" s="37"/>
      <c r="AE4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5" s="37" t="str">
        <f>IF(OR(NOTA[[#This Row],[QTY]]="",NOTA[[#This Row],[HARGA SATUAN]]="",),"",NOTA[[#This Row],[QTY]]*NOTA[[#This Row],[HARGA SATUAN]])</f>
        <v/>
      </c>
      <c r="AI475" s="26" t="str">
        <f ca="1">IF(NOTA[[#This Row],[ID_H]]="","",INDEX(NOTA[TANGGAL],MATCH(,INDIRECT(ADDRESS(ROW(NOTA[TANGGAL]),COLUMN(NOTA[TANGGAL]))&amp;":"&amp;ADDRESS(ROW(),COLUMN(NOTA[TANGGAL]))),-1)))</f>
        <v/>
      </c>
      <c r="AJ475" s="26" t="str">
        <f ca="1">IF(NOTA[[#This Row],[ID_H]]="","",INDEX(NOTA[TGL.NOTA],MATCH(,INDIRECT(ADDRESS(ROW(NOTA[TGL.NOTA]),COLUMN(NOTA[TGL.NOTA]))&amp;":"&amp;ADDRESS(ROW(),COLUMN(NOTA[TGL.NOTA]))),-1)))</f>
        <v/>
      </c>
      <c r="AK475" s="26" t="str">
        <f ca="1">IF(NOTA[[#This Row],[ID_H]]="","",INDEX(NOTA[NO.NOTA],MATCH(NOTA[[#This Row],[ID_H]],NOTA[ID_H],0)))</f>
        <v/>
      </c>
      <c r="AL475" s="28" t="str">
        <f ca="1">IF(NOTA[[#This Row],[NAMA BARANG]]="","",INDEX(NOTA[SUPPLIER],MATCH(,INDIRECT(ADDRESS(ROW(NOTA[ID]),COLUMN(NOTA[ID]))&amp;":"&amp;ADDRESS(ROW(),COLUMN(NOTA[ID]))),-1)))</f>
        <v/>
      </c>
      <c r="AM475" s="28" t="str">
        <f ca="1">IF(NOTA[[#This Row],[ID_H]]="","",IF(NOTA[[#This Row],[FAKTUR]]="",INDIRECT(ADDRESS(ROW()-1,COLUMN())),NOTA[[#This Row],[FAKTUR]]))</f>
        <v/>
      </c>
      <c r="AN475" s="25" t="str">
        <f ca="1">IF(NOTA[[#This Row],[ID]]="","",COUNTIF(NOTA[ID_H],NOTA[[#This Row],[ID_H]]))</f>
        <v/>
      </c>
      <c r="AO475" s="25" t="str">
        <f ca="1">IF(NOTA[[#This Row],[TGL.NOTA]]="",IF(NOTA[[#This Row],[SUPPLIER_H]]="","",AO474),MONTH(NOTA[[#This Row],[TGL.NOTA]]))</f>
        <v/>
      </c>
      <c r="AP4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5" s="25"/>
      <c r="AU475" s="25" t="str">
        <f>IF(NOTA[[#This Row],[CONCAT1]]="","",MATCH(NOTA[[#This Row],[CONCAT1]],[3]!db[NB NOTA_C],0))</f>
        <v/>
      </c>
      <c r="AV475" s="25" t="str">
        <f>IF(NOTA[[#This Row],[QTY/ CTN]]="","",TRUE)</f>
        <v/>
      </c>
      <c r="AW475" s="25" t="str">
        <f ca="1">IF(NOTA[[#This Row],[ID_H]]="","",IF(NOTA[[#This Row],[Column3]]=TRUE,NOTA[[#This Row],[QTY/ CTN]],INDEX([3]!db[QTY/ CTN],NOTA[[#This Row],[//DB]])))</f>
        <v/>
      </c>
      <c r="AX4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5" s="25" t="str">
        <f ca="1">IF(NOTA[[#This Row],[ID_H]]="","",MATCH(NOTA[[#This Row],[NB NOTA_C_QTY]],[3]!db[NB NOTA_C_QTY+F],0))</f>
        <v/>
      </c>
      <c r="AZ475" s="38" t="str">
        <f ca="1">IF(NOTA[[#This Row],[NB NOTA_C_QTY]]="","",ROW()-2)</f>
        <v/>
      </c>
    </row>
    <row r="476" spans="1:52" ht="20.100000000000001" customHeight="1">
      <c r="A4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6" s="25" t="str">
        <f ca="1">IF(NOTA[[#This Row],[NAMA BARANG]]="","",INDEX(NOTA[ID],MATCH(,INDIRECT(ADDRESS(ROW(NOTA[ID]),COLUMN(NOTA[ID]))&amp;":"&amp;ADDRESS(ROW(),COLUMN(NOTA[ID]))),-1)))</f>
        <v/>
      </c>
      <c r="E476" s="33"/>
      <c r="H476" s="34"/>
      <c r="Q476" s="29"/>
      <c r="R476" s="35"/>
      <c r="S476" s="36"/>
      <c r="V476" s="37"/>
      <c r="W476" s="32"/>
      <c r="X476" s="37" t="str">
        <f>IF(NOTA[[#This Row],[HARGA/ CTN]]="",NOTA[[#This Row],[JUMLAH_H]],NOTA[[#This Row],[HARGA/ CTN]]*IF(NOTA[[#This Row],[C]]="",0,NOTA[[#This Row],[C]]))</f>
        <v/>
      </c>
      <c r="Y476" s="37" t="str">
        <f>IF(NOTA[[#This Row],[JUMLAH]]="","",NOTA[[#This Row],[JUMLAH]]*NOTA[[#This Row],[DISC 1]])</f>
        <v/>
      </c>
      <c r="Z476" s="37" t="str">
        <f>IF(NOTA[[#This Row],[JUMLAH]]="","",(NOTA[[#This Row],[JUMLAH]]-NOTA[[#This Row],[DISC 1-]])*NOTA[[#This Row],[DISC 2]])</f>
        <v/>
      </c>
      <c r="AA476" s="37" t="str">
        <f>IF(NOTA[[#This Row],[JUMLAH]]="","",(NOTA[[#This Row],[JUMLAH]]-NOTA[[#This Row],[DISC 1-]]-NOTA[[#This Row],[DISC 2-]])*NOTA[[#This Row],[DISC 3]])</f>
        <v/>
      </c>
      <c r="AB476" s="37" t="str">
        <f>IF(NOTA[[#This Row],[JUMLAH]]="","",NOTA[[#This Row],[DISC 1-]]+NOTA[[#This Row],[DISC 2-]]+NOTA[[#This Row],[DISC 3-]])</f>
        <v/>
      </c>
      <c r="AC476" s="37" t="str">
        <f>IF(NOTA[[#This Row],[JUMLAH]]="","",NOTA[[#This Row],[JUMLAH]]-NOTA[[#This Row],[DISC]])</f>
        <v/>
      </c>
      <c r="AD476" s="37"/>
      <c r="AE4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6" s="37" t="str">
        <f>IF(OR(NOTA[[#This Row],[QTY]]="",NOTA[[#This Row],[HARGA SATUAN]]="",),"",NOTA[[#This Row],[QTY]]*NOTA[[#This Row],[HARGA SATUAN]])</f>
        <v/>
      </c>
      <c r="AI476" s="26" t="str">
        <f ca="1">IF(NOTA[[#This Row],[ID_H]]="","",INDEX(NOTA[TANGGAL],MATCH(,INDIRECT(ADDRESS(ROW(NOTA[TANGGAL]),COLUMN(NOTA[TANGGAL]))&amp;":"&amp;ADDRESS(ROW(),COLUMN(NOTA[TANGGAL]))),-1)))</f>
        <v/>
      </c>
      <c r="AJ476" s="26" t="str">
        <f ca="1">IF(NOTA[[#This Row],[ID_H]]="","",INDEX(NOTA[TGL.NOTA],MATCH(,INDIRECT(ADDRESS(ROW(NOTA[TGL.NOTA]),COLUMN(NOTA[TGL.NOTA]))&amp;":"&amp;ADDRESS(ROW(),COLUMN(NOTA[TGL.NOTA]))),-1)))</f>
        <v/>
      </c>
      <c r="AK476" s="26" t="str">
        <f ca="1">IF(NOTA[[#This Row],[ID_H]]="","",INDEX(NOTA[NO.NOTA],MATCH(NOTA[[#This Row],[ID_H]],NOTA[ID_H],0)))</f>
        <v/>
      </c>
      <c r="AL476" s="28" t="str">
        <f ca="1">IF(NOTA[[#This Row],[NAMA BARANG]]="","",INDEX(NOTA[SUPPLIER],MATCH(,INDIRECT(ADDRESS(ROW(NOTA[ID]),COLUMN(NOTA[ID]))&amp;":"&amp;ADDRESS(ROW(),COLUMN(NOTA[ID]))),-1)))</f>
        <v/>
      </c>
      <c r="AM476" s="28" t="str">
        <f ca="1">IF(NOTA[[#This Row],[ID_H]]="","",IF(NOTA[[#This Row],[FAKTUR]]="",INDIRECT(ADDRESS(ROW()-1,COLUMN())),NOTA[[#This Row],[FAKTUR]]))</f>
        <v/>
      </c>
      <c r="AN476" s="25" t="str">
        <f ca="1">IF(NOTA[[#This Row],[ID]]="","",COUNTIF(NOTA[ID_H],NOTA[[#This Row],[ID_H]]))</f>
        <v/>
      </c>
      <c r="AO476" s="25" t="str">
        <f ca="1">IF(NOTA[[#This Row],[TGL.NOTA]]="",IF(NOTA[[#This Row],[SUPPLIER_H]]="","",AO475),MONTH(NOTA[[#This Row],[TGL.NOTA]]))</f>
        <v/>
      </c>
      <c r="AP4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6" s="25"/>
      <c r="AU476" s="25" t="str">
        <f>IF(NOTA[[#This Row],[CONCAT1]]="","",MATCH(NOTA[[#This Row],[CONCAT1]],[3]!db[NB NOTA_C],0))</f>
        <v/>
      </c>
      <c r="AV476" s="25" t="str">
        <f>IF(NOTA[[#This Row],[QTY/ CTN]]="","",TRUE)</f>
        <v/>
      </c>
      <c r="AW476" s="25" t="str">
        <f ca="1">IF(NOTA[[#This Row],[ID_H]]="","",IF(NOTA[[#This Row],[Column3]]=TRUE,NOTA[[#This Row],[QTY/ CTN]],INDEX([3]!db[QTY/ CTN],NOTA[[#This Row],[//DB]])))</f>
        <v/>
      </c>
      <c r="AX4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6" s="25" t="str">
        <f ca="1">IF(NOTA[[#This Row],[ID_H]]="","",MATCH(NOTA[[#This Row],[NB NOTA_C_QTY]],[3]!db[NB NOTA_C_QTY+F],0))</f>
        <v/>
      </c>
      <c r="AZ476" s="38" t="str">
        <f ca="1">IF(NOTA[[#This Row],[NB NOTA_C_QTY]]="","",ROW()-2)</f>
        <v/>
      </c>
    </row>
    <row r="477" spans="1:52" ht="20.100000000000001" customHeight="1">
      <c r="A4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7" s="25" t="str">
        <f ca="1">IF(NOTA[[#This Row],[NAMA BARANG]]="","",INDEX(NOTA[ID],MATCH(,INDIRECT(ADDRESS(ROW(NOTA[ID]),COLUMN(NOTA[ID]))&amp;":"&amp;ADDRESS(ROW(),COLUMN(NOTA[ID]))),-1)))</f>
        <v/>
      </c>
      <c r="E477" s="33"/>
      <c r="H477" s="34"/>
      <c r="Q477" s="29"/>
      <c r="R477" s="35"/>
      <c r="S477" s="36"/>
      <c r="V477" s="37"/>
      <c r="W477" s="32"/>
      <c r="X477" s="37" t="str">
        <f>IF(NOTA[[#This Row],[HARGA/ CTN]]="",NOTA[[#This Row],[JUMLAH_H]],NOTA[[#This Row],[HARGA/ CTN]]*IF(NOTA[[#This Row],[C]]="",0,NOTA[[#This Row],[C]]))</f>
        <v/>
      </c>
      <c r="Y477" s="37" t="str">
        <f>IF(NOTA[[#This Row],[JUMLAH]]="","",NOTA[[#This Row],[JUMLAH]]*NOTA[[#This Row],[DISC 1]])</f>
        <v/>
      </c>
      <c r="Z477" s="37" t="str">
        <f>IF(NOTA[[#This Row],[JUMLAH]]="","",(NOTA[[#This Row],[JUMLAH]]-NOTA[[#This Row],[DISC 1-]])*NOTA[[#This Row],[DISC 2]])</f>
        <v/>
      </c>
      <c r="AA477" s="37" t="str">
        <f>IF(NOTA[[#This Row],[JUMLAH]]="","",(NOTA[[#This Row],[JUMLAH]]-NOTA[[#This Row],[DISC 1-]]-NOTA[[#This Row],[DISC 2-]])*NOTA[[#This Row],[DISC 3]])</f>
        <v/>
      </c>
      <c r="AB477" s="37" t="str">
        <f>IF(NOTA[[#This Row],[JUMLAH]]="","",NOTA[[#This Row],[DISC 1-]]+NOTA[[#This Row],[DISC 2-]]+NOTA[[#This Row],[DISC 3-]])</f>
        <v/>
      </c>
      <c r="AC477" s="37" t="str">
        <f>IF(NOTA[[#This Row],[JUMLAH]]="","",NOTA[[#This Row],[JUMLAH]]-NOTA[[#This Row],[DISC]])</f>
        <v/>
      </c>
      <c r="AD477" s="37"/>
      <c r="AE4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7" s="37" t="str">
        <f>IF(OR(NOTA[[#This Row],[QTY]]="",NOTA[[#This Row],[HARGA SATUAN]]="",),"",NOTA[[#This Row],[QTY]]*NOTA[[#This Row],[HARGA SATUAN]])</f>
        <v/>
      </c>
      <c r="AI477" s="26" t="str">
        <f ca="1">IF(NOTA[[#This Row],[ID_H]]="","",INDEX(NOTA[TANGGAL],MATCH(,INDIRECT(ADDRESS(ROW(NOTA[TANGGAL]),COLUMN(NOTA[TANGGAL]))&amp;":"&amp;ADDRESS(ROW(),COLUMN(NOTA[TANGGAL]))),-1)))</f>
        <v/>
      </c>
      <c r="AJ477" s="26" t="str">
        <f ca="1">IF(NOTA[[#This Row],[ID_H]]="","",INDEX(NOTA[TGL.NOTA],MATCH(,INDIRECT(ADDRESS(ROW(NOTA[TGL.NOTA]),COLUMN(NOTA[TGL.NOTA]))&amp;":"&amp;ADDRESS(ROW(),COLUMN(NOTA[TGL.NOTA]))),-1)))</f>
        <v/>
      </c>
      <c r="AK477" s="26" t="str">
        <f ca="1">IF(NOTA[[#This Row],[ID_H]]="","",INDEX(NOTA[NO.NOTA],MATCH(NOTA[[#This Row],[ID_H]],NOTA[ID_H],0)))</f>
        <v/>
      </c>
      <c r="AL477" s="28" t="str">
        <f ca="1">IF(NOTA[[#This Row],[NAMA BARANG]]="","",INDEX(NOTA[SUPPLIER],MATCH(,INDIRECT(ADDRESS(ROW(NOTA[ID]),COLUMN(NOTA[ID]))&amp;":"&amp;ADDRESS(ROW(),COLUMN(NOTA[ID]))),-1)))</f>
        <v/>
      </c>
      <c r="AM477" s="28" t="str">
        <f ca="1">IF(NOTA[[#This Row],[ID_H]]="","",IF(NOTA[[#This Row],[FAKTUR]]="",INDIRECT(ADDRESS(ROW()-1,COLUMN())),NOTA[[#This Row],[FAKTUR]]))</f>
        <v/>
      </c>
      <c r="AN477" s="25" t="str">
        <f ca="1">IF(NOTA[[#This Row],[ID]]="","",COUNTIF(NOTA[ID_H],NOTA[[#This Row],[ID_H]]))</f>
        <v/>
      </c>
      <c r="AO477" s="25" t="str">
        <f ca="1">IF(NOTA[[#This Row],[TGL.NOTA]]="",IF(NOTA[[#This Row],[SUPPLIER_H]]="","",AO476),MONTH(NOTA[[#This Row],[TGL.NOTA]]))</f>
        <v/>
      </c>
      <c r="AP4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7" s="25"/>
      <c r="AU477" s="25" t="str">
        <f>IF(NOTA[[#This Row],[CONCAT1]]="","",MATCH(NOTA[[#This Row],[CONCAT1]],[3]!db[NB NOTA_C],0))</f>
        <v/>
      </c>
      <c r="AV477" s="25" t="str">
        <f>IF(NOTA[[#This Row],[QTY/ CTN]]="","",TRUE)</f>
        <v/>
      </c>
      <c r="AW477" s="25" t="str">
        <f ca="1">IF(NOTA[[#This Row],[ID_H]]="","",IF(NOTA[[#This Row],[Column3]]=TRUE,NOTA[[#This Row],[QTY/ CTN]],INDEX([3]!db[QTY/ CTN],NOTA[[#This Row],[//DB]])))</f>
        <v/>
      </c>
      <c r="AX4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7" s="25" t="str">
        <f ca="1">IF(NOTA[[#This Row],[ID_H]]="","",MATCH(NOTA[[#This Row],[NB NOTA_C_QTY]],[3]!db[NB NOTA_C_QTY+F],0))</f>
        <v/>
      </c>
      <c r="AZ477" s="38" t="str">
        <f ca="1">IF(NOTA[[#This Row],[NB NOTA_C_QTY]]="","",ROW()-2)</f>
        <v/>
      </c>
    </row>
    <row r="478" spans="1:52" ht="20.100000000000001" customHeight="1">
      <c r="A4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8" s="25" t="str">
        <f ca="1">IF(NOTA[[#This Row],[NAMA BARANG]]="","",INDEX(NOTA[ID],MATCH(,INDIRECT(ADDRESS(ROW(NOTA[ID]),COLUMN(NOTA[ID]))&amp;":"&amp;ADDRESS(ROW(),COLUMN(NOTA[ID]))),-1)))</f>
        <v/>
      </c>
      <c r="E478" s="33"/>
      <c r="H478" s="34"/>
      <c r="Q478" s="29"/>
      <c r="R478" s="35"/>
      <c r="S478" s="36"/>
      <c r="V478" s="37"/>
      <c r="W478" s="32"/>
      <c r="X478" s="37" t="str">
        <f>IF(NOTA[[#This Row],[HARGA/ CTN]]="",NOTA[[#This Row],[JUMLAH_H]],NOTA[[#This Row],[HARGA/ CTN]]*IF(NOTA[[#This Row],[C]]="",0,NOTA[[#This Row],[C]]))</f>
        <v/>
      </c>
      <c r="Y478" s="37" t="str">
        <f>IF(NOTA[[#This Row],[JUMLAH]]="","",NOTA[[#This Row],[JUMLAH]]*NOTA[[#This Row],[DISC 1]])</f>
        <v/>
      </c>
      <c r="Z478" s="37" t="str">
        <f>IF(NOTA[[#This Row],[JUMLAH]]="","",(NOTA[[#This Row],[JUMLAH]]-NOTA[[#This Row],[DISC 1-]])*NOTA[[#This Row],[DISC 2]])</f>
        <v/>
      </c>
      <c r="AA478" s="37" t="str">
        <f>IF(NOTA[[#This Row],[JUMLAH]]="","",(NOTA[[#This Row],[JUMLAH]]-NOTA[[#This Row],[DISC 1-]]-NOTA[[#This Row],[DISC 2-]])*NOTA[[#This Row],[DISC 3]])</f>
        <v/>
      </c>
      <c r="AB478" s="37" t="str">
        <f>IF(NOTA[[#This Row],[JUMLAH]]="","",NOTA[[#This Row],[DISC 1-]]+NOTA[[#This Row],[DISC 2-]]+NOTA[[#This Row],[DISC 3-]])</f>
        <v/>
      </c>
      <c r="AC478" s="37" t="str">
        <f>IF(NOTA[[#This Row],[JUMLAH]]="","",NOTA[[#This Row],[JUMLAH]]-NOTA[[#This Row],[DISC]])</f>
        <v/>
      </c>
      <c r="AD478" s="37"/>
      <c r="AE4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8" s="37" t="str">
        <f>IF(OR(NOTA[[#This Row],[QTY]]="",NOTA[[#This Row],[HARGA SATUAN]]="",),"",NOTA[[#This Row],[QTY]]*NOTA[[#This Row],[HARGA SATUAN]])</f>
        <v/>
      </c>
      <c r="AI478" s="26" t="str">
        <f ca="1">IF(NOTA[[#This Row],[ID_H]]="","",INDEX(NOTA[TANGGAL],MATCH(,INDIRECT(ADDRESS(ROW(NOTA[TANGGAL]),COLUMN(NOTA[TANGGAL]))&amp;":"&amp;ADDRESS(ROW(),COLUMN(NOTA[TANGGAL]))),-1)))</f>
        <v/>
      </c>
      <c r="AJ478" s="26" t="str">
        <f ca="1">IF(NOTA[[#This Row],[ID_H]]="","",INDEX(NOTA[TGL.NOTA],MATCH(,INDIRECT(ADDRESS(ROW(NOTA[TGL.NOTA]),COLUMN(NOTA[TGL.NOTA]))&amp;":"&amp;ADDRESS(ROW(),COLUMN(NOTA[TGL.NOTA]))),-1)))</f>
        <v/>
      </c>
      <c r="AK478" s="26" t="str">
        <f ca="1">IF(NOTA[[#This Row],[ID_H]]="","",INDEX(NOTA[NO.NOTA],MATCH(NOTA[[#This Row],[ID_H]],NOTA[ID_H],0)))</f>
        <v/>
      </c>
      <c r="AL478" s="28" t="str">
        <f ca="1">IF(NOTA[[#This Row],[NAMA BARANG]]="","",INDEX(NOTA[SUPPLIER],MATCH(,INDIRECT(ADDRESS(ROW(NOTA[ID]),COLUMN(NOTA[ID]))&amp;":"&amp;ADDRESS(ROW(),COLUMN(NOTA[ID]))),-1)))</f>
        <v/>
      </c>
      <c r="AM478" s="28" t="str">
        <f ca="1">IF(NOTA[[#This Row],[ID_H]]="","",IF(NOTA[[#This Row],[FAKTUR]]="",INDIRECT(ADDRESS(ROW()-1,COLUMN())),NOTA[[#This Row],[FAKTUR]]))</f>
        <v/>
      </c>
      <c r="AN478" s="25" t="str">
        <f ca="1">IF(NOTA[[#This Row],[ID]]="","",COUNTIF(NOTA[ID_H],NOTA[[#This Row],[ID_H]]))</f>
        <v/>
      </c>
      <c r="AO478" s="25" t="str">
        <f ca="1">IF(NOTA[[#This Row],[TGL.NOTA]]="",IF(NOTA[[#This Row],[SUPPLIER_H]]="","",AO477),MONTH(NOTA[[#This Row],[TGL.NOTA]]))</f>
        <v/>
      </c>
      <c r="AP4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8" s="25"/>
      <c r="AU478" s="25" t="str">
        <f>IF(NOTA[[#This Row],[CONCAT1]]="","",MATCH(NOTA[[#This Row],[CONCAT1]],[3]!db[NB NOTA_C],0))</f>
        <v/>
      </c>
      <c r="AV478" s="25" t="str">
        <f>IF(NOTA[[#This Row],[QTY/ CTN]]="","",TRUE)</f>
        <v/>
      </c>
      <c r="AW478" s="25" t="str">
        <f ca="1">IF(NOTA[[#This Row],[ID_H]]="","",IF(NOTA[[#This Row],[Column3]]=TRUE,NOTA[[#This Row],[QTY/ CTN]],INDEX([3]!db[QTY/ CTN],NOTA[[#This Row],[//DB]])))</f>
        <v/>
      </c>
      <c r="AX4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8" s="25" t="str">
        <f ca="1">IF(NOTA[[#This Row],[ID_H]]="","",MATCH(NOTA[[#This Row],[NB NOTA_C_QTY]],[3]!db[NB NOTA_C_QTY+F],0))</f>
        <v/>
      </c>
      <c r="AZ478" s="38" t="str">
        <f ca="1">IF(NOTA[[#This Row],[NB NOTA_C_QTY]]="","",ROW()-2)</f>
        <v/>
      </c>
    </row>
    <row r="479" spans="1:52" ht="20.100000000000001" customHeight="1">
      <c r="A4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9" s="25" t="str">
        <f ca="1">IF(NOTA[[#This Row],[NAMA BARANG]]="","",INDEX(NOTA[ID],MATCH(,INDIRECT(ADDRESS(ROW(NOTA[ID]),COLUMN(NOTA[ID]))&amp;":"&amp;ADDRESS(ROW(),COLUMN(NOTA[ID]))),-1)))</f>
        <v/>
      </c>
      <c r="E479" s="33"/>
      <c r="H479" s="34"/>
      <c r="Q479" s="29"/>
      <c r="R479" s="35"/>
      <c r="S479" s="36"/>
      <c r="V479" s="37"/>
      <c r="W479" s="32"/>
      <c r="X479" s="37" t="str">
        <f>IF(NOTA[[#This Row],[HARGA/ CTN]]="",NOTA[[#This Row],[JUMLAH_H]],NOTA[[#This Row],[HARGA/ CTN]]*IF(NOTA[[#This Row],[C]]="",0,NOTA[[#This Row],[C]]))</f>
        <v/>
      </c>
      <c r="Y479" s="37" t="str">
        <f>IF(NOTA[[#This Row],[JUMLAH]]="","",NOTA[[#This Row],[JUMLAH]]*NOTA[[#This Row],[DISC 1]])</f>
        <v/>
      </c>
      <c r="Z479" s="37" t="str">
        <f>IF(NOTA[[#This Row],[JUMLAH]]="","",(NOTA[[#This Row],[JUMLAH]]-NOTA[[#This Row],[DISC 1-]])*NOTA[[#This Row],[DISC 2]])</f>
        <v/>
      </c>
      <c r="AA479" s="37" t="str">
        <f>IF(NOTA[[#This Row],[JUMLAH]]="","",(NOTA[[#This Row],[JUMLAH]]-NOTA[[#This Row],[DISC 1-]]-NOTA[[#This Row],[DISC 2-]])*NOTA[[#This Row],[DISC 3]])</f>
        <v/>
      </c>
      <c r="AB479" s="37" t="str">
        <f>IF(NOTA[[#This Row],[JUMLAH]]="","",NOTA[[#This Row],[DISC 1-]]+NOTA[[#This Row],[DISC 2-]]+NOTA[[#This Row],[DISC 3-]])</f>
        <v/>
      </c>
      <c r="AC479" s="37" t="str">
        <f>IF(NOTA[[#This Row],[JUMLAH]]="","",NOTA[[#This Row],[JUMLAH]]-NOTA[[#This Row],[DISC]])</f>
        <v/>
      </c>
      <c r="AD479" s="37"/>
      <c r="AE4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9" s="37" t="str">
        <f>IF(OR(NOTA[[#This Row],[QTY]]="",NOTA[[#This Row],[HARGA SATUAN]]="",),"",NOTA[[#This Row],[QTY]]*NOTA[[#This Row],[HARGA SATUAN]])</f>
        <v/>
      </c>
      <c r="AI479" s="26" t="str">
        <f ca="1">IF(NOTA[[#This Row],[ID_H]]="","",INDEX(NOTA[TANGGAL],MATCH(,INDIRECT(ADDRESS(ROW(NOTA[TANGGAL]),COLUMN(NOTA[TANGGAL]))&amp;":"&amp;ADDRESS(ROW(),COLUMN(NOTA[TANGGAL]))),-1)))</f>
        <v/>
      </c>
      <c r="AJ479" s="26" t="str">
        <f ca="1">IF(NOTA[[#This Row],[ID_H]]="","",INDEX(NOTA[TGL.NOTA],MATCH(,INDIRECT(ADDRESS(ROW(NOTA[TGL.NOTA]),COLUMN(NOTA[TGL.NOTA]))&amp;":"&amp;ADDRESS(ROW(),COLUMN(NOTA[TGL.NOTA]))),-1)))</f>
        <v/>
      </c>
      <c r="AK479" s="26" t="str">
        <f ca="1">IF(NOTA[[#This Row],[ID_H]]="","",INDEX(NOTA[NO.NOTA],MATCH(NOTA[[#This Row],[ID_H]],NOTA[ID_H],0)))</f>
        <v/>
      </c>
      <c r="AL479" s="28" t="str">
        <f ca="1">IF(NOTA[[#This Row],[NAMA BARANG]]="","",INDEX(NOTA[SUPPLIER],MATCH(,INDIRECT(ADDRESS(ROW(NOTA[ID]),COLUMN(NOTA[ID]))&amp;":"&amp;ADDRESS(ROW(),COLUMN(NOTA[ID]))),-1)))</f>
        <v/>
      </c>
      <c r="AM479" s="28" t="str">
        <f ca="1">IF(NOTA[[#This Row],[ID_H]]="","",IF(NOTA[[#This Row],[FAKTUR]]="",INDIRECT(ADDRESS(ROW()-1,COLUMN())),NOTA[[#This Row],[FAKTUR]]))</f>
        <v/>
      </c>
      <c r="AN479" s="25" t="str">
        <f ca="1">IF(NOTA[[#This Row],[ID]]="","",COUNTIF(NOTA[ID_H],NOTA[[#This Row],[ID_H]]))</f>
        <v/>
      </c>
      <c r="AO479" s="25" t="str">
        <f ca="1">IF(NOTA[[#This Row],[TGL.NOTA]]="",IF(NOTA[[#This Row],[SUPPLIER_H]]="","",AO478),MONTH(NOTA[[#This Row],[TGL.NOTA]]))</f>
        <v/>
      </c>
      <c r="AP4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9" s="25"/>
      <c r="AU479" s="25" t="str">
        <f>IF(NOTA[[#This Row],[CONCAT1]]="","",MATCH(NOTA[[#This Row],[CONCAT1]],[3]!db[NB NOTA_C],0))</f>
        <v/>
      </c>
      <c r="AV479" s="25" t="str">
        <f>IF(NOTA[[#This Row],[QTY/ CTN]]="","",TRUE)</f>
        <v/>
      </c>
      <c r="AW479" s="25" t="str">
        <f ca="1">IF(NOTA[[#This Row],[ID_H]]="","",IF(NOTA[[#This Row],[Column3]]=TRUE,NOTA[[#This Row],[QTY/ CTN]],INDEX([3]!db[QTY/ CTN],NOTA[[#This Row],[//DB]])))</f>
        <v/>
      </c>
      <c r="AX4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9" s="25" t="str">
        <f ca="1">IF(NOTA[[#This Row],[ID_H]]="","",MATCH(NOTA[[#This Row],[NB NOTA_C_QTY]],[3]!db[NB NOTA_C_QTY+F],0))</f>
        <v/>
      </c>
      <c r="AZ479" s="38" t="str">
        <f ca="1">IF(NOTA[[#This Row],[NB NOTA_C_QTY]]="","",ROW()-2)</f>
        <v/>
      </c>
    </row>
    <row r="480" spans="1:52" ht="20.100000000000001" customHeight="1">
      <c r="A4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0" s="25" t="str">
        <f ca="1">IF(NOTA[[#This Row],[NAMA BARANG]]="","",INDEX(NOTA[ID],MATCH(,INDIRECT(ADDRESS(ROW(NOTA[ID]),COLUMN(NOTA[ID]))&amp;":"&amp;ADDRESS(ROW(),COLUMN(NOTA[ID]))),-1)))</f>
        <v/>
      </c>
      <c r="E480" s="33"/>
      <c r="H480" s="34"/>
      <c r="Q480" s="29"/>
      <c r="R480" s="35"/>
      <c r="S480" s="36"/>
      <c r="V480" s="37"/>
      <c r="W480" s="32"/>
      <c r="X480" s="37" t="str">
        <f>IF(NOTA[[#This Row],[HARGA/ CTN]]="",NOTA[[#This Row],[JUMLAH_H]],NOTA[[#This Row],[HARGA/ CTN]]*IF(NOTA[[#This Row],[C]]="",0,NOTA[[#This Row],[C]]))</f>
        <v/>
      </c>
      <c r="Y480" s="37" t="str">
        <f>IF(NOTA[[#This Row],[JUMLAH]]="","",NOTA[[#This Row],[JUMLAH]]*NOTA[[#This Row],[DISC 1]])</f>
        <v/>
      </c>
      <c r="Z480" s="37" t="str">
        <f>IF(NOTA[[#This Row],[JUMLAH]]="","",(NOTA[[#This Row],[JUMLAH]]-NOTA[[#This Row],[DISC 1-]])*NOTA[[#This Row],[DISC 2]])</f>
        <v/>
      </c>
      <c r="AA480" s="37" t="str">
        <f>IF(NOTA[[#This Row],[JUMLAH]]="","",(NOTA[[#This Row],[JUMLAH]]-NOTA[[#This Row],[DISC 1-]]-NOTA[[#This Row],[DISC 2-]])*NOTA[[#This Row],[DISC 3]])</f>
        <v/>
      </c>
      <c r="AB480" s="37" t="str">
        <f>IF(NOTA[[#This Row],[JUMLAH]]="","",NOTA[[#This Row],[DISC 1-]]+NOTA[[#This Row],[DISC 2-]]+NOTA[[#This Row],[DISC 3-]])</f>
        <v/>
      </c>
      <c r="AC480" s="37" t="str">
        <f>IF(NOTA[[#This Row],[JUMLAH]]="","",NOTA[[#This Row],[JUMLAH]]-NOTA[[#This Row],[DISC]])</f>
        <v/>
      </c>
      <c r="AD480" s="37"/>
      <c r="AE4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0" s="37" t="str">
        <f>IF(OR(NOTA[[#This Row],[QTY]]="",NOTA[[#This Row],[HARGA SATUAN]]="",),"",NOTA[[#This Row],[QTY]]*NOTA[[#This Row],[HARGA SATUAN]])</f>
        <v/>
      </c>
      <c r="AI480" s="26" t="str">
        <f ca="1">IF(NOTA[[#This Row],[ID_H]]="","",INDEX(NOTA[TANGGAL],MATCH(,INDIRECT(ADDRESS(ROW(NOTA[TANGGAL]),COLUMN(NOTA[TANGGAL]))&amp;":"&amp;ADDRESS(ROW(),COLUMN(NOTA[TANGGAL]))),-1)))</f>
        <v/>
      </c>
      <c r="AJ480" s="26" t="str">
        <f ca="1">IF(NOTA[[#This Row],[ID_H]]="","",INDEX(NOTA[TGL.NOTA],MATCH(,INDIRECT(ADDRESS(ROW(NOTA[TGL.NOTA]),COLUMN(NOTA[TGL.NOTA]))&amp;":"&amp;ADDRESS(ROW(),COLUMN(NOTA[TGL.NOTA]))),-1)))</f>
        <v/>
      </c>
      <c r="AK480" s="26" t="str">
        <f ca="1">IF(NOTA[[#This Row],[ID_H]]="","",INDEX(NOTA[NO.NOTA],MATCH(NOTA[[#This Row],[ID_H]],NOTA[ID_H],0)))</f>
        <v/>
      </c>
      <c r="AL480" s="28" t="str">
        <f ca="1">IF(NOTA[[#This Row],[NAMA BARANG]]="","",INDEX(NOTA[SUPPLIER],MATCH(,INDIRECT(ADDRESS(ROW(NOTA[ID]),COLUMN(NOTA[ID]))&amp;":"&amp;ADDRESS(ROW(),COLUMN(NOTA[ID]))),-1)))</f>
        <v/>
      </c>
      <c r="AM480" s="28" t="str">
        <f ca="1">IF(NOTA[[#This Row],[ID_H]]="","",IF(NOTA[[#This Row],[FAKTUR]]="",INDIRECT(ADDRESS(ROW()-1,COLUMN())),NOTA[[#This Row],[FAKTUR]]))</f>
        <v/>
      </c>
      <c r="AN480" s="25" t="str">
        <f ca="1">IF(NOTA[[#This Row],[ID]]="","",COUNTIF(NOTA[ID_H],NOTA[[#This Row],[ID_H]]))</f>
        <v/>
      </c>
      <c r="AO480" s="25" t="str">
        <f ca="1">IF(NOTA[[#This Row],[TGL.NOTA]]="",IF(NOTA[[#This Row],[SUPPLIER_H]]="","",AO479),MONTH(NOTA[[#This Row],[TGL.NOTA]]))</f>
        <v/>
      </c>
      <c r="AP4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0" s="25"/>
      <c r="AU480" s="25" t="str">
        <f>IF(NOTA[[#This Row],[CONCAT1]]="","",MATCH(NOTA[[#This Row],[CONCAT1]],[3]!db[NB NOTA_C],0))</f>
        <v/>
      </c>
      <c r="AV480" s="25" t="str">
        <f>IF(NOTA[[#This Row],[QTY/ CTN]]="","",TRUE)</f>
        <v/>
      </c>
      <c r="AW480" s="25" t="str">
        <f ca="1">IF(NOTA[[#This Row],[ID_H]]="","",IF(NOTA[[#This Row],[Column3]]=TRUE,NOTA[[#This Row],[QTY/ CTN]],INDEX([3]!db[QTY/ CTN],NOTA[[#This Row],[//DB]])))</f>
        <v/>
      </c>
      <c r="AX4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0" s="25" t="str">
        <f ca="1">IF(NOTA[[#This Row],[ID_H]]="","",MATCH(NOTA[[#This Row],[NB NOTA_C_QTY]],[3]!db[NB NOTA_C_QTY+F],0))</f>
        <v/>
      </c>
      <c r="AZ480" s="38" t="str">
        <f ca="1">IF(NOTA[[#This Row],[NB NOTA_C_QTY]]="","",ROW()-2)</f>
        <v/>
      </c>
    </row>
    <row r="481" spans="1:52" ht="20.100000000000001" customHeight="1">
      <c r="A4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1" s="25" t="str">
        <f ca="1">IF(NOTA[[#This Row],[NAMA BARANG]]="","",INDEX(NOTA[ID],MATCH(,INDIRECT(ADDRESS(ROW(NOTA[ID]),COLUMN(NOTA[ID]))&amp;":"&amp;ADDRESS(ROW(),COLUMN(NOTA[ID]))),-1)))</f>
        <v/>
      </c>
      <c r="E481" s="33"/>
      <c r="H481" s="34"/>
      <c r="Q481" s="29"/>
      <c r="R481" s="35"/>
      <c r="S481" s="36"/>
      <c r="V481" s="37"/>
      <c r="W481" s="32"/>
      <c r="X481" s="37" t="str">
        <f>IF(NOTA[[#This Row],[HARGA/ CTN]]="",NOTA[[#This Row],[JUMLAH_H]],NOTA[[#This Row],[HARGA/ CTN]]*IF(NOTA[[#This Row],[C]]="",0,NOTA[[#This Row],[C]]))</f>
        <v/>
      </c>
      <c r="Y481" s="37" t="str">
        <f>IF(NOTA[[#This Row],[JUMLAH]]="","",NOTA[[#This Row],[JUMLAH]]*NOTA[[#This Row],[DISC 1]])</f>
        <v/>
      </c>
      <c r="Z481" s="37" t="str">
        <f>IF(NOTA[[#This Row],[JUMLAH]]="","",(NOTA[[#This Row],[JUMLAH]]-NOTA[[#This Row],[DISC 1-]])*NOTA[[#This Row],[DISC 2]])</f>
        <v/>
      </c>
      <c r="AA481" s="37" t="str">
        <f>IF(NOTA[[#This Row],[JUMLAH]]="","",(NOTA[[#This Row],[JUMLAH]]-NOTA[[#This Row],[DISC 1-]]-NOTA[[#This Row],[DISC 2-]])*NOTA[[#This Row],[DISC 3]])</f>
        <v/>
      </c>
      <c r="AB481" s="37" t="str">
        <f>IF(NOTA[[#This Row],[JUMLAH]]="","",NOTA[[#This Row],[DISC 1-]]+NOTA[[#This Row],[DISC 2-]]+NOTA[[#This Row],[DISC 3-]])</f>
        <v/>
      </c>
      <c r="AC481" s="37" t="str">
        <f>IF(NOTA[[#This Row],[JUMLAH]]="","",NOTA[[#This Row],[JUMLAH]]-NOTA[[#This Row],[DISC]])</f>
        <v/>
      </c>
      <c r="AD481" s="37"/>
      <c r="AE4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1" s="37" t="str">
        <f>IF(OR(NOTA[[#This Row],[QTY]]="",NOTA[[#This Row],[HARGA SATUAN]]="",),"",NOTA[[#This Row],[QTY]]*NOTA[[#This Row],[HARGA SATUAN]])</f>
        <v/>
      </c>
      <c r="AI481" s="26" t="str">
        <f ca="1">IF(NOTA[[#This Row],[ID_H]]="","",INDEX(NOTA[TANGGAL],MATCH(,INDIRECT(ADDRESS(ROW(NOTA[TANGGAL]),COLUMN(NOTA[TANGGAL]))&amp;":"&amp;ADDRESS(ROW(),COLUMN(NOTA[TANGGAL]))),-1)))</f>
        <v/>
      </c>
      <c r="AJ481" s="26" t="str">
        <f ca="1">IF(NOTA[[#This Row],[ID_H]]="","",INDEX(NOTA[TGL.NOTA],MATCH(,INDIRECT(ADDRESS(ROW(NOTA[TGL.NOTA]),COLUMN(NOTA[TGL.NOTA]))&amp;":"&amp;ADDRESS(ROW(),COLUMN(NOTA[TGL.NOTA]))),-1)))</f>
        <v/>
      </c>
      <c r="AK481" s="26" t="str">
        <f ca="1">IF(NOTA[[#This Row],[ID_H]]="","",INDEX(NOTA[NO.NOTA],MATCH(NOTA[[#This Row],[ID_H]],NOTA[ID_H],0)))</f>
        <v/>
      </c>
      <c r="AL481" s="28" t="str">
        <f ca="1">IF(NOTA[[#This Row],[NAMA BARANG]]="","",INDEX(NOTA[SUPPLIER],MATCH(,INDIRECT(ADDRESS(ROW(NOTA[ID]),COLUMN(NOTA[ID]))&amp;":"&amp;ADDRESS(ROW(),COLUMN(NOTA[ID]))),-1)))</f>
        <v/>
      </c>
      <c r="AM481" s="28" t="str">
        <f ca="1">IF(NOTA[[#This Row],[ID_H]]="","",IF(NOTA[[#This Row],[FAKTUR]]="",INDIRECT(ADDRESS(ROW()-1,COLUMN())),NOTA[[#This Row],[FAKTUR]]))</f>
        <v/>
      </c>
      <c r="AN481" s="25" t="str">
        <f ca="1">IF(NOTA[[#This Row],[ID]]="","",COUNTIF(NOTA[ID_H],NOTA[[#This Row],[ID_H]]))</f>
        <v/>
      </c>
      <c r="AO481" s="25" t="str">
        <f ca="1">IF(NOTA[[#This Row],[TGL.NOTA]]="",IF(NOTA[[#This Row],[SUPPLIER_H]]="","",AO480),MONTH(NOTA[[#This Row],[TGL.NOTA]]))</f>
        <v/>
      </c>
      <c r="AP4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1" s="25"/>
      <c r="AU481" s="25" t="str">
        <f>IF(NOTA[[#This Row],[CONCAT1]]="","",MATCH(NOTA[[#This Row],[CONCAT1]],[3]!db[NB NOTA_C],0))</f>
        <v/>
      </c>
      <c r="AV481" s="25" t="str">
        <f>IF(NOTA[[#This Row],[QTY/ CTN]]="","",TRUE)</f>
        <v/>
      </c>
      <c r="AW481" s="25" t="str">
        <f ca="1">IF(NOTA[[#This Row],[ID_H]]="","",IF(NOTA[[#This Row],[Column3]]=TRUE,NOTA[[#This Row],[QTY/ CTN]],INDEX([3]!db[QTY/ CTN],NOTA[[#This Row],[//DB]])))</f>
        <v/>
      </c>
      <c r="AX4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1" s="25" t="str">
        <f ca="1">IF(NOTA[[#This Row],[ID_H]]="","",MATCH(NOTA[[#This Row],[NB NOTA_C_QTY]],[3]!db[NB NOTA_C_QTY+F],0))</f>
        <v/>
      </c>
      <c r="AZ481" s="38" t="str">
        <f ca="1">IF(NOTA[[#This Row],[NB NOTA_C_QTY]]="","",ROW()-2)</f>
        <v/>
      </c>
    </row>
    <row r="482" spans="1:52" ht="20.100000000000001" customHeight="1">
      <c r="A4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2" s="25" t="str">
        <f ca="1">IF(NOTA[[#This Row],[NAMA BARANG]]="","",INDEX(NOTA[ID],MATCH(,INDIRECT(ADDRESS(ROW(NOTA[ID]),COLUMN(NOTA[ID]))&amp;":"&amp;ADDRESS(ROW(),COLUMN(NOTA[ID]))),-1)))</f>
        <v/>
      </c>
      <c r="E482" s="33"/>
      <c r="H482" s="34"/>
      <c r="Q482" s="29"/>
      <c r="R482" s="35"/>
      <c r="S482" s="36"/>
      <c r="V482" s="37"/>
      <c r="W482" s="32"/>
      <c r="X482" s="37" t="str">
        <f>IF(NOTA[[#This Row],[HARGA/ CTN]]="",NOTA[[#This Row],[JUMLAH_H]],NOTA[[#This Row],[HARGA/ CTN]]*IF(NOTA[[#This Row],[C]]="",0,NOTA[[#This Row],[C]]))</f>
        <v/>
      </c>
      <c r="Y482" s="37" t="str">
        <f>IF(NOTA[[#This Row],[JUMLAH]]="","",NOTA[[#This Row],[JUMLAH]]*NOTA[[#This Row],[DISC 1]])</f>
        <v/>
      </c>
      <c r="Z482" s="37" t="str">
        <f>IF(NOTA[[#This Row],[JUMLAH]]="","",(NOTA[[#This Row],[JUMLAH]]-NOTA[[#This Row],[DISC 1-]])*NOTA[[#This Row],[DISC 2]])</f>
        <v/>
      </c>
      <c r="AA482" s="37" t="str">
        <f>IF(NOTA[[#This Row],[JUMLAH]]="","",(NOTA[[#This Row],[JUMLAH]]-NOTA[[#This Row],[DISC 1-]]-NOTA[[#This Row],[DISC 2-]])*NOTA[[#This Row],[DISC 3]])</f>
        <v/>
      </c>
      <c r="AB482" s="37" t="str">
        <f>IF(NOTA[[#This Row],[JUMLAH]]="","",NOTA[[#This Row],[DISC 1-]]+NOTA[[#This Row],[DISC 2-]]+NOTA[[#This Row],[DISC 3-]])</f>
        <v/>
      </c>
      <c r="AC482" s="37" t="str">
        <f>IF(NOTA[[#This Row],[JUMLAH]]="","",NOTA[[#This Row],[JUMLAH]]-NOTA[[#This Row],[DISC]])</f>
        <v/>
      </c>
      <c r="AD482" s="37"/>
      <c r="AE4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2" s="37" t="str">
        <f>IF(OR(NOTA[[#This Row],[QTY]]="",NOTA[[#This Row],[HARGA SATUAN]]="",),"",NOTA[[#This Row],[QTY]]*NOTA[[#This Row],[HARGA SATUAN]])</f>
        <v/>
      </c>
      <c r="AI482" s="26" t="str">
        <f ca="1">IF(NOTA[[#This Row],[ID_H]]="","",INDEX(NOTA[TANGGAL],MATCH(,INDIRECT(ADDRESS(ROW(NOTA[TANGGAL]),COLUMN(NOTA[TANGGAL]))&amp;":"&amp;ADDRESS(ROW(),COLUMN(NOTA[TANGGAL]))),-1)))</f>
        <v/>
      </c>
      <c r="AJ482" s="26" t="str">
        <f ca="1">IF(NOTA[[#This Row],[ID_H]]="","",INDEX(NOTA[TGL.NOTA],MATCH(,INDIRECT(ADDRESS(ROW(NOTA[TGL.NOTA]),COLUMN(NOTA[TGL.NOTA]))&amp;":"&amp;ADDRESS(ROW(),COLUMN(NOTA[TGL.NOTA]))),-1)))</f>
        <v/>
      </c>
      <c r="AK482" s="26" t="str">
        <f ca="1">IF(NOTA[[#This Row],[ID_H]]="","",INDEX(NOTA[NO.NOTA],MATCH(NOTA[[#This Row],[ID_H]],NOTA[ID_H],0)))</f>
        <v/>
      </c>
      <c r="AL482" s="28" t="str">
        <f ca="1">IF(NOTA[[#This Row],[NAMA BARANG]]="","",INDEX(NOTA[SUPPLIER],MATCH(,INDIRECT(ADDRESS(ROW(NOTA[ID]),COLUMN(NOTA[ID]))&amp;":"&amp;ADDRESS(ROW(),COLUMN(NOTA[ID]))),-1)))</f>
        <v/>
      </c>
      <c r="AM482" s="28" t="str">
        <f ca="1">IF(NOTA[[#This Row],[ID_H]]="","",IF(NOTA[[#This Row],[FAKTUR]]="",INDIRECT(ADDRESS(ROW()-1,COLUMN())),NOTA[[#This Row],[FAKTUR]]))</f>
        <v/>
      </c>
      <c r="AN482" s="25" t="str">
        <f ca="1">IF(NOTA[[#This Row],[ID]]="","",COUNTIF(NOTA[ID_H],NOTA[[#This Row],[ID_H]]))</f>
        <v/>
      </c>
      <c r="AO482" s="25" t="str">
        <f ca="1">IF(NOTA[[#This Row],[TGL.NOTA]]="",IF(NOTA[[#This Row],[SUPPLIER_H]]="","",AO481),MONTH(NOTA[[#This Row],[TGL.NOTA]]))</f>
        <v/>
      </c>
      <c r="AP4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2" s="25"/>
      <c r="AU482" s="25" t="str">
        <f>IF(NOTA[[#This Row],[CONCAT1]]="","",MATCH(NOTA[[#This Row],[CONCAT1]],[3]!db[NB NOTA_C],0))</f>
        <v/>
      </c>
      <c r="AV482" s="25" t="str">
        <f>IF(NOTA[[#This Row],[QTY/ CTN]]="","",TRUE)</f>
        <v/>
      </c>
      <c r="AW482" s="25" t="str">
        <f ca="1">IF(NOTA[[#This Row],[ID_H]]="","",IF(NOTA[[#This Row],[Column3]]=TRUE,NOTA[[#This Row],[QTY/ CTN]],INDEX([3]!db[QTY/ CTN],NOTA[[#This Row],[//DB]])))</f>
        <v/>
      </c>
      <c r="AX4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2" s="25" t="str">
        <f ca="1">IF(NOTA[[#This Row],[ID_H]]="","",MATCH(NOTA[[#This Row],[NB NOTA_C_QTY]],[3]!db[NB NOTA_C_QTY+F],0))</f>
        <v/>
      </c>
      <c r="AZ482" s="38" t="str">
        <f ca="1">IF(NOTA[[#This Row],[NB NOTA_C_QTY]]="","",ROW()-2)</f>
        <v/>
      </c>
    </row>
    <row r="483" spans="1:52" ht="20.100000000000001" customHeight="1">
      <c r="A4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3" s="25" t="str">
        <f ca="1">IF(NOTA[[#This Row],[NAMA BARANG]]="","",INDEX(NOTA[ID],MATCH(,INDIRECT(ADDRESS(ROW(NOTA[ID]),COLUMN(NOTA[ID]))&amp;":"&amp;ADDRESS(ROW(),COLUMN(NOTA[ID]))),-1)))</f>
        <v/>
      </c>
      <c r="E483" s="33"/>
      <c r="H483" s="34"/>
      <c r="Q483" s="29"/>
      <c r="R483" s="35"/>
      <c r="S483" s="36"/>
      <c r="V483" s="37"/>
      <c r="W483" s="32"/>
      <c r="X483" s="37" t="str">
        <f>IF(NOTA[[#This Row],[HARGA/ CTN]]="",NOTA[[#This Row],[JUMLAH_H]],NOTA[[#This Row],[HARGA/ CTN]]*IF(NOTA[[#This Row],[C]]="",0,NOTA[[#This Row],[C]]))</f>
        <v/>
      </c>
      <c r="Y483" s="37" t="str">
        <f>IF(NOTA[[#This Row],[JUMLAH]]="","",NOTA[[#This Row],[JUMLAH]]*NOTA[[#This Row],[DISC 1]])</f>
        <v/>
      </c>
      <c r="Z483" s="37" t="str">
        <f>IF(NOTA[[#This Row],[JUMLAH]]="","",(NOTA[[#This Row],[JUMLAH]]-NOTA[[#This Row],[DISC 1-]])*NOTA[[#This Row],[DISC 2]])</f>
        <v/>
      </c>
      <c r="AA483" s="37" t="str">
        <f>IF(NOTA[[#This Row],[JUMLAH]]="","",(NOTA[[#This Row],[JUMLAH]]-NOTA[[#This Row],[DISC 1-]]-NOTA[[#This Row],[DISC 2-]])*NOTA[[#This Row],[DISC 3]])</f>
        <v/>
      </c>
      <c r="AB483" s="37" t="str">
        <f>IF(NOTA[[#This Row],[JUMLAH]]="","",NOTA[[#This Row],[DISC 1-]]+NOTA[[#This Row],[DISC 2-]]+NOTA[[#This Row],[DISC 3-]])</f>
        <v/>
      </c>
      <c r="AC483" s="37" t="str">
        <f>IF(NOTA[[#This Row],[JUMLAH]]="","",NOTA[[#This Row],[JUMLAH]]-NOTA[[#This Row],[DISC]])</f>
        <v/>
      </c>
      <c r="AD483" s="37"/>
      <c r="AE4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3" s="37" t="str">
        <f>IF(OR(NOTA[[#This Row],[QTY]]="",NOTA[[#This Row],[HARGA SATUAN]]="",),"",NOTA[[#This Row],[QTY]]*NOTA[[#This Row],[HARGA SATUAN]])</f>
        <v/>
      </c>
      <c r="AI483" s="26" t="str">
        <f ca="1">IF(NOTA[[#This Row],[ID_H]]="","",INDEX(NOTA[TANGGAL],MATCH(,INDIRECT(ADDRESS(ROW(NOTA[TANGGAL]),COLUMN(NOTA[TANGGAL]))&amp;":"&amp;ADDRESS(ROW(),COLUMN(NOTA[TANGGAL]))),-1)))</f>
        <v/>
      </c>
      <c r="AJ483" s="26" t="str">
        <f ca="1">IF(NOTA[[#This Row],[ID_H]]="","",INDEX(NOTA[TGL.NOTA],MATCH(,INDIRECT(ADDRESS(ROW(NOTA[TGL.NOTA]),COLUMN(NOTA[TGL.NOTA]))&amp;":"&amp;ADDRESS(ROW(),COLUMN(NOTA[TGL.NOTA]))),-1)))</f>
        <v/>
      </c>
      <c r="AK483" s="26" t="str">
        <f ca="1">IF(NOTA[[#This Row],[ID_H]]="","",INDEX(NOTA[NO.NOTA],MATCH(NOTA[[#This Row],[ID_H]],NOTA[ID_H],0)))</f>
        <v/>
      </c>
      <c r="AL483" s="28" t="str">
        <f ca="1">IF(NOTA[[#This Row],[NAMA BARANG]]="","",INDEX(NOTA[SUPPLIER],MATCH(,INDIRECT(ADDRESS(ROW(NOTA[ID]),COLUMN(NOTA[ID]))&amp;":"&amp;ADDRESS(ROW(),COLUMN(NOTA[ID]))),-1)))</f>
        <v/>
      </c>
      <c r="AM483" s="28" t="str">
        <f ca="1">IF(NOTA[[#This Row],[ID_H]]="","",IF(NOTA[[#This Row],[FAKTUR]]="",INDIRECT(ADDRESS(ROW()-1,COLUMN())),NOTA[[#This Row],[FAKTUR]]))</f>
        <v/>
      </c>
      <c r="AN483" s="25" t="str">
        <f ca="1">IF(NOTA[[#This Row],[ID]]="","",COUNTIF(NOTA[ID_H],NOTA[[#This Row],[ID_H]]))</f>
        <v/>
      </c>
      <c r="AO483" s="25" t="str">
        <f ca="1">IF(NOTA[[#This Row],[TGL.NOTA]]="",IF(NOTA[[#This Row],[SUPPLIER_H]]="","",AO482),MONTH(NOTA[[#This Row],[TGL.NOTA]]))</f>
        <v/>
      </c>
      <c r="AP4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3" s="25"/>
      <c r="AU483" s="25" t="str">
        <f>IF(NOTA[[#This Row],[CONCAT1]]="","",MATCH(NOTA[[#This Row],[CONCAT1]],[3]!db[NB NOTA_C],0))</f>
        <v/>
      </c>
      <c r="AV483" s="25" t="str">
        <f>IF(NOTA[[#This Row],[QTY/ CTN]]="","",TRUE)</f>
        <v/>
      </c>
      <c r="AW483" s="25" t="str">
        <f ca="1">IF(NOTA[[#This Row],[ID_H]]="","",IF(NOTA[[#This Row],[Column3]]=TRUE,NOTA[[#This Row],[QTY/ CTN]],INDEX([3]!db[QTY/ CTN],NOTA[[#This Row],[//DB]])))</f>
        <v/>
      </c>
      <c r="AX4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3" s="25" t="str">
        <f ca="1">IF(NOTA[[#This Row],[ID_H]]="","",MATCH(NOTA[[#This Row],[NB NOTA_C_QTY]],[3]!db[NB NOTA_C_QTY+F],0))</f>
        <v/>
      </c>
      <c r="AZ483" s="38" t="str">
        <f ca="1">IF(NOTA[[#This Row],[NB NOTA_C_QTY]]="","",ROW()-2)</f>
        <v/>
      </c>
    </row>
    <row r="484" spans="1:52" ht="20.100000000000001" customHeight="1">
      <c r="A4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4" s="25" t="str">
        <f ca="1">IF(NOTA[[#This Row],[NAMA BARANG]]="","",INDEX(NOTA[ID],MATCH(,INDIRECT(ADDRESS(ROW(NOTA[ID]),COLUMN(NOTA[ID]))&amp;":"&amp;ADDRESS(ROW(),COLUMN(NOTA[ID]))),-1)))</f>
        <v/>
      </c>
      <c r="E484" s="33"/>
      <c r="H484" s="34"/>
      <c r="Q484" s="29"/>
      <c r="R484" s="35"/>
      <c r="S484" s="36"/>
      <c r="V484" s="37"/>
      <c r="W484" s="32"/>
      <c r="X484" s="37" t="str">
        <f>IF(NOTA[[#This Row],[HARGA/ CTN]]="",NOTA[[#This Row],[JUMLAH_H]],NOTA[[#This Row],[HARGA/ CTN]]*IF(NOTA[[#This Row],[C]]="",0,NOTA[[#This Row],[C]]))</f>
        <v/>
      </c>
      <c r="Y484" s="37" t="str">
        <f>IF(NOTA[[#This Row],[JUMLAH]]="","",NOTA[[#This Row],[JUMLAH]]*NOTA[[#This Row],[DISC 1]])</f>
        <v/>
      </c>
      <c r="Z484" s="37" t="str">
        <f>IF(NOTA[[#This Row],[JUMLAH]]="","",(NOTA[[#This Row],[JUMLAH]]-NOTA[[#This Row],[DISC 1-]])*NOTA[[#This Row],[DISC 2]])</f>
        <v/>
      </c>
      <c r="AA484" s="37" t="str">
        <f>IF(NOTA[[#This Row],[JUMLAH]]="","",(NOTA[[#This Row],[JUMLAH]]-NOTA[[#This Row],[DISC 1-]]-NOTA[[#This Row],[DISC 2-]])*NOTA[[#This Row],[DISC 3]])</f>
        <v/>
      </c>
      <c r="AB484" s="37" t="str">
        <f>IF(NOTA[[#This Row],[JUMLAH]]="","",NOTA[[#This Row],[DISC 1-]]+NOTA[[#This Row],[DISC 2-]]+NOTA[[#This Row],[DISC 3-]])</f>
        <v/>
      </c>
      <c r="AC484" s="37" t="str">
        <f>IF(NOTA[[#This Row],[JUMLAH]]="","",NOTA[[#This Row],[JUMLAH]]-NOTA[[#This Row],[DISC]])</f>
        <v/>
      </c>
      <c r="AD484" s="37"/>
      <c r="AE4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4" s="37" t="str">
        <f>IF(OR(NOTA[[#This Row],[QTY]]="",NOTA[[#This Row],[HARGA SATUAN]]="",),"",NOTA[[#This Row],[QTY]]*NOTA[[#This Row],[HARGA SATUAN]])</f>
        <v/>
      </c>
      <c r="AI484" s="26" t="str">
        <f ca="1">IF(NOTA[[#This Row],[ID_H]]="","",INDEX(NOTA[TANGGAL],MATCH(,INDIRECT(ADDRESS(ROW(NOTA[TANGGAL]),COLUMN(NOTA[TANGGAL]))&amp;":"&amp;ADDRESS(ROW(),COLUMN(NOTA[TANGGAL]))),-1)))</f>
        <v/>
      </c>
      <c r="AJ484" s="26" t="str">
        <f ca="1">IF(NOTA[[#This Row],[ID_H]]="","",INDEX(NOTA[TGL.NOTA],MATCH(,INDIRECT(ADDRESS(ROW(NOTA[TGL.NOTA]),COLUMN(NOTA[TGL.NOTA]))&amp;":"&amp;ADDRESS(ROW(),COLUMN(NOTA[TGL.NOTA]))),-1)))</f>
        <v/>
      </c>
      <c r="AK484" s="26" t="str">
        <f ca="1">IF(NOTA[[#This Row],[ID_H]]="","",INDEX(NOTA[NO.NOTA],MATCH(NOTA[[#This Row],[ID_H]],NOTA[ID_H],0)))</f>
        <v/>
      </c>
      <c r="AL484" s="28" t="str">
        <f ca="1">IF(NOTA[[#This Row],[NAMA BARANG]]="","",INDEX(NOTA[SUPPLIER],MATCH(,INDIRECT(ADDRESS(ROW(NOTA[ID]),COLUMN(NOTA[ID]))&amp;":"&amp;ADDRESS(ROW(),COLUMN(NOTA[ID]))),-1)))</f>
        <v/>
      </c>
      <c r="AM484" s="28" t="str">
        <f ca="1">IF(NOTA[[#This Row],[ID_H]]="","",IF(NOTA[[#This Row],[FAKTUR]]="",INDIRECT(ADDRESS(ROW()-1,COLUMN())),NOTA[[#This Row],[FAKTUR]]))</f>
        <v/>
      </c>
      <c r="AN484" s="25" t="str">
        <f ca="1">IF(NOTA[[#This Row],[ID]]="","",COUNTIF(NOTA[ID_H],NOTA[[#This Row],[ID_H]]))</f>
        <v/>
      </c>
      <c r="AO484" s="25" t="str">
        <f ca="1">IF(NOTA[[#This Row],[TGL.NOTA]]="",IF(NOTA[[#This Row],[SUPPLIER_H]]="","",AO483),MONTH(NOTA[[#This Row],[TGL.NOTA]]))</f>
        <v/>
      </c>
      <c r="AP4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4" s="25"/>
      <c r="AU484" s="25" t="str">
        <f>IF(NOTA[[#This Row],[CONCAT1]]="","",MATCH(NOTA[[#This Row],[CONCAT1]],[3]!db[NB NOTA_C],0))</f>
        <v/>
      </c>
      <c r="AV484" s="25" t="str">
        <f>IF(NOTA[[#This Row],[QTY/ CTN]]="","",TRUE)</f>
        <v/>
      </c>
      <c r="AW484" s="25" t="str">
        <f ca="1">IF(NOTA[[#This Row],[ID_H]]="","",IF(NOTA[[#This Row],[Column3]]=TRUE,NOTA[[#This Row],[QTY/ CTN]],INDEX([3]!db[QTY/ CTN],NOTA[[#This Row],[//DB]])))</f>
        <v/>
      </c>
      <c r="AX4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4" s="25" t="str">
        <f ca="1">IF(NOTA[[#This Row],[ID_H]]="","",MATCH(NOTA[[#This Row],[NB NOTA_C_QTY]],[3]!db[NB NOTA_C_QTY+F],0))</f>
        <v/>
      </c>
      <c r="AZ484" s="38" t="str">
        <f ca="1">IF(NOTA[[#This Row],[NB NOTA_C_QTY]]="","",ROW()-2)</f>
        <v/>
      </c>
    </row>
    <row r="485" spans="1:52" ht="20.100000000000001" customHeight="1">
      <c r="A4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5" s="25" t="str">
        <f ca="1">IF(NOTA[[#This Row],[NAMA BARANG]]="","",INDEX(NOTA[ID],MATCH(,INDIRECT(ADDRESS(ROW(NOTA[ID]),COLUMN(NOTA[ID]))&amp;":"&amp;ADDRESS(ROW(),COLUMN(NOTA[ID]))),-1)))</f>
        <v/>
      </c>
      <c r="E485" s="33"/>
      <c r="H485" s="34"/>
      <c r="Q485" s="29"/>
      <c r="R485" s="35"/>
      <c r="S485" s="36"/>
      <c r="V485" s="37"/>
      <c r="W485" s="32"/>
      <c r="X485" s="37" t="str">
        <f>IF(NOTA[[#This Row],[HARGA/ CTN]]="",NOTA[[#This Row],[JUMLAH_H]],NOTA[[#This Row],[HARGA/ CTN]]*IF(NOTA[[#This Row],[C]]="",0,NOTA[[#This Row],[C]]))</f>
        <v/>
      </c>
      <c r="Y485" s="37" t="str">
        <f>IF(NOTA[[#This Row],[JUMLAH]]="","",NOTA[[#This Row],[JUMLAH]]*NOTA[[#This Row],[DISC 1]])</f>
        <v/>
      </c>
      <c r="Z485" s="37" t="str">
        <f>IF(NOTA[[#This Row],[JUMLAH]]="","",(NOTA[[#This Row],[JUMLAH]]-NOTA[[#This Row],[DISC 1-]])*NOTA[[#This Row],[DISC 2]])</f>
        <v/>
      </c>
      <c r="AA485" s="37" t="str">
        <f>IF(NOTA[[#This Row],[JUMLAH]]="","",(NOTA[[#This Row],[JUMLAH]]-NOTA[[#This Row],[DISC 1-]]-NOTA[[#This Row],[DISC 2-]])*NOTA[[#This Row],[DISC 3]])</f>
        <v/>
      </c>
      <c r="AB485" s="37" t="str">
        <f>IF(NOTA[[#This Row],[JUMLAH]]="","",NOTA[[#This Row],[DISC 1-]]+NOTA[[#This Row],[DISC 2-]]+NOTA[[#This Row],[DISC 3-]])</f>
        <v/>
      </c>
      <c r="AC485" s="37" t="str">
        <f>IF(NOTA[[#This Row],[JUMLAH]]="","",NOTA[[#This Row],[JUMLAH]]-NOTA[[#This Row],[DISC]])</f>
        <v/>
      </c>
      <c r="AD485" s="37"/>
      <c r="AE4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5" s="37" t="str">
        <f>IF(OR(NOTA[[#This Row],[QTY]]="",NOTA[[#This Row],[HARGA SATUAN]]="",),"",NOTA[[#This Row],[QTY]]*NOTA[[#This Row],[HARGA SATUAN]])</f>
        <v/>
      </c>
      <c r="AI485" s="26" t="str">
        <f ca="1">IF(NOTA[[#This Row],[ID_H]]="","",INDEX(NOTA[TANGGAL],MATCH(,INDIRECT(ADDRESS(ROW(NOTA[TANGGAL]),COLUMN(NOTA[TANGGAL]))&amp;":"&amp;ADDRESS(ROW(),COLUMN(NOTA[TANGGAL]))),-1)))</f>
        <v/>
      </c>
      <c r="AJ485" s="26" t="str">
        <f ca="1">IF(NOTA[[#This Row],[ID_H]]="","",INDEX(NOTA[TGL.NOTA],MATCH(,INDIRECT(ADDRESS(ROW(NOTA[TGL.NOTA]),COLUMN(NOTA[TGL.NOTA]))&amp;":"&amp;ADDRESS(ROW(),COLUMN(NOTA[TGL.NOTA]))),-1)))</f>
        <v/>
      </c>
      <c r="AK485" s="26" t="str">
        <f ca="1">IF(NOTA[[#This Row],[ID_H]]="","",INDEX(NOTA[NO.NOTA],MATCH(NOTA[[#This Row],[ID_H]],NOTA[ID_H],0)))</f>
        <v/>
      </c>
      <c r="AL485" s="28" t="str">
        <f ca="1">IF(NOTA[[#This Row],[NAMA BARANG]]="","",INDEX(NOTA[SUPPLIER],MATCH(,INDIRECT(ADDRESS(ROW(NOTA[ID]),COLUMN(NOTA[ID]))&amp;":"&amp;ADDRESS(ROW(),COLUMN(NOTA[ID]))),-1)))</f>
        <v/>
      </c>
      <c r="AM485" s="28" t="str">
        <f ca="1">IF(NOTA[[#This Row],[ID_H]]="","",IF(NOTA[[#This Row],[FAKTUR]]="",INDIRECT(ADDRESS(ROW()-1,COLUMN())),NOTA[[#This Row],[FAKTUR]]))</f>
        <v/>
      </c>
      <c r="AN485" s="25" t="str">
        <f ca="1">IF(NOTA[[#This Row],[ID]]="","",COUNTIF(NOTA[ID_H],NOTA[[#This Row],[ID_H]]))</f>
        <v/>
      </c>
      <c r="AO485" s="25" t="str">
        <f ca="1">IF(NOTA[[#This Row],[TGL.NOTA]]="",IF(NOTA[[#This Row],[SUPPLIER_H]]="","",AO484),MONTH(NOTA[[#This Row],[TGL.NOTA]]))</f>
        <v/>
      </c>
      <c r="AP4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5" s="25"/>
      <c r="AU485" s="25" t="str">
        <f>IF(NOTA[[#This Row],[CONCAT1]]="","",MATCH(NOTA[[#This Row],[CONCAT1]],[3]!db[NB NOTA_C],0))</f>
        <v/>
      </c>
      <c r="AV485" s="25" t="str">
        <f>IF(NOTA[[#This Row],[QTY/ CTN]]="","",TRUE)</f>
        <v/>
      </c>
      <c r="AW485" s="25" t="str">
        <f ca="1">IF(NOTA[[#This Row],[ID_H]]="","",IF(NOTA[[#This Row],[Column3]]=TRUE,NOTA[[#This Row],[QTY/ CTN]],INDEX([3]!db[QTY/ CTN],NOTA[[#This Row],[//DB]])))</f>
        <v/>
      </c>
      <c r="AX4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5" s="25" t="str">
        <f ca="1">IF(NOTA[[#This Row],[ID_H]]="","",MATCH(NOTA[[#This Row],[NB NOTA_C_QTY]],[3]!db[NB NOTA_C_QTY+F],0))</f>
        <v/>
      </c>
      <c r="AZ485" s="38" t="str">
        <f ca="1">IF(NOTA[[#This Row],[NB NOTA_C_QTY]]="","",ROW()-2)</f>
        <v/>
      </c>
    </row>
    <row r="486" spans="1:52" ht="20.100000000000001" customHeight="1">
      <c r="A4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6" s="25" t="str">
        <f ca="1">IF(NOTA[[#This Row],[NAMA BARANG]]="","",INDEX(NOTA[ID],MATCH(,INDIRECT(ADDRESS(ROW(NOTA[ID]),COLUMN(NOTA[ID]))&amp;":"&amp;ADDRESS(ROW(),COLUMN(NOTA[ID]))),-1)))</f>
        <v/>
      </c>
      <c r="E486" s="33"/>
      <c r="H486" s="34"/>
      <c r="Q486" s="29"/>
      <c r="R486" s="35"/>
      <c r="S486" s="36"/>
      <c r="V486" s="37"/>
      <c r="W486" s="32"/>
      <c r="X486" s="37" t="str">
        <f>IF(NOTA[[#This Row],[HARGA/ CTN]]="",NOTA[[#This Row],[JUMLAH_H]],NOTA[[#This Row],[HARGA/ CTN]]*IF(NOTA[[#This Row],[C]]="",0,NOTA[[#This Row],[C]]))</f>
        <v/>
      </c>
      <c r="Y486" s="37" t="str">
        <f>IF(NOTA[[#This Row],[JUMLAH]]="","",NOTA[[#This Row],[JUMLAH]]*NOTA[[#This Row],[DISC 1]])</f>
        <v/>
      </c>
      <c r="Z486" s="37" t="str">
        <f>IF(NOTA[[#This Row],[JUMLAH]]="","",(NOTA[[#This Row],[JUMLAH]]-NOTA[[#This Row],[DISC 1-]])*NOTA[[#This Row],[DISC 2]])</f>
        <v/>
      </c>
      <c r="AA486" s="37" t="str">
        <f>IF(NOTA[[#This Row],[JUMLAH]]="","",(NOTA[[#This Row],[JUMLAH]]-NOTA[[#This Row],[DISC 1-]]-NOTA[[#This Row],[DISC 2-]])*NOTA[[#This Row],[DISC 3]])</f>
        <v/>
      </c>
      <c r="AB486" s="37" t="str">
        <f>IF(NOTA[[#This Row],[JUMLAH]]="","",NOTA[[#This Row],[DISC 1-]]+NOTA[[#This Row],[DISC 2-]]+NOTA[[#This Row],[DISC 3-]])</f>
        <v/>
      </c>
      <c r="AC486" s="37" t="str">
        <f>IF(NOTA[[#This Row],[JUMLAH]]="","",NOTA[[#This Row],[JUMLAH]]-NOTA[[#This Row],[DISC]])</f>
        <v/>
      </c>
      <c r="AD486" s="37"/>
      <c r="AE4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6" s="37" t="str">
        <f>IF(OR(NOTA[[#This Row],[QTY]]="",NOTA[[#This Row],[HARGA SATUAN]]="",),"",NOTA[[#This Row],[QTY]]*NOTA[[#This Row],[HARGA SATUAN]])</f>
        <v/>
      </c>
      <c r="AI486" s="26" t="str">
        <f ca="1">IF(NOTA[[#This Row],[ID_H]]="","",INDEX(NOTA[TANGGAL],MATCH(,INDIRECT(ADDRESS(ROW(NOTA[TANGGAL]),COLUMN(NOTA[TANGGAL]))&amp;":"&amp;ADDRESS(ROW(),COLUMN(NOTA[TANGGAL]))),-1)))</f>
        <v/>
      </c>
      <c r="AJ486" s="26" t="str">
        <f ca="1">IF(NOTA[[#This Row],[ID_H]]="","",INDEX(NOTA[TGL.NOTA],MATCH(,INDIRECT(ADDRESS(ROW(NOTA[TGL.NOTA]),COLUMN(NOTA[TGL.NOTA]))&amp;":"&amp;ADDRESS(ROW(),COLUMN(NOTA[TGL.NOTA]))),-1)))</f>
        <v/>
      </c>
      <c r="AK486" s="26" t="str">
        <f ca="1">IF(NOTA[[#This Row],[ID_H]]="","",INDEX(NOTA[NO.NOTA],MATCH(NOTA[[#This Row],[ID_H]],NOTA[ID_H],0)))</f>
        <v/>
      </c>
      <c r="AL486" s="28" t="str">
        <f ca="1">IF(NOTA[[#This Row],[NAMA BARANG]]="","",INDEX(NOTA[SUPPLIER],MATCH(,INDIRECT(ADDRESS(ROW(NOTA[ID]),COLUMN(NOTA[ID]))&amp;":"&amp;ADDRESS(ROW(),COLUMN(NOTA[ID]))),-1)))</f>
        <v/>
      </c>
      <c r="AM486" s="28" t="str">
        <f ca="1">IF(NOTA[[#This Row],[ID_H]]="","",IF(NOTA[[#This Row],[FAKTUR]]="",INDIRECT(ADDRESS(ROW()-1,COLUMN())),NOTA[[#This Row],[FAKTUR]]))</f>
        <v/>
      </c>
      <c r="AN486" s="25" t="str">
        <f ca="1">IF(NOTA[[#This Row],[ID]]="","",COUNTIF(NOTA[ID_H],NOTA[[#This Row],[ID_H]]))</f>
        <v/>
      </c>
      <c r="AO486" s="25" t="str">
        <f ca="1">IF(NOTA[[#This Row],[TGL.NOTA]]="",IF(NOTA[[#This Row],[SUPPLIER_H]]="","",AO485),MONTH(NOTA[[#This Row],[TGL.NOTA]]))</f>
        <v/>
      </c>
      <c r="AP4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6" s="25"/>
      <c r="AU486" s="25" t="str">
        <f>IF(NOTA[[#This Row],[CONCAT1]]="","",MATCH(NOTA[[#This Row],[CONCAT1]],[3]!db[NB NOTA_C],0))</f>
        <v/>
      </c>
      <c r="AV486" s="25" t="str">
        <f>IF(NOTA[[#This Row],[QTY/ CTN]]="","",TRUE)</f>
        <v/>
      </c>
      <c r="AW486" s="25" t="str">
        <f ca="1">IF(NOTA[[#This Row],[ID_H]]="","",IF(NOTA[[#This Row],[Column3]]=TRUE,NOTA[[#This Row],[QTY/ CTN]],INDEX([3]!db[QTY/ CTN],NOTA[[#This Row],[//DB]])))</f>
        <v/>
      </c>
      <c r="AX4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6" s="25" t="str">
        <f ca="1">IF(NOTA[[#This Row],[ID_H]]="","",MATCH(NOTA[[#This Row],[NB NOTA_C_QTY]],[3]!db[NB NOTA_C_QTY+F],0))</f>
        <v/>
      </c>
      <c r="AZ486" s="38" t="str">
        <f ca="1">IF(NOTA[[#This Row],[NB NOTA_C_QTY]]="","",ROW()-2)</f>
        <v/>
      </c>
    </row>
    <row r="487" spans="1:52" ht="20.100000000000001" customHeight="1">
      <c r="A4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7" s="25" t="str">
        <f ca="1">IF(NOTA[[#This Row],[NAMA BARANG]]="","",INDEX(NOTA[ID],MATCH(,INDIRECT(ADDRESS(ROW(NOTA[ID]),COLUMN(NOTA[ID]))&amp;":"&amp;ADDRESS(ROW(),COLUMN(NOTA[ID]))),-1)))</f>
        <v/>
      </c>
      <c r="E487" s="33"/>
      <c r="H487" s="34"/>
      <c r="Q487" s="29"/>
      <c r="R487" s="35"/>
      <c r="S487" s="36"/>
      <c r="V487" s="37"/>
      <c r="W487" s="32"/>
      <c r="X487" s="37" t="str">
        <f>IF(NOTA[[#This Row],[HARGA/ CTN]]="",NOTA[[#This Row],[JUMLAH_H]],NOTA[[#This Row],[HARGA/ CTN]]*IF(NOTA[[#This Row],[C]]="",0,NOTA[[#This Row],[C]]))</f>
        <v/>
      </c>
      <c r="Y487" s="37" t="str">
        <f>IF(NOTA[[#This Row],[JUMLAH]]="","",NOTA[[#This Row],[JUMLAH]]*NOTA[[#This Row],[DISC 1]])</f>
        <v/>
      </c>
      <c r="Z487" s="37" t="str">
        <f>IF(NOTA[[#This Row],[JUMLAH]]="","",(NOTA[[#This Row],[JUMLAH]]-NOTA[[#This Row],[DISC 1-]])*NOTA[[#This Row],[DISC 2]])</f>
        <v/>
      </c>
      <c r="AA487" s="37" t="str">
        <f>IF(NOTA[[#This Row],[JUMLAH]]="","",(NOTA[[#This Row],[JUMLAH]]-NOTA[[#This Row],[DISC 1-]]-NOTA[[#This Row],[DISC 2-]])*NOTA[[#This Row],[DISC 3]])</f>
        <v/>
      </c>
      <c r="AB487" s="37" t="str">
        <f>IF(NOTA[[#This Row],[JUMLAH]]="","",NOTA[[#This Row],[DISC 1-]]+NOTA[[#This Row],[DISC 2-]]+NOTA[[#This Row],[DISC 3-]])</f>
        <v/>
      </c>
      <c r="AC487" s="37" t="str">
        <f>IF(NOTA[[#This Row],[JUMLAH]]="","",NOTA[[#This Row],[JUMLAH]]-NOTA[[#This Row],[DISC]])</f>
        <v/>
      </c>
      <c r="AD487" s="37"/>
      <c r="AE4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7" s="37" t="str">
        <f>IF(OR(NOTA[[#This Row],[QTY]]="",NOTA[[#This Row],[HARGA SATUAN]]="",),"",NOTA[[#This Row],[QTY]]*NOTA[[#This Row],[HARGA SATUAN]])</f>
        <v/>
      </c>
      <c r="AI487" s="26" t="str">
        <f ca="1">IF(NOTA[[#This Row],[ID_H]]="","",INDEX(NOTA[TANGGAL],MATCH(,INDIRECT(ADDRESS(ROW(NOTA[TANGGAL]),COLUMN(NOTA[TANGGAL]))&amp;":"&amp;ADDRESS(ROW(),COLUMN(NOTA[TANGGAL]))),-1)))</f>
        <v/>
      </c>
      <c r="AJ487" s="26" t="str">
        <f ca="1">IF(NOTA[[#This Row],[ID_H]]="","",INDEX(NOTA[TGL.NOTA],MATCH(,INDIRECT(ADDRESS(ROW(NOTA[TGL.NOTA]),COLUMN(NOTA[TGL.NOTA]))&amp;":"&amp;ADDRESS(ROW(),COLUMN(NOTA[TGL.NOTA]))),-1)))</f>
        <v/>
      </c>
      <c r="AK487" s="26" t="str">
        <f ca="1">IF(NOTA[[#This Row],[ID_H]]="","",INDEX(NOTA[NO.NOTA],MATCH(NOTA[[#This Row],[ID_H]],NOTA[ID_H],0)))</f>
        <v/>
      </c>
      <c r="AL487" s="28" t="str">
        <f ca="1">IF(NOTA[[#This Row],[NAMA BARANG]]="","",INDEX(NOTA[SUPPLIER],MATCH(,INDIRECT(ADDRESS(ROW(NOTA[ID]),COLUMN(NOTA[ID]))&amp;":"&amp;ADDRESS(ROW(),COLUMN(NOTA[ID]))),-1)))</f>
        <v/>
      </c>
      <c r="AM487" s="28" t="str">
        <f ca="1">IF(NOTA[[#This Row],[ID_H]]="","",IF(NOTA[[#This Row],[FAKTUR]]="",INDIRECT(ADDRESS(ROW()-1,COLUMN())),NOTA[[#This Row],[FAKTUR]]))</f>
        <v/>
      </c>
      <c r="AN487" s="25" t="str">
        <f ca="1">IF(NOTA[[#This Row],[ID]]="","",COUNTIF(NOTA[ID_H],NOTA[[#This Row],[ID_H]]))</f>
        <v/>
      </c>
      <c r="AO487" s="25" t="str">
        <f ca="1">IF(NOTA[[#This Row],[TGL.NOTA]]="",IF(NOTA[[#This Row],[SUPPLIER_H]]="","",AO486),MONTH(NOTA[[#This Row],[TGL.NOTA]]))</f>
        <v/>
      </c>
      <c r="AP4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7" s="25"/>
      <c r="AU487" s="25" t="str">
        <f>IF(NOTA[[#This Row],[CONCAT1]]="","",MATCH(NOTA[[#This Row],[CONCAT1]],[3]!db[NB NOTA_C],0))</f>
        <v/>
      </c>
      <c r="AV487" s="25" t="str">
        <f>IF(NOTA[[#This Row],[QTY/ CTN]]="","",TRUE)</f>
        <v/>
      </c>
      <c r="AW487" s="25" t="str">
        <f ca="1">IF(NOTA[[#This Row],[ID_H]]="","",IF(NOTA[[#This Row],[Column3]]=TRUE,NOTA[[#This Row],[QTY/ CTN]],INDEX([3]!db[QTY/ CTN],NOTA[[#This Row],[//DB]])))</f>
        <v/>
      </c>
      <c r="AX4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7" s="25" t="str">
        <f ca="1">IF(NOTA[[#This Row],[ID_H]]="","",MATCH(NOTA[[#This Row],[NB NOTA_C_QTY]],[3]!db[NB NOTA_C_QTY+F],0))</f>
        <v/>
      </c>
      <c r="AZ487" s="38" t="str">
        <f ca="1">IF(NOTA[[#This Row],[NB NOTA_C_QTY]]="","",ROW()-2)</f>
        <v/>
      </c>
    </row>
    <row r="488" spans="1:52" ht="20.100000000000001" customHeight="1">
      <c r="A4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8" s="25" t="str">
        <f ca="1">IF(NOTA[[#This Row],[NAMA BARANG]]="","",INDEX(NOTA[ID],MATCH(,INDIRECT(ADDRESS(ROW(NOTA[ID]),COLUMN(NOTA[ID]))&amp;":"&amp;ADDRESS(ROW(),COLUMN(NOTA[ID]))),-1)))</f>
        <v/>
      </c>
      <c r="E488" s="33"/>
      <c r="H488" s="34"/>
      <c r="Q488" s="29"/>
      <c r="R488" s="35"/>
      <c r="S488" s="36"/>
      <c r="V488" s="37"/>
      <c r="W488" s="32"/>
      <c r="X488" s="37" t="str">
        <f>IF(NOTA[[#This Row],[HARGA/ CTN]]="",NOTA[[#This Row],[JUMLAH_H]],NOTA[[#This Row],[HARGA/ CTN]]*IF(NOTA[[#This Row],[C]]="",0,NOTA[[#This Row],[C]]))</f>
        <v/>
      </c>
      <c r="Y488" s="37" t="str">
        <f>IF(NOTA[[#This Row],[JUMLAH]]="","",NOTA[[#This Row],[JUMLAH]]*NOTA[[#This Row],[DISC 1]])</f>
        <v/>
      </c>
      <c r="Z488" s="37" t="str">
        <f>IF(NOTA[[#This Row],[JUMLAH]]="","",(NOTA[[#This Row],[JUMLAH]]-NOTA[[#This Row],[DISC 1-]])*NOTA[[#This Row],[DISC 2]])</f>
        <v/>
      </c>
      <c r="AA488" s="37" t="str">
        <f>IF(NOTA[[#This Row],[JUMLAH]]="","",(NOTA[[#This Row],[JUMLAH]]-NOTA[[#This Row],[DISC 1-]]-NOTA[[#This Row],[DISC 2-]])*NOTA[[#This Row],[DISC 3]])</f>
        <v/>
      </c>
      <c r="AB488" s="37" t="str">
        <f>IF(NOTA[[#This Row],[JUMLAH]]="","",NOTA[[#This Row],[DISC 1-]]+NOTA[[#This Row],[DISC 2-]]+NOTA[[#This Row],[DISC 3-]])</f>
        <v/>
      </c>
      <c r="AC488" s="37" t="str">
        <f>IF(NOTA[[#This Row],[JUMLAH]]="","",NOTA[[#This Row],[JUMLAH]]-NOTA[[#This Row],[DISC]])</f>
        <v/>
      </c>
      <c r="AD488" s="37"/>
      <c r="AE4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8" s="37" t="str">
        <f>IF(OR(NOTA[[#This Row],[QTY]]="",NOTA[[#This Row],[HARGA SATUAN]]="",),"",NOTA[[#This Row],[QTY]]*NOTA[[#This Row],[HARGA SATUAN]])</f>
        <v/>
      </c>
      <c r="AI488" s="26" t="str">
        <f ca="1">IF(NOTA[[#This Row],[ID_H]]="","",INDEX(NOTA[TANGGAL],MATCH(,INDIRECT(ADDRESS(ROW(NOTA[TANGGAL]),COLUMN(NOTA[TANGGAL]))&amp;":"&amp;ADDRESS(ROW(),COLUMN(NOTA[TANGGAL]))),-1)))</f>
        <v/>
      </c>
      <c r="AJ488" s="26" t="str">
        <f ca="1">IF(NOTA[[#This Row],[ID_H]]="","",INDEX(NOTA[TGL.NOTA],MATCH(,INDIRECT(ADDRESS(ROW(NOTA[TGL.NOTA]),COLUMN(NOTA[TGL.NOTA]))&amp;":"&amp;ADDRESS(ROW(),COLUMN(NOTA[TGL.NOTA]))),-1)))</f>
        <v/>
      </c>
      <c r="AK488" s="26" t="str">
        <f ca="1">IF(NOTA[[#This Row],[ID_H]]="","",INDEX(NOTA[NO.NOTA],MATCH(NOTA[[#This Row],[ID_H]],NOTA[ID_H],0)))</f>
        <v/>
      </c>
      <c r="AL488" s="28" t="str">
        <f ca="1">IF(NOTA[[#This Row],[NAMA BARANG]]="","",INDEX(NOTA[SUPPLIER],MATCH(,INDIRECT(ADDRESS(ROW(NOTA[ID]),COLUMN(NOTA[ID]))&amp;":"&amp;ADDRESS(ROW(),COLUMN(NOTA[ID]))),-1)))</f>
        <v/>
      </c>
      <c r="AM488" s="28" t="str">
        <f ca="1">IF(NOTA[[#This Row],[ID_H]]="","",IF(NOTA[[#This Row],[FAKTUR]]="",INDIRECT(ADDRESS(ROW()-1,COLUMN())),NOTA[[#This Row],[FAKTUR]]))</f>
        <v/>
      </c>
      <c r="AN488" s="25" t="str">
        <f ca="1">IF(NOTA[[#This Row],[ID]]="","",COUNTIF(NOTA[ID_H],NOTA[[#This Row],[ID_H]]))</f>
        <v/>
      </c>
      <c r="AO488" s="25" t="str">
        <f ca="1">IF(NOTA[[#This Row],[TGL.NOTA]]="",IF(NOTA[[#This Row],[SUPPLIER_H]]="","",AO487),MONTH(NOTA[[#This Row],[TGL.NOTA]]))</f>
        <v/>
      </c>
      <c r="AP4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8" s="25"/>
      <c r="AU488" s="25" t="str">
        <f>IF(NOTA[[#This Row],[CONCAT1]]="","",MATCH(NOTA[[#This Row],[CONCAT1]],[3]!db[NB NOTA_C],0))</f>
        <v/>
      </c>
      <c r="AV488" s="25" t="str">
        <f>IF(NOTA[[#This Row],[QTY/ CTN]]="","",TRUE)</f>
        <v/>
      </c>
      <c r="AW488" s="25" t="str">
        <f ca="1">IF(NOTA[[#This Row],[ID_H]]="","",IF(NOTA[[#This Row],[Column3]]=TRUE,NOTA[[#This Row],[QTY/ CTN]],INDEX([3]!db[QTY/ CTN],NOTA[[#This Row],[//DB]])))</f>
        <v/>
      </c>
      <c r="AX4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8" s="25" t="str">
        <f ca="1">IF(NOTA[[#This Row],[ID_H]]="","",MATCH(NOTA[[#This Row],[NB NOTA_C_QTY]],[3]!db[NB NOTA_C_QTY+F],0))</f>
        <v/>
      </c>
      <c r="AZ488" s="38" t="str">
        <f ca="1">IF(NOTA[[#This Row],[NB NOTA_C_QTY]]="","",ROW()-2)</f>
        <v/>
      </c>
    </row>
    <row r="489" spans="1:52" ht="20.100000000000001" customHeight="1">
      <c r="A4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9" s="25" t="str">
        <f ca="1">IF(NOTA[[#This Row],[NAMA BARANG]]="","",INDEX(NOTA[ID],MATCH(,INDIRECT(ADDRESS(ROW(NOTA[ID]),COLUMN(NOTA[ID]))&amp;":"&amp;ADDRESS(ROW(),COLUMN(NOTA[ID]))),-1)))</f>
        <v/>
      </c>
      <c r="E489" s="33"/>
      <c r="H489" s="34"/>
      <c r="Q489" s="29"/>
      <c r="R489" s="35"/>
      <c r="S489" s="36"/>
      <c r="V489" s="37"/>
      <c r="W489" s="32"/>
      <c r="X489" s="37" t="str">
        <f>IF(NOTA[[#This Row],[HARGA/ CTN]]="",NOTA[[#This Row],[JUMLAH_H]],NOTA[[#This Row],[HARGA/ CTN]]*IF(NOTA[[#This Row],[C]]="",0,NOTA[[#This Row],[C]]))</f>
        <v/>
      </c>
      <c r="Y489" s="37" t="str">
        <f>IF(NOTA[[#This Row],[JUMLAH]]="","",NOTA[[#This Row],[JUMLAH]]*NOTA[[#This Row],[DISC 1]])</f>
        <v/>
      </c>
      <c r="Z489" s="37" t="str">
        <f>IF(NOTA[[#This Row],[JUMLAH]]="","",(NOTA[[#This Row],[JUMLAH]]-NOTA[[#This Row],[DISC 1-]])*NOTA[[#This Row],[DISC 2]])</f>
        <v/>
      </c>
      <c r="AA489" s="37" t="str">
        <f>IF(NOTA[[#This Row],[JUMLAH]]="","",(NOTA[[#This Row],[JUMLAH]]-NOTA[[#This Row],[DISC 1-]]-NOTA[[#This Row],[DISC 2-]])*NOTA[[#This Row],[DISC 3]])</f>
        <v/>
      </c>
      <c r="AB489" s="37" t="str">
        <f>IF(NOTA[[#This Row],[JUMLAH]]="","",NOTA[[#This Row],[DISC 1-]]+NOTA[[#This Row],[DISC 2-]]+NOTA[[#This Row],[DISC 3-]])</f>
        <v/>
      </c>
      <c r="AC489" s="37" t="str">
        <f>IF(NOTA[[#This Row],[JUMLAH]]="","",NOTA[[#This Row],[JUMLAH]]-NOTA[[#This Row],[DISC]])</f>
        <v/>
      </c>
      <c r="AD489" s="37"/>
      <c r="AE4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9" s="37" t="str">
        <f>IF(OR(NOTA[[#This Row],[QTY]]="",NOTA[[#This Row],[HARGA SATUAN]]="",),"",NOTA[[#This Row],[QTY]]*NOTA[[#This Row],[HARGA SATUAN]])</f>
        <v/>
      </c>
      <c r="AI489" s="26" t="str">
        <f ca="1">IF(NOTA[[#This Row],[ID_H]]="","",INDEX(NOTA[TANGGAL],MATCH(,INDIRECT(ADDRESS(ROW(NOTA[TANGGAL]),COLUMN(NOTA[TANGGAL]))&amp;":"&amp;ADDRESS(ROW(),COLUMN(NOTA[TANGGAL]))),-1)))</f>
        <v/>
      </c>
      <c r="AJ489" s="26" t="str">
        <f ca="1">IF(NOTA[[#This Row],[ID_H]]="","",INDEX(NOTA[TGL.NOTA],MATCH(,INDIRECT(ADDRESS(ROW(NOTA[TGL.NOTA]),COLUMN(NOTA[TGL.NOTA]))&amp;":"&amp;ADDRESS(ROW(),COLUMN(NOTA[TGL.NOTA]))),-1)))</f>
        <v/>
      </c>
      <c r="AK489" s="26" t="str">
        <f ca="1">IF(NOTA[[#This Row],[ID_H]]="","",INDEX(NOTA[NO.NOTA],MATCH(NOTA[[#This Row],[ID_H]],NOTA[ID_H],0)))</f>
        <v/>
      </c>
      <c r="AL489" s="28" t="str">
        <f ca="1">IF(NOTA[[#This Row],[NAMA BARANG]]="","",INDEX(NOTA[SUPPLIER],MATCH(,INDIRECT(ADDRESS(ROW(NOTA[ID]),COLUMN(NOTA[ID]))&amp;":"&amp;ADDRESS(ROW(),COLUMN(NOTA[ID]))),-1)))</f>
        <v/>
      </c>
      <c r="AM489" s="28" t="str">
        <f ca="1">IF(NOTA[[#This Row],[ID_H]]="","",IF(NOTA[[#This Row],[FAKTUR]]="",INDIRECT(ADDRESS(ROW()-1,COLUMN())),NOTA[[#This Row],[FAKTUR]]))</f>
        <v/>
      </c>
      <c r="AN489" s="25" t="str">
        <f ca="1">IF(NOTA[[#This Row],[ID]]="","",COUNTIF(NOTA[ID_H],NOTA[[#This Row],[ID_H]]))</f>
        <v/>
      </c>
      <c r="AO489" s="25" t="str">
        <f ca="1">IF(NOTA[[#This Row],[TGL.NOTA]]="",IF(NOTA[[#This Row],[SUPPLIER_H]]="","",AO488),MONTH(NOTA[[#This Row],[TGL.NOTA]]))</f>
        <v/>
      </c>
      <c r="AP4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9" s="25"/>
      <c r="AU489" s="25" t="str">
        <f>IF(NOTA[[#This Row],[CONCAT1]]="","",MATCH(NOTA[[#This Row],[CONCAT1]],[3]!db[NB NOTA_C],0))</f>
        <v/>
      </c>
      <c r="AV489" s="25" t="str">
        <f>IF(NOTA[[#This Row],[QTY/ CTN]]="","",TRUE)</f>
        <v/>
      </c>
      <c r="AW489" s="25" t="str">
        <f ca="1">IF(NOTA[[#This Row],[ID_H]]="","",IF(NOTA[[#This Row],[Column3]]=TRUE,NOTA[[#This Row],[QTY/ CTN]],INDEX([3]!db[QTY/ CTN],NOTA[[#This Row],[//DB]])))</f>
        <v/>
      </c>
      <c r="AX4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9" s="25" t="str">
        <f ca="1">IF(NOTA[[#This Row],[ID_H]]="","",MATCH(NOTA[[#This Row],[NB NOTA_C_QTY]],[3]!db[NB NOTA_C_QTY+F],0))</f>
        <v/>
      </c>
      <c r="AZ489" s="38" t="str">
        <f ca="1">IF(NOTA[[#This Row],[NB NOTA_C_QTY]]="","",ROW()-2)</f>
        <v/>
      </c>
    </row>
    <row r="490" spans="1:52" ht="20.100000000000001" customHeight="1">
      <c r="A4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0" s="25" t="str">
        <f ca="1">IF(NOTA[[#This Row],[NAMA BARANG]]="","",INDEX(NOTA[ID],MATCH(,INDIRECT(ADDRESS(ROW(NOTA[ID]),COLUMN(NOTA[ID]))&amp;":"&amp;ADDRESS(ROW(),COLUMN(NOTA[ID]))),-1)))</f>
        <v/>
      </c>
      <c r="E490" s="33"/>
      <c r="H490" s="34"/>
      <c r="Q490" s="29"/>
      <c r="R490" s="35"/>
      <c r="S490" s="36"/>
      <c r="V490" s="37"/>
      <c r="W490" s="32"/>
      <c r="X490" s="37" t="str">
        <f>IF(NOTA[[#This Row],[HARGA/ CTN]]="",NOTA[[#This Row],[JUMLAH_H]],NOTA[[#This Row],[HARGA/ CTN]]*IF(NOTA[[#This Row],[C]]="",0,NOTA[[#This Row],[C]]))</f>
        <v/>
      </c>
      <c r="Y490" s="37" t="str">
        <f>IF(NOTA[[#This Row],[JUMLAH]]="","",NOTA[[#This Row],[JUMLAH]]*NOTA[[#This Row],[DISC 1]])</f>
        <v/>
      </c>
      <c r="Z490" s="37" t="str">
        <f>IF(NOTA[[#This Row],[JUMLAH]]="","",(NOTA[[#This Row],[JUMLAH]]-NOTA[[#This Row],[DISC 1-]])*NOTA[[#This Row],[DISC 2]])</f>
        <v/>
      </c>
      <c r="AA490" s="37" t="str">
        <f>IF(NOTA[[#This Row],[JUMLAH]]="","",(NOTA[[#This Row],[JUMLAH]]-NOTA[[#This Row],[DISC 1-]]-NOTA[[#This Row],[DISC 2-]])*NOTA[[#This Row],[DISC 3]])</f>
        <v/>
      </c>
      <c r="AB490" s="37" t="str">
        <f>IF(NOTA[[#This Row],[JUMLAH]]="","",NOTA[[#This Row],[DISC 1-]]+NOTA[[#This Row],[DISC 2-]]+NOTA[[#This Row],[DISC 3-]])</f>
        <v/>
      </c>
      <c r="AC490" s="37" t="str">
        <f>IF(NOTA[[#This Row],[JUMLAH]]="","",NOTA[[#This Row],[JUMLAH]]-NOTA[[#This Row],[DISC]])</f>
        <v/>
      </c>
      <c r="AD490" s="37"/>
      <c r="AE4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0" s="37" t="str">
        <f>IF(OR(NOTA[[#This Row],[QTY]]="",NOTA[[#This Row],[HARGA SATUAN]]="",),"",NOTA[[#This Row],[QTY]]*NOTA[[#This Row],[HARGA SATUAN]])</f>
        <v/>
      </c>
      <c r="AI490" s="26" t="str">
        <f ca="1">IF(NOTA[[#This Row],[ID_H]]="","",INDEX(NOTA[TANGGAL],MATCH(,INDIRECT(ADDRESS(ROW(NOTA[TANGGAL]),COLUMN(NOTA[TANGGAL]))&amp;":"&amp;ADDRESS(ROW(),COLUMN(NOTA[TANGGAL]))),-1)))</f>
        <v/>
      </c>
      <c r="AJ490" s="26" t="str">
        <f ca="1">IF(NOTA[[#This Row],[ID_H]]="","",INDEX(NOTA[TGL.NOTA],MATCH(,INDIRECT(ADDRESS(ROW(NOTA[TGL.NOTA]),COLUMN(NOTA[TGL.NOTA]))&amp;":"&amp;ADDRESS(ROW(),COLUMN(NOTA[TGL.NOTA]))),-1)))</f>
        <v/>
      </c>
      <c r="AK490" s="26" t="str">
        <f ca="1">IF(NOTA[[#This Row],[ID_H]]="","",INDEX(NOTA[NO.NOTA],MATCH(NOTA[[#This Row],[ID_H]],NOTA[ID_H],0)))</f>
        <v/>
      </c>
      <c r="AL490" s="28" t="str">
        <f ca="1">IF(NOTA[[#This Row],[NAMA BARANG]]="","",INDEX(NOTA[SUPPLIER],MATCH(,INDIRECT(ADDRESS(ROW(NOTA[ID]),COLUMN(NOTA[ID]))&amp;":"&amp;ADDRESS(ROW(),COLUMN(NOTA[ID]))),-1)))</f>
        <v/>
      </c>
      <c r="AM490" s="28" t="str">
        <f ca="1">IF(NOTA[[#This Row],[ID_H]]="","",IF(NOTA[[#This Row],[FAKTUR]]="",INDIRECT(ADDRESS(ROW()-1,COLUMN())),NOTA[[#This Row],[FAKTUR]]))</f>
        <v/>
      </c>
      <c r="AN490" s="25" t="str">
        <f ca="1">IF(NOTA[[#This Row],[ID]]="","",COUNTIF(NOTA[ID_H],NOTA[[#This Row],[ID_H]]))</f>
        <v/>
      </c>
      <c r="AO490" s="25" t="str">
        <f ca="1">IF(NOTA[[#This Row],[TGL.NOTA]]="",IF(NOTA[[#This Row],[SUPPLIER_H]]="","",AO489),MONTH(NOTA[[#This Row],[TGL.NOTA]]))</f>
        <v/>
      </c>
      <c r="AP4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0" s="25"/>
      <c r="AU490" s="25" t="str">
        <f>IF(NOTA[[#This Row],[CONCAT1]]="","",MATCH(NOTA[[#This Row],[CONCAT1]],[3]!db[NB NOTA_C],0))</f>
        <v/>
      </c>
      <c r="AV490" s="25" t="str">
        <f>IF(NOTA[[#This Row],[QTY/ CTN]]="","",TRUE)</f>
        <v/>
      </c>
      <c r="AW490" s="25" t="str">
        <f ca="1">IF(NOTA[[#This Row],[ID_H]]="","",IF(NOTA[[#This Row],[Column3]]=TRUE,NOTA[[#This Row],[QTY/ CTN]],INDEX([3]!db[QTY/ CTN],NOTA[[#This Row],[//DB]])))</f>
        <v/>
      </c>
      <c r="AX4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0" s="25" t="str">
        <f ca="1">IF(NOTA[[#This Row],[ID_H]]="","",MATCH(NOTA[[#This Row],[NB NOTA_C_QTY]],[3]!db[NB NOTA_C_QTY+F],0))</f>
        <v/>
      </c>
      <c r="AZ490" s="38" t="str">
        <f ca="1">IF(NOTA[[#This Row],[NB NOTA_C_QTY]]="","",ROW()-2)</f>
        <v/>
      </c>
    </row>
    <row r="491" spans="1:52" ht="20.100000000000001" customHeight="1">
      <c r="A4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1" s="25" t="str">
        <f ca="1">IF(NOTA[[#This Row],[NAMA BARANG]]="","",INDEX(NOTA[ID],MATCH(,INDIRECT(ADDRESS(ROW(NOTA[ID]),COLUMN(NOTA[ID]))&amp;":"&amp;ADDRESS(ROW(),COLUMN(NOTA[ID]))),-1)))</f>
        <v/>
      </c>
      <c r="E491" s="33"/>
      <c r="H491" s="34"/>
      <c r="Q491" s="29"/>
      <c r="R491" s="35"/>
      <c r="S491" s="36"/>
      <c r="V491" s="37"/>
      <c r="W491" s="32"/>
      <c r="X491" s="37" t="str">
        <f>IF(NOTA[[#This Row],[HARGA/ CTN]]="",NOTA[[#This Row],[JUMLAH_H]],NOTA[[#This Row],[HARGA/ CTN]]*IF(NOTA[[#This Row],[C]]="",0,NOTA[[#This Row],[C]]))</f>
        <v/>
      </c>
      <c r="Y491" s="37" t="str">
        <f>IF(NOTA[[#This Row],[JUMLAH]]="","",NOTA[[#This Row],[JUMLAH]]*NOTA[[#This Row],[DISC 1]])</f>
        <v/>
      </c>
      <c r="Z491" s="37" t="str">
        <f>IF(NOTA[[#This Row],[JUMLAH]]="","",(NOTA[[#This Row],[JUMLAH]]-NOTA[[#This Row],[DISC 1-]])*NOTA[[#This Row],[DISC 2]])</f>
        <v/>
      </c>
      <c r="AA491" s="37" t="str">
        <f>IF(NOTA[[#This Row],[JUMLAH]]="","",(NOTA[[#This Row],[JUMLAH]]-NOTA[[#This Row],[DISC 1-]]-NOTA[[#This Row],[DISC 2-]])*NOTA[[#This Row],[DISC 3]])</f>
        <v/>
      </c>
      <c r="AB491" s="37" t="str">
        <f>IF(NOTA[[#This Row],[JUMLAH]]="","",NOTA[[#This Row],[DISC 1-]]+NOTA[[#This Row],[DISC 2-]]+NOTA[[#This Row],[DISC 3-]])</f>
        <v/>
      </c>
      <c r="AC491" s="37" t="str">
        <f>IF(NOTA[[#This Row],[JUMLAH]]="","",NOTA[[#This Row],[JUMLAH]]-NOTA[[#This Row],[DISC]])</f>
        <v/>
      </c>
      <c r="AD491" s="37"/>
      <c r="AE4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1" s="37" t="str">
        <f>IF(OR(NOTA[[#This Row],[QTY]]="",NOTA[[#This Row],[HARGA SATUAN]]="",),"",NOTA[[#This Row],[QTY]]*NOTA[[#This Row],[HARGA SATUAN]])</f>
        <v/>
      </c>
      <c r="AI491" s="26" t="str">
        <f ca="1">IF(NOTA[[#This Row],[ID_H]]="","",INDEX(NOTA[TANGGAL],MATCH(,INDIRECT(ADDRESS(ROW(NOTA[TANGGAL]),COLUMN(NOTA[TANGGAL]))&amp;":"&amp;ADDRESS(ROW(),COLUMN(NOTA[TANGGAL]))),-1)))</f>
        <v/>
      </c>
      <c r="AJ491" s="26" t="str">
        <f ca="1">IF(NOTA[[#This Row],[ID_H]]="","",INDEX(NOTA[TGL.NOTA],MATCH(,INDIRECT(ADDRESS(ROW(NOTA[TGL.NOTA]),COLUMN(NOTA[TGL.NOTA]))&amp;":"&amp;ADDRESS(ROW(),COLUMN(NOTA[TGL.NOTA]))),-1)))</f>
        <v/>
      </c>
      <c r="AK491" s="26" t="str">
        <f ca="1">IF(NOTA[[#This Row],[ID_H]]="","",INDEX(NOTA[NO.NOTA],MATCH(NOTA[[#This Row],[ID_H]],NOTA[ID_H],0)))</f>
        <v/>
      </c>
      <c r="AL491" s="28" t="str">
        <f ca="1">IF(NOTA[[#This Row],[NAMA BARANG]]="","",INDEX(NOTA[SUPPLIER],MATCH(,INDIRECT(ADDRESS(ROW(NOTA[ID]),COLUMN(NOTA[ID]))&amp;":"&amp;ADDRESS(ROW(),COLUMN(NOTA[ID]))),-1)))</f>
        <v/>
      </c>
      <c r="AM491" s="28" t="str">
        <f ca="1">IF(NOTA[[#This Row],[ID_H]]="","",IF(NOTA[[#This Row],[FAKTUR]]="",INDIRECT(ADDRESS(ROW()-1,COLUMN())),NOTA[[#This Row],[FAKTUR]]))</f>
        <v/>
      </c>
      <c r="AN491" s="25" t="str">
        <f ca="1">IF(NOTA[[#This Row],[ID]]="","",COUNTIF(NOTA[ID_H],NOTA[[#This Row],[ID_H]]))</f>
        <v/>
      </c>
      <c r="AO491" s="25" t="str">
        <f ca="1">IF(NOTA[[#This Row],[TGL.NOTA]]="",IF(NOTA[[#This Row],[SUPPLIER_H]]="","",AO490),MONTH(NOTA[[#This Row],[TGL.NOTA]]))</f>
        <v/>
      </c>
      <c r="AP4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1" s="25"/>
      <c r="AU491" s="25" t="str">
        <f>IF(NOTA[[#This Row],[CONCAT1]]="","",MATCH(NOTA[[#This Row],[CONCAT1]],[3]!db[NB NOTA_C],0))</f>
        <v/>
      </c>
      <c r="AV491" s="25" t="str">
        <f>IF(NOTA[[#This Row],[QTY/ CTN]]="","",TRUE)</f>
        <v/>
      </c>
      <c r="AW491" s="25" t="str">
        <f ca="1">IF(NOTA[[#This Row],[ID_H]]="","",IF(NOTA[[#This Row],[Column3]]=TRUE,NOTA[[#This Row],[QTY/ CTN]],INDEX([3]!db[QTY/ CTN],NOTA[[#This Row],[//DB]])))</f>
        <v/>
      </c>
      <c r="AX4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1" s="25" t="str">
        <f ca="1">IF(NOTA[[#This Row],[ID_H]]="","",MATCH(NOTA[[#This Row],[NB NOTA_C_QTY]],[3]!db[NB NOTA_C_QTY+F],0))</f>
        <v/>
      </c>
      <c r="AZ491" s="38" t="str">
        <f ca="1">IF(NOTA[[#This Row],[NB NOTA_C_QTY]]="","",ROW()-2)</f>
        <v/>
      </c>
    </row>
    <row r="492" spans="1:52" ht="20.100000000000001" customHeight="1">
      <c r="A4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2" s="25" t="str">
        <f ca="1">IF(NOTA[[#This Row],[NAMA BARANG]]="","",INDEX(NOTA[ID],MATCH(,INDIRECT(ADDRESS(ROW(NOTA[ID]),COLUMN(NOTA[ID]))&amp;":"&amp;ADDRESS(ROW(),COLUMN(NOTA[ID]))),-1)))</f>
        <v/>
      </c>
      <c r="E492" s="33"/>
      <c r="H492" s="34"/>
      <c r="Q492" s="29"/>
      <c r="R492" s="35"/>
      <c r="S492" s="36"/>
      <c r="V492" s="37"/>
      <c r="W492" s="32"/>
      <c r="X492" s="37" t="str">
        <f>IF(NOTA[[#This Row],[HARGA/ CTN]]="",NOTA[[#This Row],[JUMLAH_H]],NOTA[[#This Row],[HARGA/ CTN]]*IF(NOTA[[#This Row],[C]]="",0,NOTA[[#This Row],[C]]))</f>
        <v/>
      </c>
      <c r="Y492" s="37" t="str">
        <f>IF(NOTA[[#This Row],[JUMLAH]]="","",NOTA[[#This Row],[JUMLAH]]*NOTA[[#This Row],[DISC 1]])</f>
        <v/>
      </c>
      <c r="Z492" s="37" t="str">
        <f>IF(NOTA[[#This Row],[JUMLAH]]="","",(NOTA[[#This Row],[JUMLAH]]-NOTA[[#This Row],[DISC 1-]])*NOTA[[#This Row],[DISC 2]])</f>
        <v/>
      </c>
      <c r="AA492" s="37" t="str">
        <f>IF(NOTA[[#This Row],[JUMLAH]]="","",(NOTA[[#This Row],[JUMLAH]]-NOTA[[#This Row],[DISC 1-]]-NOTA[[#This Row],[DISC 2-]])*NOTA[[#This Row],[DISC 3]])</f>
        <v/>
      </c>
      <c r="AB492" s="37" t="str">
        <f>IF(NOTA[[#This Row],[JUMLAH]]="","",NOTA[[#This Row],[DISC 1-]]+NOTA[[#This Row],[DISC 2-]]+NOTA[[#This Row],[DISC 3-]])</f>
        <v/>
      </c>
      <c r="AC492" s="37" t="str">
        <f>IF(NOTA[[#This Row],[JUMLAH]]="","",NOTA[[#This Row],[JUMLAH]]-NOTA[[#This Row],[DISC]])</f>
        <v/>
      </c>
      <c r="AD492" s="37"/>
      <c r="AE4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2" s="37" t="str">
        <f>IF(OR(NOTA[[#This Row],[QTY]]="",NOTA[[#This Row],[HARGA SATUAN]]="",),"",NOTA[[#This Row],[QTY]]*NOTA[[#This Row],[HARGA SATUAN]])</f>
        <v/>
      </c>
      <c r="AI492" s="26" t="str">
        <f ca="1">IF(NOTA[[#This Row],[ID_H]]="","",INDEX(NOTA[TANGGAL],MATCH(,INDIRECT(ADDRESS(ROW(NOTA[TANGGAL]),COLUMN(NOTA[TANGGAL]))&amp;":"&amp;ADDRESS(ROW(),COLUMN(NOTA[TANGGAL]))),-1)))</f>
        <v/>
      </c>
      <c r="AJ492" s="26" t="str">
        <f ca="1">IF(NOTA[[#This Row],[ID_H]]="","",INDEX(NOTA[TGL.NOTA],MATCH(,INDIRECT(ADDRESS(ROW(NOTA[TGL.NOTA]),COLUMN(NOTA[TGL.NOTA]))&amp;":"&amp;ADDRESS(ROW(),COLUMN(NOTA[TGL.NOTA]))),-1)))</f>
        <v/>
      </c>
      <c r="AK492" s="26" t="str">
        <f ca="1">IF(NOTA[[#This Row],[ID_H]]="","",INDEX(NOTA[NO.NOTA],MATCH(NOTA[[#This Row],[ID_H]],NOTA[ID_H],0)))</f>
        <v/>
      </c>
      <c r="AL492" s="28" t="str">
        <f ca="1">IF(NOTA[[#This Row],[NAMA BARANG]]="","",INDEX(NOTA[SUPPLIER],MATCH(,INDIRECT(ADDRESS(ROW(NOTA[ID]),COLUMN(NOTA[ID]))&amp;":"&amp;ADDRESS(ROW(),COLUMN(NOTA[ID]))),-1)))</f>
        <v/>
      </c>
      <c r="AM492" s="28" t="str">
        <f ca="1">IF(NOTA[[#This Row],[ID_H]]="","",IF(NOTA[[#This Row],[FAKTUR]]="",INDIRECT(ADDRESS(ROW()-1,COLUMN())),NOTA[[#This Row],[FAKTUR]]))</f>
        <v/>
      </c>
      <c r="AN492" s="25" t="str">
        <f ca="1">IF(NOTA[[#This Row],[ID]]="","",COUNTIF(NOTA[ID_H],NOTA[[#This Row],[ID_H]]))</f>
        <v/>
      </c>
      <c r="AO492" s="25" t="str">
        <f ca="1">IF(NOTA[[#This Row],[TGL.NOTA]]="",IF(NOTA[[#This Row],[SUPPLIER_H]]="","",AO491),MONTH(NOTA[[#This Row],[TGL.NOTA]]))</f>
        <v/>
      </c>
      <c r="AP4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2" s="25"/>
      <c r="AU492" s="25" t="str">
        <f>IF(NOTA[[#This Row],[CONCAT1]]="","",MATCH(NOTA[[#This Row],[CONCAT1]],[3]!db[NB NOTA_C],0))</f>
        <v/>
      </c>
      <c r="AV492" s="25" t="str">
        <f>IF(NOTA[[#This Row],[QTY/ CTN]]="","",TRUE)</f>
        <v/>
      </c>
      <c r="AW492" s="25" t="str">
        <f ca="1">IF(NOTA[[#This Row],[ID_H]]="","",IF(NOTA[[#This Row],[Column3]]=TRUE,NOTA[[#This Row],[QTY/ CTN]],INDEX([3]!db[QTY/ CTN],NOTA[[#This Row],[//DB]])))</f>
        <v/>
      </c>
      <c r="AX4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2" s="25" t="str">
        <f ca="1">IF(NOTA[[#This Row],[ID_H]]="","",MATCH(NOTA[[#This Row],[NB NOTA_C_QTY]],[3]!db[NB NOTA_C_QTY+F],0))</f>
        <v/>
      </c>
      <c r="AZ492" s="38" t="str">
        <f ca="1">IF(NOTA[[#This Row],[NB NOTA_C_QTY]]="","",ROW()-2)</f>
        <v/>
      </c>
    </row>
    <row r="493" spans="1:52" ht="20.100000000000001" customHeight="1">
      <c r="A4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3" s="25" t="str">
        <f ca="1">IF(NOTA[[#This Row],[NAMA BARANG]]="","",INDEX(NOTA[ID],MATCH(,INDIRECT(ADDRESS(ROW(NOTA[ID]),COLUMN(NOTA[ID]))&amp;":"&amp;ADDRESS(ROW(),COLUMN(NOTA[ID]))),-1)))</f>
        <v/>
      </c>
      <c r="E493" s="33"/>
      <c r="H493" s="34"/>
      <c r="Q493" s="29"/>
      <c r="R493" s="35"/>
      <c r="S493" s="36"/>
      <c r="V493" s="37"/>
      <c r="W493" s="32"/>
      <c r="X493" s="37" t="str">
        <f>IF(NOTA[[#This Row],[HARGA/ CTN]]="",NOTA[[#This Row],[JUMLAH_H]],NOTA[[#This Row],[HARGA/ CTN]]*IF(NOTA[[#This Row],[C]]="",0,NOTA[[#This Row],[C]]))</f>
        <v/>
      </c>
      <c r="Y493" s="37" t="str">
        <f>IF(NOTA[[#This Row],[JUMLAH]]="","",NOTA[[#This Row],[JUMLAH]]*NOTA[[#This Row],[DISC 1]])</f>
        <v/>
      </c>
      <c r="Z493" s="37" t="str">
        <f>IF(NOTA[[#This Row],[JUMLAH]]="","",(NOTA[[#This Row],[JUMLAH]]-NOTA[[#This Row],[DISC 1-]])*NOTA[[#This Row],[DISC 2]])</f>
        <v/>
      </c>
      <c r="AA493" s="37" t="str">
        <f>IF(NOTA[[#This Row],[JUMLAH]]="","",(NOTA[[#This Row],[JUMLAH]]-NOTA[[#This Row],[DISC 1-]]-NOTA[[#This Row],[DISC 2-]])*NOTA[[#This Row],[DISC 3]])</f>
        <v/>
      </c>
      <c r="AB493" s="37" t="str">
        <f>IF(NOTA[[#This Row],[JUMLAH]]="","",NOTA[[#This Row],[DISC 1-]]+NOTA[[#This Row],[DISC 2-]]+NOTA[[#This Row],[DISC 3-]])</f>
        <v/>
      </c>
      <c r="AC493" s="37" t="str">
        <f>IF(NOTA[[#This Row],[JUMLAH]]="","",NOTA[[#This Row],[JUMLAH]]-NOTA[[#This Row],[DISC]])</f>
        <v/>
      </c>
      <c r="AD493" s="37"/>
      <c r="AE4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3" s="37" t="str">
        <f>IF(OR(NOTA[[#This Row],[QTY]]="",NOTA[[#This Row],[HARGA SATUAN]]="",),"",NOTA[[#This Row],[QTY]]*NOTA[[#This Row],[HARGA SATUAN]])</f>
        <v/>
      </c>
      <c r="AI493" s="26" t="str">
        <f ca="1">IF(NOTA[[#This Row],[ID_H]]="","",INDEX(NOTA[TANGGAL],MATCH(,INDIRECT(ADDRESS(ROW(NOTA[TANGGAL]),COLUMN(NOTA[TANGGAL]))&amp;":"&amp;ADDRESS(ROW(),COLUMN(NOTA[TANGGAL]))),-1)))</f>
        <v/>
      </c>
      <c r="AJ493" s="26" t="str">
        <f ca="1">IF(NOTA[[#This Row],[ID_H]]="","",INDEX(NOTA[TGL.NOTA],MATCH(,INDIRECT(ADDRESS(ROW(NOTA[TGL.NOTA]),COLUMN(NOTA[TGL.NOTA]))&amp;":"&amp;ADDRESS(ROW(),COLUMN(NOTA[TGL.NOTA]))),-1)))</f>
        <v/>
      </c>
      <c r="AK493" s="26" t="str">
        <f ca="1">IF(NOTA[[#This Row],[ID_H]]="","",INDEX(NOTA[NO.NOTA],MATCH(NOTA[[#This Row],[ID_H]],NOTA[ID_H],0)))</f>
        <v/>
      </c>
      <c r="AL493" s="28" t="str">
        <f ca="1">IF(NOTA[[#This Row],[NAMA BARANG]]="","",INDEX(NOTA[SUPPLIER],MATCH(,INDIRECT(ADDRESS(ROW(NOTA[ID]),COLUMN(NOTA[ID]))&amp;":"&amp;ADDRESS(ROW(),COLUMN(NOTA[ID]))),-1)))</f>
        <v/>
      </c>
      <c r="AM493" s="28" t="str">
        <f ca="1">IF(NOTA[[#This Row],[ID_H]]="","",IF(NOTA[[#This Row],[FAKTUR]]="",INDIRECT(ADDRESS(ROW()-1,COLUMN())),NOTA[[#This Row],[FAKTUR]]))</f>
        <v/>
      </c>
      <c r="AN493" s="25" t="str">
        <f ca="1">IF(NOTA[[#This Row],[ID]]="","",COUNTIF(NOTA[ID_H],NOTA[[#This Row],[ID_H]]))</f>
        <v/>
      </c>
      <c r="AO493" s="25" t="str">
        <f ca="1">IF(NOTA[[#This Row],[TGL.NOTA]]="",IF(NOTA[[#This Row],[SUPPLIER_H]]="","",AO492),MONTH(NOTA[[#This Row],[TGL.NOTA]]))</f>
        <v/>
      </c>
      <c r="AP4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3" s="25"/>
      <c r="AU493" s="25" t="str">
        <f>IF(NOTA[[#This Row],[CONCAT1]]="","",MATCH(NOTA[[#This Row],[CONCAT1]],[3]!db[NB NOTA_C],0))</f>
        <v/>
      </c>
      <c r="AV493" s="25" t="str">
        <f>IF(NOTA[[#This Row],[QTY/ CTN]]="","",TRUE)</f>
        <v/>
      </c>
      <c r="AW493" s="25" t="str">
        <f ca="1">IF(NOTA[[#This Row],[ID_H]]="","",IF(NOTA[[#This Row],[Column3]]=TRUE,NOTA[[#This Row],[QTY/ CTN]],INDEX([3]!db[QTY/ CTN],NOTA[[#This Row],[//DB]])))</f>
        <v/>
      </c>
      <c r="AX4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3" s="25" t="str">
        <f ca="1">IF(NOTA[[#This Row],[ID_H]]="","",MATCH(NOTA[[#This Row],[NB NOTA_C_QTY]],[3]!db[NB NOTA_C_QTY+F],0))</f>
        <v/>
      </c>
      <c r="AZ493" s="38" t="str">
        <f ca="1">IF(NOTA[[#This Row],[NB NOTA_C_QTY]]="","",ROW()-2)</f>
        <v/>
      </c>
    </row>
    <row r="494" spans="1:52" ht="20.100000000000001" customHeight="1">
      <c r="A4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4" s="25" t="str">
        <f ca="1">IF(NOTA[[#This Row],[NAMA BARANG]]="","",INDEX(NOTA[ID],MATCH(,INDIRECT(ADDRESS(ROW(NOTA[ID]),COLUMN(NOTA[ID]))&amp;":"&amp;ADDRESS(ROW(),COLUMN(NOTA[ID]))),-1)))</f>
        <v/>
      </c>
      <c r="E494" s="33"/>
      <c r="H494" s="34"/>
      <c r="Q494" s="29"/>
      <c r="R494" s="35"/>
      <c r="S494" s="36"/>
      <c r="V494" s="37"/>
      <c r="W494" s="32"/>
      <c r="X494" s="37" t="str">
        <f>IF(NOTA[[#This Row],[HARGA/ CTN]]="",NOTA[[#This Row],[JUMLAH_H]],NOTA[[#This Row],[HARGA/ CTN]]*IF(NOTA[[#This Row],[C]]="",0,NOTA[[#This Row],[C]]))</f>
        <v/>
      </c>
      <c r="Y494" s="37" t="str">
        <f>IF(NOTA[[#This Row],[JUMLAH]]="","",NOTA[[#This Row],[JUMLAH]]*NOTA[[#This Row],[DISC 1]])</f>
        <v/>
      </c>
      <c r="Z494" s="37" t="str">
        <f>IF(NOTA[[#This Row],[JUMLAH]]="","",(NOTA[[#This Row],[JUMLAH]]-NOTA[[#This Row],[DISC 1-]])*NOTA[[#This Row],[DISC 2]])</f>
        <v/>
      </c>
      <c r="AA494" s="37" t="str">
        <f>IF(NOTA[[#This Row],[JUMLAH]]="","",(NOTA[[#This Row],[JUMLAH]]-NOTA[[#This Row],[DISC 1-]]-NOTA[[#This Row],[DISC 2-]])*NOTA[[#This Row],[DISC 3]])</f>
        <v/>
      </c>
      <c r="AB494" s="37" t="str">
        <f>IF(NOTA[[#This Row],[JUMLAH]]="","",NOTA[[#This Row],[DISC 1-]]+NOTA[[#This Row],[DISC 2-]]+NOTA[[#This Row],[DISC 3-]])</f>
        <v/>
      </c>
      <c r="AC494" s="37" t="str">
        <f>IF(NOTA[[#This Row],[JUMLAH]]="","",NOTA[[#This Row],[JUMLAH]]-NOTA[[#This Row],[DISC]])</f>
        <v/>
      </c>
      <c r="AD494" s="37"/>
      <c r="AE4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4" s="37" t="str">
        <f>IF(OR(NOTA[[#This Row],[QTY]]="",NOTA[[#This Row],[HARGA SATUAN]]="",),"",NOTA[[#This Row],[QTY]]*NOTA[[#This Row],[HARGA SATUAN]])</f>
        <v/>
      </c>
      <c r="AI494" s="26" t="str">
        <f ca="1">IF(NOTA[[#This Row],[ID_H]]="","",INDEX(NOTA[TANGGAL],MATCH(,INDIRECT(ADDRESS(ROW(NOTA[TANGGAL]),COLUMN(NOTA[TANGGAL]))&amp;":"&amp;ADDRESS(ROW(),COLUMN(NOTA[TANGGAL]))),-1)))</f>
        <v/>
      </c>
      <c r="AJ494" s="26" t="str">
        <f ca="1">IF(NOTA[[#This Row],[ID_H]]="","",INDEX(NOTA[TGL.NOTA],MATCH(,INDIRECT(ADDRESS(ROW(NOTA[TGL.NOTA]),COLUMN(NOTA[TGL.NOTA]))&amp;":"&amp;ADDRESS(ROW(),COLUMN(NOTA[TGL.NOTA]))),-1)))</f>
        <v/>
      </c>
      <c r="AK494" s="26" t="str">
        <f ca="1">IF(NOTA[[#This Row],[ID_H]]="","",INDEX(NOTA[NO.NOTA],MATCH(NOTA[[#This Row],[ID_H]],NOTA[ID_H],0)))</f>
        <v/>
      </c>
      <c r="AL494" s="28" t="str">
        <f ca="1">IF(NOTA[[#This Row],[NAMA BARANG]]="","",INDEX(NOTA[SUPPLIER],MATCH(,INDIRECT(ADDRESS(ROW(NOTA[ID]),COLUMN(NOTA[ID]))&amp;":"&amp;ADDRESS(ROW(),COLUMN(NOTA[ID]))),-1)))</f>
        <v/>
      </c>
      <c r="AM494" s="28" t="str">
        <f ca="1">IF(NOTA[[#This Row],[ID_H]]="","",IF(NOTA[[#This Row],[FAKTUR]]="",INDIRECT(ADDRESS(ROW()-1,COLUMN())),NOTA[[#This Row],[FAKTUR]]))</f>
        <v/>
      </c>
      <c r="AN494" s="25" t="str">
        <f ca="1">IF(NOTA[[#This Row],[ID]]="","",COUNTIF(NOTA[ID_H],NOTA[[#This Row],[ID_H]]))</f>
        <v/>
      </c>
      <c r="AO494" s="25" t="str">
        <f ca="1">IF(NOTA[[#This Row],[TGL.NOTA]]="",IF(NOTA[[#This Row],[SUPPLIER_H]]="","",AO493),MONTH(NOTA[[#This Row],[TGL.NOTA]]))</f>
        <v/>
      </c>
      <c r="AP4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4" s="25"/>
      <c r="AU494" s="25" t="str">
        <f>IF(NOTA[[#This Row],[CONCAT1]]="","",MATCH(NOTA[[#This Row],[CONCAT1]],[3]!db[NB NOTA_C],0))</f>
        <v/>
      </c>
      <c r="AV494" s="25" t="str">
        <f>IF(NOTA[[#This Row],[QTY/ CTN]]="","",TRUE)</f>
        <v/>
      </c>
      <c r="AW494" s="25" t="str">
        <f ca="1">IF(NOTA[[#This Row],[ID_H]]="","",IF(NOTA[[#This Row],[Column3]]=TRUE,NOTA[[#This Row],[QTY/ CTN]],INDEX([3]!db[QTY/ CTN],NOTA[[#This Row],[//DB]])))</f>
        <v/>
      </c>
      <c r="AX4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4" s="25" t="str">
        <f ca="1">IF(NOTA[[#This Row],[ID_H]]="","",MATCH(NOTA[[#This Row],[NB NOTA_C_QTY]],[3]!db[NB NOTA_C_QTY+F],0))</f>
        <v/>
      </c>
      <c r="AZ494" s="38" t="str">
        <f ca="1">IF(NOTA[[#This Row],[NB NOTA_C_QTY]]="","",ROW()-2)</f>
        <v/>
      </c>
    </row>
    <row r="495" spans="1:52" ht="20.100000000000001" customHeight="1">
      <c r="A4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5" s="25" t="str">
        <f ca="1">IF(NOTA[[#This Row],[NAMA BARANG]]="","",INDEX(NOTA[ID],MATCH(,INDIRECT(ADDRESS(ROW(NOTA[ID]),COLUMN(NOTA[ID]))&amp;":"&amp;ADDRESS(ROW(),COLUMN(NOTA[ID]))),-1)))</f>
        <v/>
      </c>
      <c r="E495" s="33"/>
      <c r="H495" s="34"/>
      <c r="Q495" s="29"/>
      <c r="R495" s="35"/>
      <c r="S495" s="36"/>
      <c r="V495" s="37"/>
      <c r="W495" s="32"/>
      <c r="X495" s="37" t="str">
        <f>IF(NOTA[[#This Row],[HARGA/ CTN]]="",NOTA[[#This Row],[JUMLAH_H]],NOTA[[#This Row],[HARGA/ CTN]]*IF(NOTA[[#This Row],[C]]="",0,NOTA[[#This Row],[C]]))</f>
        <v/>
      </c>
      <c r="Y495" s="37" t="str">
        <f>IF(NOTA[[#This Row],[JUMLAH]]="","",NOTA[[#This Row],[JUMLAH]]*NOTA[[#This Row],[DISC 1]])</f>
        <v/>
      </c>
      <c r="Z495" s="37" t="str">
        <f>IF(NOTA[[#This Row],[JUMLAH]]="","",(NOTA[[#This Row],[JUMLAH]]-NOTA[[#This Row],[DISC 1-]])*NOTA[[#This Row],[DISC 2]])</f>
        <v/>
      </c>
      <c r="AA495" s="37" t="str">
        <f>IF(NOTA[[#This Row],[JUMLAH]]="","",(NOTA[[#This Row],[JUMLAH]]-NOTA[[#This Row],[DISC 1-]]-NOTA[[#This Row],[DISC 2-]])*NOTA[[#This Row],[DISC 3]])</f>
        <v/>
      </c>
      <c r="AB495" s="37" t="str">
        <f>IF(NOTA[[#This Row],[JUMLAH]]="","",NOTA[[#This Row],[DISC 1-]]+NOTA[[#This Row],[DISC 2-]]+NOTA[[#This Row],[DISC 3-]])</f>
        <v/>
      </c>
      <c r="AC495" s="37" t="str">
        <f>IF(NOTA[[#This Row],[JUMLAH]]="","",NOTA[[#This Row],[JUMLAH]]-NOTA[[#This Row],[DISC]])</f>
        <v/>
      </c>
      <c r="AD495" s="37"/>
      <c r="AE4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5" s="37" t="str">
        <f>IF(OR(NOTA[[#This Row],[QTY]]="",NOTA[[#This Row],[HARGA SATUAN]]="",),"",NOTA[[#This Row],[QTY]]*NOTA[[#This Row],[HARGA SATUAN]])</f>
        <v/>
      </c>
      <c r="AI495" s="26" t="str">
        <f ca="1">IF(NOTA[[#This Row],[ID_H]]="","",INDEX(NOTA[TANGGAL],MATCH(,INDIRECT(ADDRESS(ROW(NOTA[TANGGAL]),COLUMN(NOTA[TANGGAL]))&amp;":"&amp;ADDRESS(ROW(),COLUMN(NOTA[TANGGAL]))),-1)))</f>
        <v/>
      </c>
      <c r="AJ495" s="26" t="str">
        <f ca="1">IF(NOTA[[#This Row],[ID_H]]="","",INDEX(NOTA[TGL.NOTA],MATCH(,INDIRECT(ADDRESS(ROW(NOTA[TGL.NOTA]),COLUMN(NOTA[TGL.NOTA]))&amp;":"&amp;ADDRESS(ROW(),COLUMN(NOTA[TGL.NOTA]))),-1)))</f>
        <v/>
      </c>
      <c r="AK495" s="26" t="str">
        <f ca="1">IF(NOTA[[#This Row],[ID_H]]="","",INDEX(NOTA[NO.NOTA],MATCH(NOTA[[#This Row],[ID_H]],NOTA[ID_H],0)))</f>
        <v/>
      </c>
      <c r="AL495" s="28" t="str">
        <f ca="1">IF(NOTA[[#This Row],[NAMA BARANG]]="","",INDEX(NOTA[SUPPLIER],MATCH(,INDIRECT(ADDRESS(ROW(NOTA[ID]),COLUMN(NOTA[ID]))&amp;":"&amp;ADDRESS(ROW(),COLUMN(NOTA[ID]))),-1)))</f>
        <v/>
      </c>
      <c r="AM495" s="28" t="str">
        <f ca="1">IF(NOTA[[#This Row],[ID_H]]="","",IF(NOTA[[#This Row],[FAKTUR]]="",INDIRECT(ADDRESS(ROW()-1,COLUMN())),NOTA[[#This Row],[FAKTUR]]))</f>
        <v/>
      </c>
      <c r="AN495" s="25" t="str">
        <f ca="1">IF(NOTA[[#This Row],[ID]]="","",COUNTIF(NOTA[ID_H],NOTA[[#This Row],[ID_H]]))</f>
        <v/>
      </c>
      <c r="AO495" s="25" t="str">
        <f ca="1">IF(NOTA[[#This Row],[TGL.NOTA]]="",IF(NOTA[[#This Row],[SUPPLIER_H]]="","",AO494),MONTH(NOTA[[#This Row],[TGL.NOTA]]))</f>
        <v/>
      </c>
      <c r="AP4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5" s="25"/>
      <c r="AU495" s="25" t="str">
        <f>IF(NOTA[[#This Row],[CONCAT1]]="","",MATCH(NOTA[[#This Row],[CONCAT1]],[3]!db[NB NOTA_C],0))</f>
        <v/>
      </c>
      <c r="AV495" s="25" t="str">
        <f>IF(NOTA[[#This Row],[QTY/ CTN]]="","",TRUE)</f>
        <v/>
      </c>
      <c r="AW495" s="25" t="str">
        <f ca="1">IF(NOTA[[#This Row],[ID_H]]="","",IF(NOTA[[#This Row],[Column3]]=TRUE,NOTA[[#This Row],[QTY/ CTN]],INDEX([3]!db[QTY/ CTN],NOTA[[#This Row],[//DB]])))</f>
        <v/>
      </c>
      <c r="AX4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5" s="25" t="str">
        <f ca="1">IF(NOTA[[#This Row],[ID_H]]="","",MATCH(NOTA[[#This Row],[NB NOTA_C_QTY]],[3]!db[NB NOTA_C_QTY+F],0))</f>
        <v/>
      </c>
      <c r="AZ495" s="38" t="str">
        <f ca="1">IF(NOTA[[#This Row],[NB NOTA_C_QTY]]="","",ROW()-2)</f>
        <v/>
      </c>
    </row>
    <row r="496" spans="1:52" ht="20.100000000000001" customHeight="1">
      <c r="A4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6" s="25" t="str">
        <f ca="1">IF(NOTA[[#This Row],[NAMA BARANG]]="","",INDEX(NOTA[ID],MATCH(,INDIRECT(ADDRESS(ROW(NOTA[ID]),COLUMN(NOTA[ID]))&amp;":"&amp;ADDRESS(ROW(),COLUMN(NOTA[ID]))),-1)))</f>
        <v/>
      </c>
      <c r="E496" s="33"/>
      <c r="H496" s="34"/>
      <c r="Q496" s="29"/>
      <c r="R496" s="35"/>
      <c r="S496" s="36"/>
      <c r="V496" s="37"/>
      <c r="W496" s="32"/>
      <c r="X496" s="37" t="str">
        <f>IF(NOTA[[#This Row],[HARGA/ CTN]]="",NOTA[[#This Row],[JUMLAH_H]],NOTA[[#This Row],[HARGA/ CTN]]*IF(NOTA[[#This Row],[C]]="",0,NOTA[[#This Row],[C]]))</f>
        <v/>
      </c>
      <c r="Y496" s="37" t="str">
        <f>IF(NOTA[[#This Row],[JUMLAH]]="","",NOTA[[#This Row],[JUMLAH]]*NOTA[[#This Row],[DISC 1]])</f>
        <v/>
      </c>
      <c r="Z496" s="37" t="str">
        <f>IF(NOTA[[#This Row],[JUMLAH]]="","",(NOTA[[#This Row],[JUMLAH]]-NOTA[[#This Row],[DISC 1-]])*NOTA[[#This Row],[DISC 2]])</f>
        <v/>
      </c>
      <c r="AA496" s="37" t="str">
        <f>IF(NOTA[[#This Row],[JUMLAH]]="","",(NOTA[[#This Row],[JUMLAH]]-NOTA[[#This Row],[DISC 1-]]-NOTA[[#This Row],[DISC 2-]])*NOTA[[#This Row],[DISC 3]])</f>
        <v/>
      </c>
      <c r="AB496" s="37" t="str">
        <f>IF(NOTA[[#This Row],[JUMLAH]]="","",NOTA[[#This Row],[DISC 1-]]+NOTA[[#This Row],[DISC 2-]]+NOTA[[#This Row],[DISC 3-]])</f>
        <v/>
      </c>
      <c r="AC496" s="37" t="str">
        <f>IF(NOTA[[#This Row],[JUMLAH]]="","",NOTA[[#This Row],[JUMLAH]]-NOTA[[#This Row],[DISC]])</f>
        <v/>
      </c>
      <c r="AD496" s="37"/>
      <c r="AE4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6" s="37" t="str">
        <f>IF(OR(NOTA[[#This Row],[QTY]]="",NOTA[[#This Row],[HARGA SATUAN]]="",),"",NOTA[[#This Row],[QTY]]*NOTA[[#This Row],[HARGA SATUAN]])</f>
        <v/>
      </c>
      <c r="AI496" s="26" t="str">
        <f ca="1">IF(NOTA[[#This Row],[ID_H]]="","",INDEX(NOTA[TANGGAL],MATCH(,INDIRECT(ADDRESS(ROW(NOTA[TANGGAL]),COLUMN(NOTA[TANGGAL]))&amp;":"&amp;ADDRESS(ROW(),COLUMN(NOTA[TANGGAL]))),-1)))</f>
        <v/>
      </c>
      <c r="AJ496" s="26" t="str">
        <f ca="1">IF(NOTA[[#This Row],[ID_H]]="","",INDEX(NOTA[TGL.NOTA],MATCH(,INDIRECT(ADDRESS(ROW(NOTA[TGL.NOTA]),COLUMN(NOTA[TGL.NOTA]))&amp;":"&amp;ADDRESS(ROW(),COLUMN(NOTA[TGL.NOTA]))),-1)))</f>
        <v/>
      </c>
      <c r="AK496" s="26" t="str">
        <f ca="1">IF(NOTA[[#This Row],[ID_H]]="","",INDEX(NOTA[NO.NOTA],MATCH(NOTA[[#This Row],[ID_H]],NOTA[ID_H],0)))</f>
        <v/>
      </c>
      <c r="AL496" s="28" t="str">
        <f ca="1">IF(NOTA[[#This Row],[NAMA BARANG]]="","",INDEX(NOTA[SUPPLIER],MATCH(,INDIRECT(ADDRESS(ROW(NOTA[ID]),COLUMN(NOTA[ID]))&amp;":"&amp;ADDRESS(ROW(),COLUMN(NOTA[ID]))),-1)))</f>
        <v/>
      </c>
      <c r="AM496" s="28" t="str">
        <f ca="1">IF(NOTA[[#This Row],[ID_H]]="","",IF(NOTA[[#This Row],[FAKTUR]]="",INDIRECT(ADDRESS(ROW()-1,COLUMN())),NOTA[[#This Row],[FAKTUR]]))</f>
        <v/>
      </c>
      <c r="AN496" s="25" t="str">
        <f ca="1">IF(NOTA[[#This Row],[ID]]="","",COUNTIF(NOTA[ID_H],NOTA[[#This Row],[ID_H]]))</f>
        <v/>
      </c>
      <c r="AO496" s="25" t="str">
        <f ca="1">IF(NOTA[[#This Row],[TGL.NOTA]]="",IF(NOTA[[#This Row],[SUPPLIER_H]]="","",AO495),MONTH(NOTA[[#This Row],[TGL.NOTA]]))</f>
        <v/>
      </c>
      <c r="AP4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6" s="25"/>
      <c r="AU496" s="25" t="str">
        <f>IF(NOTA[[#This Row],[CONCAT1]]="","",MATCH(NOTA[[#This Row],[CONCAT1]],[3]!db[NB NOTA_C],0))</f>
        <v/>
      </c>
      <c r="AV496" s="25" t="str">
        <f>IF(NOTA[[#This Row],[QTY/ CTN]]="","",TRUE)</f>
        <v/>
      </c>
      <c r="AW496" s="25" t="str">
        <f ca="1">IF(NOTA[[#This Row],[ID_H]]="","",IF(NOTA[[#This Row],[Column3]]=TRUE,NOTA[[#This Row],[QTY/ CTN]],INDEX([3]!db[QTY/ CTN],NOTA[[#This Row],[//DB]])))</f>
        <v/>
      </c>
      <c r="AX4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6" s="25" t="str">
        <f ca="1">IF(NOTA[[#This Row],[ID_H]]="","",MATCH(NOTA[[#This Row],[NB NOTA_C_QTY]],[3]!db[NB NOTA_C_QTY+F],0))</f>
        <v/>
      </c>
      <c r="AZ496" s="38" t="str">
        <f ca="1">IF(NOTA[[#This Row],[NB NOTA_C_QTY]]="","",ROW()-2)</f>
        <v/>
      </c>
    </row>
    <row r="497" spans="1:52" ht="20.100000000000001" customHeight="1">
      <c r="A4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7" s="25" t="str">
        <f ca="1">IF(NOTA[[#This Row],[NAMA BARANG]]="","",INDEX(NOTA[ID],MATCH(,INDIRECT(ADDRESS(ROW(NOTA[ID]),COLUMN(NOTA[ID]))&amp;":"&amp;ADDRESS(ROW(),COLUMN(NOTA[ID]))),-1)))</f>
        <v/>
      </c>
      <c r="E497" s="33"/>
      <c r="H497" s="34"/>
      <c r="Q497" s="29"/>
      <c r="R497" s="35"/>
      <c r="S497" s="36"/>
      <c r="V497" s="37"/>
      <c r="W497" s="32"/>
      <c r="X497" s="37" t="str">
        <f>IF(NOTA[[#This Row],[HARGA/ CTN]]="",NOTA[[#This Row],[JUMLAH_H]],NOTA[[#This Row],[HARGA/ CTN]]*IF(NOTA[[#This Row],[C]]="",0,NOTA[[#This Row],[C]]))</f>
        <v/>
      </c>
      <c r="Y497" s="37" t="str">
        <f>IF(NOTA[[#This Row],[JUMLAH]]="","",NOTA[[#This Row],[JUMLAH]]*NOTA[[#This Row],[DISC 1]])</f>
        <v/>
      </c>
      <c r="Z497" s="37" t="str">
        <f>IF(NOTA[[#This Row],[JUMLAH]]="","",(NOTA[[#This Row],[JUMLAH]]-NOTA[[#This Row],[DISC 1-]])*NOTA[[#This Row],[DISC 2]])</f>
        <v/>
      </c>
      <c r="AA497" s="37" t="str">
        <f>IF(NOTA[[#This Row],[JUMLAH]]="","",(NOTA[[#This Row],[JUMLAH]]-NOTA[[#This Row],[DISC 1-]]-NOTA[[#This Row],[DISC 2-]])*NOTA[[#This Row],[DISC 3]])</f>
        <v/>
      </c>
      <c r="AB497" s="37" t="str">
        <f>IF(NOTA[[#This Row],[JUMLAH]]="","",NOTA[[#This Row],[DISC 1-]]+NOTA[[#This Row],[DISC 2-]]+NOTA[[#This Row],[DISC 3-]])</f>
        <v/>
      </c>
      <c r="AC497" s="37" t="str">
        <f>IF(NOTA[[#This Row],[JUMLAH]]="","",NOTA[[#This Row],[JUMLAH]]-NOTA[[#This Row],[DISC]])</f>
        <v/>
      </c>
      <c r="AD497" s="37"/>
      <c r="AE4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7" s="37" t="str">
        <f>IF(OR(NOTA[[#This Row],[QTY]]="",NOTA[[#This Row],[HARGA SATUAN]]="",),"",NOTA[[#This Row],[QTY]]*NOTA[[#This Row],[HARGA SATUAN]])</f>
        <v/>
      </c>
      <c r="AI497" s="26" t="str">
        <f ca="1">IF(NOTA[[#This Row],[ID_H]]="","",INDEX(NOTA[TANGGAL],MATCH(,INDIRECT(ADDRESS(ROW(NOTA[TANGGAL]),COLUMN(NOTA[TANGGAL]))&amp;":"&amp;ADDRESS(ROW(),COLUMN(NOTA[TANGGAL]))),-1)))</f>
        <v/>
      </c>
      <c r="AJ497" s="26" t="str">
        <f ca="1">IF(NOTA[[#This Row],[ID_H]]="","",INDEX(NOTA[TGL.NOTA],MATCH(,INDIRECT(ADDRESS(ROW(NOTA[TGL.NOTA]),COLUMN(NOTA[TGL.NOTA]))&amp;":"&amp;ADDRESS(ROW(),COLUMN(NOTA[TGL.NOTA]))),-1)))</f>
        <v/>
      </c>
      <c r="AK497" s="26" t="str">
        <f ca="1">IF(NOTA[[#This Row],[ID_H]]="","",INDEX(NOTA[NO.NOTA],MATCH(NOTA[[#This Row],[ID_H]],NOTA[ID_H],0)))</f>
        <v/>
      </c>
      <c r="AL497" s="28" t="str">
        <f ca="1">IF(NOTA[[#This Row],[NAMA BARANG]]="","",INDEX(NOTA[SUPPLIER],MATCH(,INDIRECT(ADDRESS(ROW(NOTA[ID]),COLUMN(NOTA[ID]))&amp;":"&amp;ADDRESS(ROW(),COLUMN(NOTA[ID]))),-1)))</f>
        <v/>
      </c>
      <c r="AM497" s="28" t="str">
        <f ca="1">IF(NOTA[[#This Row],[ID_H]]="","",IF(NOTA[[#This Row],[FAKTUR]]="",INDIRECT(ADDRESS(ROW()-1,COLUMN())),NOTA[[#This Row],[FAKTUR]]))</f>
        <v/>
      </c>
      <c r="AN497" s="25" t="str">
        <f ca="1">IF(NOTA[[#This Row],[ID]]="","",COUNTIF(NOTA[ID_H],NOTA[[#This Row],[ID_H]]))</f>
        <v/>
      </c>
      <c r="AO497" s="25" t="str">
        <f ca="1">IF(NOTA[[#This Row],[TGL.NOTA]]="",IF(NOTA[[#This Row],[SUPPLIER_H]]="","",AO496),MONTH(NOTA[[#This Row],[TGL.NOTA]]))</f>
        <v/>
      </c>
      <c r="AP4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7" s="25"/>
      <c r="AU497" s="25" t="str">
        <f>IF(NOTA[[#This Row],[CONCAT1]]="","",MATCH(NOTA[[#This Row],[CONCAT1]],[3]!db[NB NOTA_C],0))</f>
        <v/>
      </c>
      <c r="AV497" s="25" t="str">
        <f>IF(NOTA[[#This Row],[QTY/ CTN]]="","",TRUE)</f>
        <v/>
      </c>
      <c r="AW497" s="25" t="str">
        <f ca="1">IF(NOTA[[#This Row],[ID_H]]="","",IF(NOTA[[#This Row],[Column3]]=TRUE,NOTA[[#This Row],[QTY/ CTN]],INDEX([3]!db[QTY/ CTN],NOTA[[#This Row],[//DB]])))</f>
        <v/>
      </c>
      <c r="AX4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7" s="25" t="str">
        <f ca="1">IF(NOTA[[#This Row],[ID_H]]="","",MATCH(NOTA[[#This Row],[NB NOTA_C_QTY]],[3]!db[NB NOTA_C_QTY+F],0))</f>
        <v/>
      </c>
      <c r="AZ497" s="38" t="str">
        <f ca="1">IF(NOTA[[#This Row],[NB NOTA_C_QTY]]="","",ROW()-2)</f>
        <v/>
      </c>
    </row>
    <row r="498" spans="1:52" ht="20.100000000000001" customHeight="1">
      <c r="A4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8" s="25" t="str">
        <f ca="1">IF(NOTA[[#This Row],[NAMA BARANG]]="","",INDEX(NOTA[ID],MATCH(,INDIRECT(ADDRESS(ROW(NOTA[ID]),COLUMN(NOTA[ID]))&amp;":"&amp;ADDRESS(ROW(),COLUMN(NOTA[ID]))),-1)))</f>
        <v/>
      </c>
      <c r="E498" s="33"/>
      <c r="H498" s="34"/>
      <c r="Q498" s="29"/>
      <c r="R498" s="35"/>
      <c r="S498" s="36"/>
      <c r="V498" s="37"/>
      <c r="W498" s="32"/>
      <c r="X498" s="37" t="str">
        <f>IF(NOTA[[#This Row],[HARGA/ CTN]]="",NOTA[[#This Row],[JUMLAH_H]],NOTA[[#This Row],[HARGA/ CTN]]*IF(NOTA[[#This Row],[C]]="",0,NOTA[[#This Row],[C]]))</f>
        <v/>
      </c>
      <c r="Y498" s="37" t="str">
        <f>IF(NOTA[[#This Row],[JUMLAH]]="","",NOTA[[#This Row],[JUMLAH]]*NOTA[[#This Row],[DISC 1]])</f>
        <v/>
      </c>
      <c r="Z498" s="37" t="str">
        <f>IF(NOTA[[#This Row],[JUMLAH]]="","",(NOTA[[#This Row],[JUMLAH]]-NOTA[[#This Row],[DISC 1-]])*NOTA[[#This Row],[DISC 2]])</f>
        <v/>
      </c>
      <c r="AA498" s="37" t="str">
        <f>IF(NOTA[[#This Row],[JUMLAH]]="","",(NOTA[[#This Row],[JUMLAH]]-NOTA[[#This Row],[DISC 1-]]-NOTA[[#This Row],[DISC 2-]])*NOTA[[#This Row],[DISC 3]])</f>
        <v/>
      </c>
      <c r="AB498" s="37" t="str">
        <f>IF(NOTA[[#This Row],[JUMLAH]]="","",NOTA[[#This Row],[DISC 1-]]+NOTA[[#This Row],[DISC 2-]]+NOTA[[#This Row],[DISC 3-]])</f>
        <v/>
      </c>
      <c r="AC498" s="37" t="str">
        <f>IF(NOTA[[#This Row],[JUMLAH]]="","",NOTA[[#This Row],[JUMLAH]]-NOTA[[#This Row],[DISC]])</f>
        <v/>
      </c>
      <c r="AD498" s="37"/>
      <c r="AE4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8" s="37" t="str">
        <f>IF(OR(NOTA[[#This Row],[QTY]]="",NOTA[[#This Row],[HARGA SATUAN]]="",),"",NOTA[[#This Row],[QTY]]*NOTA[[#This Row],[HARGA SATUAN]])</f>
        <v/>
      </c>
      <c r="AI498" s="26" t="str">
        <f ca="1">IF(NOTA[[#This Row],[ID_H]]="","",INDEX(NOTA[TANGGAL],MATCH(,INDIRECT(ADDRESS(ROW(NOTA[TANGGAL]),COLUMN(NOTA[TANGGAL]))&amp;":"&amp;ADDRESS(ROW(),COLUMN(NOTA[TANGGAL]))),-1)))</f>
        <v/>
      </c>
      <c r="AJ498" s="26" t="str">
        <f ca="1">IF(NOTA[[#This Row],[ID_H]]="","",INDEX(NOTA[TGL.NOTA],MATCH(,INDIRECT(ADDRESS(ROW(NOTA[TGL.NOTA]),COLUMN(NOTA[TGL.NOTA]))&amp;":"&amp;ADDRESS(ROW(),COLUMN(NOTA[TGL.NOTA]))),-1)))</f>
        <v/>
      </c>
      <c r="AK498" s="26" t="str">
        <f ca="1">IF(NOTA[[#This Row],[ID_H]]="","",INDEX(NOTA[NO.NOTA],MATCH(NOTA[[#This Row],[ID_H]],NOTA[ID_H],0)))</f>
        <v/>
      </c>
      <c r="AL498" s="28" t="str">
        <f ca="1">IF(NOTA[[#This Row],[NAMA BARANG]]="","",INDEX(NOTA[SUPPLIER],MATCH(,INDIRECT(ADDRESS(ROW(NOTA[ID]),COLUMN(NOTA[ID]))&amp;":"&amp;ADDRESS(ROW(),COLUMN(NOTA[ID]))),-1)))</f>
        <v/>
      </c>
      <c r="AM498" s="28" t="str">
        <f ca="1">IF(NOTA[[#This Row],[ID_H]]="","",IF(NOTA[[#This Row],[FAKTUR]]="",INDIRECT(ADDRESS(ROW()-1,COLUMN())),NOTA[[#This Row],[FAKTUR]]))</f>
        <v/>
      </c>
      <c r="AN498" s="25" t="str">
        <f ca="1">IF(NOTA[[#This Row],[ID]]="","",COUNTIF(NOTA[ID_H],NOTA[[#This Row],[ID_H]]))</f>
        <v/>
      </c>
      <c r="AO498" s="25" t="str">
        <f ca="1">IF(NOTA[[#This Row],[TGL.NOTA]]="",IF(NOTA[[#This Row],[SUPPLIER_H]]="","",AO497),MONTH(NOTA[[#This Row],[TGL.NOTA]]))</f>
        <v/>
      </c>
      <c r="AP4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8" s="25"/>
      <c r="AU498" s="25" t="str">
        <f>IF(NOTA[[#This Row],[CONCAT1]]="","",MATCH(NOTA[[#This Row],[CONCAT1]],[3]!db[NB NOTA_C],0))</f>
        <v/>
      </c>
      <c r="AV498" s="25" t="str">
        <f>IF(NOTA[[#This Row],[QTY/ CTN]]="","",TRUE)</f>
        <v/>
      </c>
      <c r="AW498" s="25" t="str">
        <f ca="1">IF(NOTA[[#This Row],[ID_H]]="","",IF(NOTA[[#This Row],[Column3]]=TRUE,NOTA[[#This Row],[QTY/ CTN]],INDEX([3]!db[QTY/ CTN],NOTA[[#This Row],[//DB]])))</f>
        <v/>
      </c>
      <c r="AX4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8" s="25" t="str">
        <f ca="1">IF(NOTA[[#This Row],[ID_H]]="","",MATCH(NOTA[[#This Row],[NB NOTA_C_QTY]],[3]!db[NB NOTA_C_QTY+F],0))</f>
        <v/>
      </c>
      <c r="AZ498" s="38" t="str">
        <f ca="1">IF(NOTA[[#This Row],[NB NOTA_C_QTY]]="","",ROW()-2)</f>
        <v/>
      </c>
    </row>
    <row r="499" spans="1:52" ht="20.100000000000001" customHeight="1">
      <c r="A4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9" s="25" t="str">
        <f ca="1">IF(NOTA[[#This Row],[NAMA BARANG]]="","",INDEX(NOTA[ID],MATCH(,INDIRECT(ADDRESS(ROW(NOTA[ID]),COLUMN(NOTA[ID]))&amp;":"&amp;ADDRESS(ROW(),COLUMN(NOTA[ID]))),-1)))</f>
        <v/>
      </c>
      <c r="E499" s="33"/>
      <c r="H499" s="34"/>
      <c r="Q499" s="29"/>
      <c r="R499" s="35"/>
      <c r="S499" s="36"/>
      <c r="V499" s="37"/>
      <c r="W499" s="32"/>
      <c r="X499" s="37" t="str">
        <f>IF(NOTA[[#This Row],[HARGA/ CTN]]="",NOTA[[#This Row],[JUMLAH_H]],NOTA[[#This Row],[HARGA/ CTN]]*IF(NOTA[[#This Row],[C]]="",0,NOTA[[#This Row],[C]]))</f>
        <v/>
      </c>
      <c r="Y499" s="37" t="str">
        <f>IF(NOTA[[#This Row],[JUMLAH]]="","",NOTA[[#This Row],[JUMLAH]]*NOTA[[#This Row],[DISC 1]])</f>
        <v/>
      </c>
      <c r="Z499" s="37" t="str">
        <f>IF(NOTA[[#This Row],[JUMLAH]]="","",(NOTA[[#This Row],[JUMLAH]]-NOTA[[#This Row],[DISC 1-]])*NOTA[[#This Row],[DISC 2]])</f>
        <v/>
      </c>
      <c r="AA499" s="37" t="str">
        <f>IF(NOTA[[#This Row],[JUMLAH]]="","",(NOTA[[#This Row],[JUMLAH]]-NOTA[[#This Row],[DISC 1-]]-NOTA[[#This Row],[DISC 2-]])*NOTA[[#This Row],[DISC 3]])</f>
        <v/>
      </c>
      <c r="AB499" s="37" t="str">
        <f>IF(NOTA[[#This Row],[JUMLAH]]="","",NOTA[[#This Row],[DISC 1-]]+NOTA[[#This Row],[DISC 2-]]+NOTA[[#This Row],[DISC 3-]])</f>
        <v/>
      </c>
      <c r="AC499" s="37" t="str">
        <f>IF(NOTA[[#This Row],[JUMLAH]]="","",NOTA[[#This Row],[JUMLAH]]-NOTA[[#This Row],[DISC]])</f>
        <v/>
      </c>
      <c r="AD499" s="37"/>
      <c r="AE4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9" s="37" t="str">
        <f>IF(OR(NOTA[[#This Row],[QTY]]="",NOTA[[#This Row],[HARGA SATUAN]]="",),"",NOTA[[#This Row],[QTY]]*NOTA[[#This Row],[HARGA SATUAN]])</f>
        <v/>
      </c>
      <c r="AI499" s="26" t="str">
        <f ca="1">IF(NOTA[[#This Row],[ID_H]]="","",INDEX(NOTA[TANGGAL],MATCH(,INDIRECT(ADDRESS(ROW(NOTA[TANGGAL]),COLUMN(NOTA[TANGGAL]))&amp;":"&amp;ADDRESS(ROW(),COLUMN(NOTA[TANGGAL]))),-1)))</f>
        <v/>
      </c>
      <c r="AJ499" s="26" t="str">
        <f ca="1">IF(NOTA[[#This Row],[ID_H]]="","",INDEX(NOTA[TGL.NOTA],MATCH(,INDIRECT(ADDRESS(ROW(NOTA[TGL.NOTA]),COLUMN(NOTA[TGL.NOTA]))&amp;":"&amp;ADDRESS(ROW(),COLUMN(NOTA[TGL.NOTA]))),-1)))</f>
        <v/>
      </c>
      <c r="AK499" s="26" t="str">
        <f ca="1">IF(NOTA[[#This Row],[ID_H]]="","",INDEX(NOTA[NO.NOTA],MATCH(NOTA[[#This Row],[ID_H]],NOTA[ID_H],0)))</f>
        <v/>
      </c>
      <c r="AL499" s="28" t="str">
        <f ca="1">IF(NOTA[[#This Row],[NAMA BARANG]]="","",INDEX(NOTA[SUPPLIER],MATCH(,INDIRECT(ADDRESS(ROW(NOTA[ID]),COLUMN(NOTA[ID]))&amp;":"&amp;ADDRESS(ROW(),COLUMN(NOTA[ID]))),-1)))</f>
        <v/>
      </c>
      <c r="AM499" s="28" t="str">
        <f ca="1">IF(NOTA[[#This Row],[ID_H]]="","",IF(NOTA[[#This Row],[FAKTUR]]="",INDIRECT(ADDRESS(ROW()-1,COLUMN())),NOTA[[#This Row],[FAKTUR]]))</f>
        <v/>
      </c>
      <c r="AN499" s="25" t="str">
        <f ca="1">IF(NOTA[[#This Row],[ID]]="","",COUNTIF(NOTA[ID_H],NOTA[[#This Row],[ID_H]]))</f>
        <v/>
      </c>
      <c r="AO499" s="25" t="str">
        <f ca="1">IF(NOTA[[#This Row],[TGL.NOTA]]="",IF(NOTA[[#This Row],[SUPPLIER_H]]="","",AO498),MONTH(NOTA[[#This Row],[TGL.NOTA]]))</f>
        <v/>
      </c>
      <c r="AP4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9" s="25"/>
      <c r="AU499" s="25" t="str">
        <f>IF(NOTA[[#This Row],[CONCAT1]]="","",MATCH(NOTA[[#This Row],[CONCAT1]],[3]!db[NB NOTA_C],0))</f>
        <v/>
      </c>
      <c r="AV499" s="25" t="str">
        <f>IF(NOTA[[#This Row],[QTY/ CTN]]="","",TRUE)</f>
        <v/>
      </c>
      <c r="AW499" s="25" t="str">
        <f ca="1">IF(NOTA[[#This Row],[ID_H]]="","",IF(NOTA[[#This Row],[Column3]]=TRUE,NOTA[[#This Row],[QTY/ CTN]],INDEX([3]!db[QTY/ CTN],NOTA[[#This Row],[//DB]])))</f>
        <v/>
      </c>
      <c r="AX4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9" s="25" t="str">
        <f ca="1">IF(NOTA[[#This Row],[ID_H]]="","",MATCH(NOTA[[#This Row],[NB NOTA_C_QTY]],[3]!db[NB NOTA_C_QTY+F],0))</f>
        <v/>
      </c>
      <c r="AZ499" s="38" t="str">
        <f ca="1">IF(NOTA[[#This Row],[NB NOTA_C_QTY]]="","",ROW()-2)</f>
        <v/>
      </c>
    </row>
    <row r="500" spans="1:52" ht="20.100000000000001" customHeight="1">
      <c r="A5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0" s="25" t="str">
        <f ca="1">IF(NOTA[[#This Row],[NAMA BARANG]]="","",INDEX(NOTA[ID],MATCH(,INDIRECT(ADDRESS(ROW(NOTA[ID]),COLUMN(NOTA[ID]))&amp;":"&amp;ADDRESS(ROW(),COLUMN(NOTA[ID]))),-1)))</f>
        <v/>
      </c>
      <c r="E500" s="33"/>
      <c r="H500" s="34"/>
      <c r="Q500" s="29"/>
      <c r="R500" s="35"/>
      <c r="S500" s="36"/>
      <c r="V500" s="37"/>
      <c r="W500" s="32"/>
      <c r="X500" s="37" t="str">
        <f>IF(NOTA[[#This Row],[HARGA/ CTN]]="",NOTA[[#This Row],[JUMLAH_H]],NOTA[[#This Row],[HARGA/ CTN]]*IF(NOTA[[#This Row],[C]]="",0,NOTA[[#This Row],[C]]))</f>
        <v/>
      </c>
      <c r="Y500" s="37" t="str">
        <f>IF(NOTA[[#This Row],[JUMLAH]]="","",NOTA[[#This Row],[JUMLAH]]*NOTA[[#This Row],[DISC 1]])</f>
        <v/>
      </c>
      <c r="Z500" s="37" t="str">
        <f>IF(NOTA[[#This Row],[JUMLAH]]="","",(NOTA[[#This Row],[JUMLAH]]-NOTA[[#This Row],[DISC 1-]])*NOTA[[#This Row],[DISC 2]])</f>
        <v/>
      </c>
      <c r="AA500" s="37" t="str">
        <f>IF(NOTA[[#This Row],[JUMLAH]]="","",(NOTA[[#This Row],[JUMLAH]]-NOTA[[#This Row],[DISC 1-]]-NOTA[[#This Row],[DISC 2-]])*NOTA[[#This Row],[DISC 3]])</f>
        <v/>
      </c>
      <c r="AB500" s="37" t="str">
        <f>IF(NOTA[[#This Row],[JUMLAH]]="","",NOTA[[#This Row],[DISC 1-]]+NOTA[[#This Row],[DISC 2-]]+NOTA[[#This Row],[DISC 3-]])</f>
        <v/>
      </c>
      <c r="AC500" s="37" t="str">
        <f>IF(NOTA[[#This Row],[JUMLAH]]="","",NOTA[[#This Row],[JUMLAH]]-NOTA[[#This Row],[DISC]])</f>
        <v/>
      </c>
      <c r="AD500" s="37"/>
      <c r="AE5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0" s="37" t="str">
        <f>IF(OR(NOTA[[#This Row],[QTY]]="",NOTA[[#This Row],[HARGA SATUAN]]="",),"",NOTA[[#This Row],[QTY]]*NOTA[[#This Row],[HARGA SATUAN]])</f>
        <v/>
      </c>
      <c r="AI500" s="26" t="str">
        <f ca="1">IF(NOTA[[#This Row],[ID_H]]="","",INDEX(NOTA[TANGGAL],MATCH(,INDIRECT(ADDRESS(ROW(NOTA[TANGGAL]),COLUMN(NOTA[TANGGAL]))&amp;":"&amp;ADDRESS(ROW(),COLUMN(NOTA[TANGGAL]))),-1)))</f>
        <v/>
      </c>
      <c r="AJ500" s="26" t="str">
        <f ca="1">IF(NOTA[[#This Row],[ID_H]]="","",INDEX(NOTA[TGL.NOTA],MATCH(,INDIRECT(ADDRESS(ROW(NOTA[TGL.NOTA]),COLUMN(NOTA[TGL.NOTA]))&amp;":"&amp;ADDRESS(ROW(),COLUMN(NOTA[TGL.NOTA]))),-1)))</f>
        <v/>
      </c>
      <c r="AK500" s="26" t="str">
        <f ca="1">IF(NOTA[[#This Row],[ID_H]]="","",INDEX(NOTA[NO.NOTA],MATCH(NOTA[[#This Row],[ID_H]],NOTA[ID_H],0)))</f>
        <v/>
      </c>
      <c r="AL500" s="28" t="str">
        <f ca="1">IF(NOTA[[#This Row],[NAMA BARANG]]="","",INDEX(NOTA[SUPPLIER],MATCH(,INDIRECT(ADDRESS(ROW(NOTA[ID]),COLUMN(NOTA[ID]))&amp;":"&amp;ADDRESS(ROW(),COLUMN(NOTA[ID]))),-1)))</f>
        <v/>
      </c>
      <c r="AM500" s="28" t="str">
        <f ca="1">IF(NOTA[[#This Row],[ID_H]]="","",IF(NOTA[[#This Row],[FAKTUR]]="",INDIRECT(ADDRESS(ROW()-1,COLUMN())),NOTA[[#This Row],[FAKTUR]]))</f>
        <v/>
      </c>
      <c r="AN500" s="25" t="str">
        <f ca="1">IF(NOTA[[#This Row],[ID]]="","",COUNTIF(NOTA[ID_H],NOTA[[#This Row],[ID_H]]))</f>
        <v/>
      </c>
      <c r="AO500" s="25" t="str">
        <f ca="1">IF(NOTA[[#This Row],[TGL.NOTA]]="",IF(NOTA[[#This Row],[SUPPLIER_H]]="","",AO499),MONTH(NOTA[[#This Row],[TGL.NOTA]]))</f>
        <v/>
      </c>
      <c r="AP5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0" s="25"/>
      <c r="AU500" s="25" t="str">
        <f>IF(NOTA[[#This Row],[CONCAT1]]="","",MATCH(NOTA[[#This Row],[CONCAT1]],[3]!db[NB NOTA_C],0))</f>
        <v/>
      </c>
      <c r="AV500" s="25" t="str">
        <f>IF(NOTA[[#This Row],[QTY/ CTN]]="","",TRUE)</f>
        <v/>
      </c>
      <c r="AW500" s="25" t="str">
        <f ca="1">IF(NOTA[[#This Row],[ID_H]]="","",IF(NOTA[[#This Row],[Column3]]=TRUE,NOTA[[#This Row],[QTY/ CTN]],INDEX([3]!db[QTY/ CTN],NOTA[[#This Row],[//DB]])))</f>
        <v/>
      </c>
      <c r="AX5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0" s="25" t="str">
        <f ca="1">IF(NOTA[[#This Row],[ID_H]]="","",MATCH(NOTA[[#This Row],[NB NOTA_C_QTY]],[3]!db[NB NOTA_C_QTY+F],0))</f>
        <v/>
      </c>
      <c r="AZ500" s="38" t="str">
        <f ca="1">IF(NOTA[[#This Row],[NB NOTA_C_QTY]]="","",ROW()-2)</f>
        <v/>
      </c>
    </row>
    <row r="501" spans="1:52" ht="20.100000000000001" customHeight="1">
      <c r="A5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1" s="25" t="str">
        <f ca="1">IF(NOTA[[#This Row],[NAMA BARANG]]="","",INDEX(NOTA[ID],MATCH(,INDIRECT(ADDRESS(ROW(NOTA[ID]),COLUMN(NOTA[ID]))&amp;":"&amp;ADDRESS(ROW(),COLUMN(NOTA[ID]))),-1)))</f>
        <v/>
      </c>
      <c r="E501" s="33"/>
      <c r="H501" s="34"/>
      <c r="Q501" s="29"/>
      <c r="R501" s="35"/>
      <c r="S501" s="36"/>
      <c r="V501" s="37"/>
      <c r="W501" s="32"/>
      <c r="X501" s="37" t="str">
        <f>IF(NOTA[[#This Row],[HARGA/ CTN]]="",NOTA[[#This Row],[JUMLAH_H]],NOTA[[#This Row],[HARGA/ CTN]]*IF(NOTA[[#This Row],[C]]="",0,NOTA[[#This Row],[C]]))</f>
        <v/>
      </c>
      <c r="Y501" s="37" t="str">
        <f>IF(NOTA[[#This Row],[JUMLAH]]="","",NOTA[[#This Row],[JUMLAH]]*NOTA[[#This Row],[DISC 1]])</f>
        <v/>
      </c>
      <c r="Z501" s="37" t="str">
        <f>IF(NOTA[[#This Row],[JUMLAH]]="","",(NOTA[[#This Row],[JUMLAH]]-NOTA[[#This Row],[DISC 1-]])*NOTA[[#This Row],[DISC 2]])</f>
        <v/>
      </c>
      <c r="AA501" s="37" t="str">
        <f>IF(NOTA[[#This Row],[JUMLAH]]="","",(NOTA[[#This Row],[JUMLAH]]-NOTA[[#This Row],[DISC 1-]]-NOTA[[#This Row],[DISC 2-]])*NOTA[[#This Row],[DISC 3]])</f>
        <v/>
      </c>
      <c r="AB501" s="37" t="str">
        <f>IF(NOTA[[#This Row],[JUMLAH]]="","",NOTA[[#This Row],[DISC 1-]]+NOTA[[#This Row],[DISC 2-]]+NOTA[[#This Row],[DISC 3-]])</f>
        <v/>
      </c>
      <c r="AC501" s="37" t="str">
        <f>IF(NOTA[[#This Row],[JUMLAH]]="","",NOTA[[#This Row],[JUMLAH]]-NOTA[[#This Row],[DISC]])</f>
        <v/>
      </c>
      <c r="AD501" s="37"/>
      <c r="AE5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1" s="37" t="str">
        <f>IF(OR(NOTA[[#This Row],[QTY]]="",NOTA[[#This Row],[HARGA SATUAN]]="",),"",NOTA[[#This Row],[QTY]]*NOTA[[#This Row],[HARGA SATUAN]])</f>
        <v/>
      </c>
      <c r="AI501" s="26" t="str">
        <f ca="1">IF(NOTA[[#This Row],[ID_H]]="","",INDEX(NOTA[TANGGAL],MATCH(,INDIRECT(ADDRESS(ROW(NOTA[TANGGAL]),COLUMN(NOTA[TANGGAL]))&amp;":"&amp;ADDRESS(ROW(),COLUMN(NOTA[TANGGAL]))),-1)))</f>
        <v/>
      </c>
      <c r="AJ501" s="26" t="str">
        <f ca="1">IF(NOTA[[#This Row],[ID_H]]="","",INDEX(NOTA[TGL.NOTA],MATCH(,INDIRECT(ADDRESS(ROW(NOTA[TGL.NOTA]),COLUMN(NOTA[TGL.NOTA]))&amp;":"&amp;ADDRESS(ROW(),COLUMN(NOTA[TGL.NOTA]))),-1)))</f>
        <v/>
      </c>
      <c r="AK501" s="26" t="str">
        <f ca="1">IF(NOTA[[#This Row],[ID_H]]="","",INDEX(NOTA[NO.NOTA],MATCH(NOTA[[#This Row],[ID_H]],NOTA[ID_H],0)))</f>
        <v/>
      </c>
      <c r="AL501" s="28" t="str">
        <f ca="1">IF(NOTA[[#This Row],[NAMA BARANG]]="","",INDEX(NOTA[SUPPLIER],MATCH(,INDIRECT(ADDRESS(ROW(NOTA[ID]),COLUMN(NOTA[ID]))&amp;":"&amp;ADDRESS(ROW(),COLUMN(NOTA[ID]))),-1)))</f>
        <v/>
      </c>
      <c r="AM501" s="28" t="str">
        <f ca="1">IF(NOTA[[#This Row],[ID_H]]="","",IF(NOTA[[#This Row],[FAKTUR]]="",INDIRECT(ADDRESS(ROW()-1,COLUMN())),NOTA[[#This Row],[FAKTUR]]))</f>
        <v/>
      </c>
      <c r="AN501" s="25" t="str">
        <f ca="1">IF(NOTA[[#This Row],[ID]]="","",COUNTIF(NOTA[ID_H],NOTA[[#This Row],[ID_H]]))</f>
        <v/>
      </c>
      <c r="AO501" s="25" t="str">
        <f ca="1">IF(NOTA[[#This Row],[TGL.NOTA]]="",IF(NOTA[[#This Row],[SUPPLIER_H]]="","",AO500),MONTH(NOTA[[#This Row],[TGL.NOTA]]))</f>
        <v/>
      </c>
      <c r="AP5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1" s="25"/>
      <c r="AU501" s="25" t="str">
        <f>IF(NOTA[[#This Row],[CONCAT1]]="","",MATCH(NOTA[[#This Row],[CONCAT1]],[3]!db[NB NOTA_C],0))</f>
        <v/>
      </c>
      <c r="AV501" s="25" t="str">
        <f>IF(NOTA[[#This Row],[QTY/ CTN]]="","",TRUE)</f>
        <v/>
      </c>
      <c r="AW501" s="25" t="str">
        <f ca="1">IF(NOTA[[#This Row],[ID_H]]="","",IF(NOTA[[#This Row],[Column3]]=TRUE,NOTA[[#This Row],[QTY/ CTN]],INDEX([3]!db[QTY/ CTN],NOTA[[#This Row],[//DB]])))</f>
        <v/>
      </c>
      <c r="AX5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1" s="25" t="str">
        <f ca="1">IF(NOTA[[#This Row],[ID_H]]="","",MATCH(NOTA[[#This Row],[NB NOTA_C_QTY]],[3]!db[NB NOTA_C_QTY+F],0))</f>
        <v/>
      </c>
      <c r="AZ501" s="38" t="str">
        <f ca="1">IF(NOTA[[#This Row],[NB NOTA_C_QTY]]="","",ROW()-2)</f>
        <v/>
      </c>
    </row>
    <row r="502" spans="1:52" ht="20.100000000000001" customHeight="1">
      <c r="A5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2" s="25" t="str">
        <f ca="1">IF(NOTA[[#This Row],[NAMA BARANG]]="","",INDEX(NOTA[ID],MATCH(,INDIRECT(ADDRESS(ROW(NOTA[ID]),COLUMN(NOTA[ID]))&amp;":"&amp;ADDRESS(ROW(),COLUMN(NOTA[ID]))),-1)))</f>
        <v/>
      </c>
      <c r="E502" s="33"/>
      <c r="H502" s="34"/>
      <c r="Q502" s="29"/>
      <c r="R502" s="35"/>
      <c r="S502" s="36"/>
      <c r="V502" s="37"/>
      <c r="W502" s="32"/>
      <c r="X502" s="37" t="str">
        <f>IF(NOTA[[#This Row],[HARGA/ CTN]]="",NOTA[[#This Row],[JUMLAH_H]],NOTA[[#This Row],[HARGA/ CTN]]*IF(NOTA[[#This Row],[C]]="",0,NOTA[[#This Row],[C]]))</f>
        <v/>
      </c>
      <c r="Y502" s="37" t="str">
        <f>IF(NOTA[[#This Row],[JUMLAH]]="","",NOTA[[#This Row],[JUMLAH]]*NOTA[[#This Row],[DISC 1]])</f>
        <v/>
      </c>
      <c r="Z502" s="37" t="str">
        <f>IF(NOTA[[#This Row],[JUMLAH]]="","",(NOTA[[#This Row],[JUMLAH]]-NOTA[[#This Row],[DISC 1-]])*NOTA[[#This Row],[DISC 2]])</f>
        <v/>
      </c>
      <c r="AA502" s="37" t="str">
        <f>IF(NOTA[[#This Row],[JUMLAH]]="","",(NOTA[[#This Row],[JUMLAH]]-NOTA[[#This Row],[DISC 1-]]-NOTA[[#This Row],[DISC 2-]])*NOTA[[#This Row],[DISC 3]])</f>
        <v/>
      </c>
      <c r="AB502" s="37" t="str">
        <f>IF(NOTA[[#This Row],[JUMLAH]]="","",NOTA[[#This Row],[DISC 1-]]+NOTA[[#This Row],[DISC 2-]]+NOTA[[#This Row],[DISC 3-]])</f>
        <v/>
      </c>
      <c r="AC502" s="37" t="str">
        <f>IF(NOTA[[#This Row],[JUMLAH]]="","",NOTA[[#This Row],[JUMLAH]]-NOTA[[#This Row],[DISC]])</f>
        <v/>
      </c>
      <c r="AD502" s="37"/>
      <c r="AE5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2" s="37" t="str">
        <f>IF(OR(NOTA[[#This Row],[QTY]]="",NOTA[[#This Row],[HARGA SATUAN]]="",),"",NOTA[[#This Row],[QTY]]*NOTA[[#This Row],[HARGA SATUAN]])</f>
        <v/>
      </c>
      <c r="AI502" s="26" t="str">
        <f ca="1">IF(NOTA[[#This Row],[ID_H]]="","",INDEX(NOTA[TANGGAL],MATCH(,INDIRECT(ADDRESS(ROW(NOTA[TANGGAL]),COLUMN(NOTA[TANGGAL]))&amp;":"&amp;ADDRESS(ROW(),COLUMN(NOTA[TANGGAL]))),-1)))</f>
        <v/>
      </c>
      <c r="AJ502" s="26" t="str">
        <f ca="1">IF(NOTA[[#This Row],[ID_H]]="","",INDEX(NOTA[TGL.NOTA],MATCH(,INDIRECT(ADDRESS(ROW(NOTA[TGL.NOTA]),COLUMN(NOTA[TGL.NOTA]))&amp;":"&amp;ADDRESS(ROW(),COLUMN(NOTA[TGL.NOTA]))),-1)))</f>
        <v/>
      </c>
      <c r="AK502" s="26" t="str">
        <f ca="1">IF(NOTA[[#This Row],[ID_H]]="","",INDEX(NOTA[NO.NOTA],MATCH(NOTA[[#This Row],[ID_H]],NOTA[ID_H],0)))</f>
        <v/>
      </c>
      <c r="AL502" s="28" t="str">
        <f ca="1">IF(NOTA[[#This Row],[NAMA BARANG]]="","",INDEX(NOTA[SUPPLIER],MATCH(,INDIRECT(ADDRESS(ROW(NOTA[ID]),COLUMN(NOTA[ID]))&amp;":"&amp;ADDRESS(ROW(),COLUMN(NOTA[ID]))),-1)))</f>
        <v/>
      </c>
      <c r="AM502" s="28" t="str">
        <f ca="1">IF(NOTA[[#This Row],[ID_H]]="","",IF(NOTA[[#This Row],[FAKTUR]]="",INDIRECT(ADDRESS(ROW()-1,COLUMN())),NOTA[[#This Row],[FAKTUR]]))</f>
        <v/>
      </c>
      <c r="AN502" s="25" t="str">
        <f ca="1">IF(NOTA[[#This Row],[ID]]="","",COUNTIF(NOTA[ID_H],NOTA[[#This Row],[ID_H]]))</f>
        <v/>
      </c>
      <c r="AO502" s="25" t="str">
        <f ca="1">IF(NOTA[[#This Row],[TGL.NOTA]]="",IF(NOTA[[#This Row],[SUPPLIER_H]]="","",AO501),MONTH(NOTA[[#This Row],[TGL.NOTA]]))</f>
        <v/>
      </c>
      <c r="AP5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2" s="25"/>
      <c r="AU502" s="25" t="str">
        <f>IF(NOTA[[#This Row],[CONCAT1]]="","",MATCH(NOTA[[#This Row],[CONCAT1]],[3]!db[NB NOTA_C],0))</f>
        <v/>
      </c>
      <c r="AV502" s="25" t="str">
        <f>IF(NOTA[[#This Row],[QTY/ CTN]]="","",TRUE)</f>
        <v/>
      </c>
      <c r="AW502" s="25" t="str">
        <f ca="1">IF(NOTA[[#This Row],[ID_H]]="","",IF(NOTA[[#This Row],[Column3]]=TRUE,NOTA[[#This Row],[QTY/ CTN]],INDEX([3]!db[QTY/ CTN],NOTA[[#This Row],[//DB]])))</f>
        <v/>
      </c>
      <c r="AX5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2" s="25" t="str">
        <f ca="1">IF(NOTA[[#This Row],[ID_H]]="","",MATCH(NOTA[[#This Row],[NB NOTA_C_QTY]],[3]!db[NB NOTA_C_QTY+F],0))</f>
        <v/>
      </c>
      <c r="AZ502" s="38" t="str">
        <f ca="1">IF(NOTA[[#This Row],[NB NOTA_C_QTY]]="","",ROW()-2)</f>
        <v/>
      </c>
    </row>
    <row r="503" spans="1:52" ht="20.100000000000001" customHeight="1">
      <c r="A5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3" s="25" t="str">
        <f ca="1">IF(NOTA[[#This Row],[NAMA BARANG]]="","",INDEX(NOTA[ID],MATCH(,INDIRECT(ADDRESS(ROW(NOTA[ID]),COLUMN(NOTA[ID]))&amp;":"&amp;ADDRESS(ROW(),COLUMN(NOTA[ID]))),-1)))</f>
        <v/>
      </c>
      <c r="E503" s="33"/>
      <c r="H503" s="34"/>
      <c r="Q503" s="29"/>
      <c r="R503" s="35"/>
      <c r="S503" s="36"/>
      <c r="V503" s="37"/>
      <c r="W503" s="32"/>
      <c r="X503" s="37" t="str">
        <f>IF(NOTA[[#This Row],[HARGA/ CTN]]="",NOTA[[#This Row],[JUMLAH_H]],NOTA[[#This Row],[HARGA/ CTN]]*IF(NOTA[[#This Row],[C]]="",0,NOTA[[#This Row],[C]]))</f>
        <v/>
      </c>
      <c r="Y503" s="37" t="str">
        <f>IF(NOTA[[#This Row],[JUMLAH]]="","",NOTA[[#This Row],[JUMLAH]]*NOTA[[#This Row],[DISC 1]])</f>
        <v/>
      </c>
      <c r="Z503" s="37" t="str">
        <f>IF(NOTA[[#This Row],[JUMLAH]]="","",(NOTA[[#This Row],[JUMLAH]]-NOTA[[#This Row],[DISC 1-]])*NOTA[[#This Row],[DISC 2]])</f>
        <v/>
      </c>
      <c r="AA503" s="37" t="str">
        <f>IF(NOTA[[#This Row],[JUMLAH]]="","",(NOTA[[#This Row],[JUMLAH]]-NOTA[[#This Row],[DISC 1-]]-NOTA[[#This Row],[DISC 2-]])*NOTA[[#This Row],[DISC 3]])</f>
        <v/>
      </c>
      <c r="AB503" s="37" t="str">
        <f>IF(NOTA[[#This Row],[JUMLAH]]="","",NOTA[[#This Row],[DISC 1-]]+NOTA[[#This Row],[DISC 2-]]+NOTA[[#This Row],[DISC 3-]])</f>
        <v/>
      </c>
      <c r="AC503" s="37" t="str">
        <f>IF(NOTA[[#This Row],[JUMLAH]]="","",NOTA[[#This Row],[JUMLAH]]-NOTA[[#This Row],[DISC]])</f>
        <v/>
      </c>
      <c r="AD503" s="37"/>
      <c r="AE5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3" s="37" t="str">
        <f>IF(OR(NOTA[[#This Row],[QTY]]="",NOTA[[#This Row],[HARGA SATUAN]]="",),"",NOTA[[#This Row],[QTY]]*NOTA[[#This Row],[HARGA SATUAN]])</f>
        <v/>
      </c>
      <c r="AI503" s="26" t="str">
        <f ca="1">IF(NOTA[[#This Row],[ID_H]]="","",INDEX(NOTA[TANGGAL],MATCH(,INDIRECT(ADDRESS(ROW(NOTA[TANGGAL]),COLUMN(NOTA[TANGGAL]))&amp;":"&amp;ADDRESS(ROW(),COLUMN(NOTA[TANGGAL]))),-1)))</f>
        <v/>
      </c>
      <c r="AJ503" s="26" t="str">
        <f ca="1">IF(NOTA[[#This Row],[ID_H]]="","",INDEX(NOTA[TGL.NOTA],MATCH(,INDIRECT(ADDRESS(ROW(NOTA[TGL.NOTA]),COLUMN(NOTA[TGL.NOTA]))&amp;":"&amp;ADDRESS(ROW(),COLUMN(NOTA[TGL.NOTA]))),-1)))</f>
        <v/>
      </c>
      <c r="AK503" s="26" t="str">
        <f ca="1">IF(NOTA[[#This Row],[ID_H]]="","",INDEX(NOTA[NO.NOTA],MATCH(NOTA[[#This Row],[ID_H]],NOTA[ID_H],0)))</f>
        <v/>
      </c>
      <c r="AL503" s="28" t="str">
        <f ca="1">IF(NOTA[[#This Row],[NAMA BARANG]]="","",INDEX(NOTA[SUPPLIER],MATCH(,INDIRECT(ADDRESS(ROW(NOTA[ID]),COLUMN(NOTA[ID]))&amp;":"&amp;ADDRESS(ROW(),COLUMN(NOTA[ID]))),-1)))</f>
        <v/>
      </c>
      <c r="AM503" s="28" t="str">
        <f ca="1">IF(NOTA[[#This Row],[ID_H]]="","",IF(NOTA[[#This Row],[FAKTUR]]="",INDIRECT(ADDRESS(ROW()-1,COLUMN())),NOTA[[#This Row],[FAKTUR]]))</f>
        <v/>
      </c>
      <c r="AN503" s="25" t="str">
        <f ca="1">IF(NOTA[[#This Row],[ID]]="","",COUNTIF(NOTA[ID_H],NOTA[[#This Row],[ID_H]]))</f>
        <v/>
      </c>
      <c r="AO503" s="25" t="str">
        <f ca="1">IF(NOTA[[#This Row],[TGL.NOTA]]="",IF(NOTA[[#This Row],[SUPPLIER_H]]="","",AO502),MONTH(NOTA[[#This Row],[TGL.NOTA]]))</f>
        <v/>
      </c>
      <c r="AP5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3" s="25"/>
      <c r="AU503" s="25" t="str">
        <f>IF(NOTA[[#This Row],[CONCAT1]]="","",MATCH(NOTA[[#This Row],[CONCAT1]],[3]!db[NB NOTA_C],0))</f>
        <v/>
      </c>
      <c r="AV503" s="25" t="str">
        <f>IF(NOTA[[#This Row],[QTY/ CTN]]="","",TRUE)</f>
        <v/>
      </c>
      <c r="AW503" s="25" t="str">
        <f ca="1">IF(NOTA[[#This Row],[ID_H]]="","",IF(NOTA[[#This Row],[Column3]]=TRUE,NOTA[[#This Row],[QTY/ CTN]],INDEX([3]!db[QTY/ CTN],NOTA[[#This Row],[//DB]])))</f>
        <v/>
      </c>
      <c r="AX5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3" s="25" t="str">
        <f ca="1">IF(NOTA[[#This Row],[ID_H]]="","",MATCH(NOTA[[#This Row],[NB NOTA_C_QTY]],[3]!db[NB NOTA_C_QTY+F],0))</f>
        <v/>
      </c>
      <c r="AZ503" s="38" t="str">
        <f ca="1">IF(NOTA[[#This Row],[NB NOTA_C_QTY]]="","",ROW()-2)</f>
        <v/>
      </c>
    </row>
    <row r="504" spans="1:52" ht="20.100000000000001" customHeight="1">
      <c r="A5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4" s="25" t="str">
        <f ca="1">IF(NOTA[[#This Row],[NAMA BARANG]]="","",INDEX(NOTA[ID],MATCH(,INDIRECT(ADDRESS(ROW(NOTA[ID]),COLUMN(NOTA[ID]))&amp;":"&amp;ADDRESS(ROW(),COLUMN(NOTA[ID]))),-1)))</f>
        <v/>
      </c>
      <c r="E504" s="33"/>
      <c r="H504" s="34"/>
      <c r="Q504" s="29"/>
      <c r="R504" s="35"/>
      <c r="S504" s="36"/>
      <c r="V504" s="37"/>
      <c r="W504" s="32"/>
      <c r="X504" s="37" t="str">
        <f>IF(NOTA[[#This Row],[HARGA/ CTN]]="",NOTA[[#This Row],[JUMLAH_H]],NOTA[[#This Row],[HARGA/ CTN]]*IF(NOTA[[#This Row],[C]]="",0,NOTA[[#This Row],[C]]))</f>
        <v/>
      </c>
      <c r="Y504" s="37" t="str">
        <f>IF(NOTA[[#This Row],[JUMLAH]]="","",NOTA[[#This Row],[JUMLAH]]*NOTA[[#This Row],[DISC 1]])</f>
        <v/>
      </c>
      <c r="Z504" s="37" t="str">
        <f>IF(NOTA[[#This Row],[JUMLAH]]="","",(NOTA[[#This Row],[JUMLAH]]-NOTA[[#This Row],[DISC 1-]])*NOTA[[#This Row],[DISC 2]])</f>
        <v/>
      </c>
      <c r="AA504" s="37" t="str">
        <f>IF(NOTA[[#This Row],[JUMLAH]]="","",(NOTA[[#This Row],[JUMLAH]]-NOTA[[#This Row],[DISC 1-]]-NOTA[[#This Row],[DISC 2-]])*NOTA[[#This Row],[DISC 3]])</f>
        <v/>
      </c>
      <c r="AB504" s="37" t="str">
        <f>IF(NOTA[[#This Row],[JUMLAH]]="","",NOTA[[#This Row],[DISC 1-]]+NOTA[[#This Row],[DISC 2-]]+NOTA[[#This Row],[DISC 3-]])</f>
        <v/>
      </c>
      <c r="AC504" s="37" t="str">
        <f>IF(NOTA[[#This Row],[JUMLAH]]="","",NOTA[[#This Row],[JUMLAH]]-NOTA[[#This Row],[DISC]])</f>
        <v/>
      </c>
      <c r="AD504" s="37"/>
      <c r="AE5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4" s="37" t="str">
        <f>IF(OR(NOTA[[#This Row],[QTY]]="",NOTA[[#This Row],[HARGA SATUAN]]="",),"",NOTA[[#This Row],[QTY]]*NOTA[[#This Row],[HARGA SATUAN]])</f>
        <v/>
      </c>
      <c r="AI504" s="26" t="str">
        <f ca="1">IF(NOTA[[#This Row],[ID_H]]="","",INDEX(NOTA[TANGGAL],MATCH(,INDIRECT(ADDRESS(ROW(NOTA[TANGGAL]),COLUMN(NOTA[TANGGAL]))&amp;":"&amp;ADDRESS(ROW(),COLUMN(NOTA[TANGGAL]))),-1)))</f>
        <v/>
      </c>
      <c r="AJ504" s="26" t="str">
        <f ca="1">IF(NOTA[[#This Row],[ID_H]]="","",INDEX(NOTA[TGL.NOTA],MATCH(,INDIRECT(ADDRESS(ROW(NOTA[TGL.NOTA]),COLUMN(NOTA[TGL.NOTA]))&amp;":"&amp;ADDRESS(ROW(),COLUMN(NOTA[TGL.NOTA]))),-1)))</f>
        <v/>
      </c>
      <c r="AK504" s="26" t="str">
        <f ca="1">IF(NOTA[[#This Row],[ID_H]]="","",INDEX(NOTA[NO.NOTA],MATCH(NOTA[[#This Row],[ID_H]],NOTA[ID_H],0)))</f>
        <v/>
      </c>
      <c r="AL504" s="28" t="str">
        <f ca="1">IF(NOTA[[#This Row],[NAMA BARANG]]="","",INDEX(NOTA[SUPPLIER],MATCH(,INDIRECT(ADDRESS(ROW(NOTA[ID]),COLUMN(NOTA[ID]))&amp;":"&amp;ADDRESS(ROW(),COLUMN(NOTA[ID]))),-1)))</f>
        <v/>
      </c>
      <c r="AM504" s="28" t="str">
        <f ca="1">IF(NOTA[[#This Row],[ID_H]]="","",IF(NOTA[[#This Row],[FAKTUR]]="",INDIRECT(ADDRESS(ROW()-1,COLUMN())),NOTA[[#This Row],[FAKTUR]]))</f>
        <v/>
      </c>
      <c r="AN504" s="25" t="str">
        <f ca="1">IF(NOTA[[#This Row],[ID]]="","",COUNTIF(NOTA[ID_H],NOTA[[#This Row],[ID_H]]))</f>
        <v/>
      </c>
      <c r="AO504" s="25" t="str">
        <f ca="1">IF(NOTA[[#This Row],[TGL.NOTA]]="",IF(NOTA[[#This Row],[SUPPLIER_H]]="","",AO503),MONTH(NOTA[[#This Row],[TGL.NOTA]]))</f>
        <v/>
      </c>
      <c r="AP5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4" s="25"/>
      <c r="AU504" s="25" t="str">
        <f>IF(NOTA[[#This Row],[CONCAT1]]="","",MATCH(NOTA[[#This Row],[CONCAT1]],[3]!db[NB NOTA_C],0))</f>
        <v/>
      </c>
      <c r="AV504" s="25" t="str">
        <f>IF(NOTA[[#This Row],[QTY/ CTN]]="","",TRUE)</f>
        <v/>
      </c>
      <c r="AW504" s="25" t="str">
        <f ca="1">IF(NOTA[[#This Row],[ID_H]]="","",IF(NOTA[[#This Row],[Column3]]=TRUE,NOTA[[#This Row],[QTY/ CTN]],INDEX([3]!db[QTY/ CTN],NOTA[[#This Row],[//DB]])))</f>
        <v/>
      </c>
      <c r="AX5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4" s="25" t="str">
        <f ca="1">IF(NOTA[[#This Row],[ID_H]]="","",MATCH(NOTA[[#This Row],[NB NOTA_C_QTY]],[3]!db[NB NOTA_C_QTY+F],0))</f>
        <v/>
      </c>
      <c r="AZ504" s="38" t="str">
        <f ca="1">IF(NOTA[[#This Row],[NB NOTA_C_QTY]]="","",ROW()-2)</f>
        <v/>
      </c>
    </row>
    <row r="505" spans="1:52" ht="20.100000000000001" customHeight="1">
      <c r="A5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5" s="25" t="str">
        <f ca="1">IF(NOTA[[#This Row],[NAMA BARANG]]="","",INDEX(NOTA[ID],MATCH(,INDIRECT(ADDRESS(ROW(NOTA[ID]),COLUMN(NOTA[ID]))&amp;":"&amp;ADDRESS(ROW(),COLUMN(NOTA[ID]))),-1)))</f>
        <v/>
      </c>
      <c r="E505" s="33"/>
      <c r="H505" s="34"/>
      <c r="Q505" s="29"/>
      <c r="R505" s="35"/>
      <c r="S505" s="36"/>
      <c r="V505" s="37"/>
      <c r="W505" s="32"/>
      <c r="X505" s="37" t="str">
        <f>IF(NOTA[[#This Row],[HARGA/ CTN]]="",NOTA[[#This Row],[JUMLAH_H]],NOTA[[#This Row],[HARGA/ CTN]]*IF(NOTA[[#This Row],[C]]="",0,NOTA[[#This Row],[C]]))</f>
        <v/>
      </c>
      <c r="Y505" s="37" t="str">
        <f>IF(NOTA[[#This Row],[JUMLAH]]="","",NOTA[[#This Row],[JUMLAH]]*NOTA[[#This Row],[DISC 1]])</f>
        <v/>
      </c>
      <c r="Z505" s="37" t="str">
        <f>IF(NOTA[[#This Row],[JUMLAH]]="","",(NOTA[[#This Row],[JUMLAH]]-NOTA[[#This Row],[DISC 1-]])*NOTA[[#This Row],[DISC 2]])</f>
        <v/>
      </c>
      <c r="AA505" s="37" t="str">
        <f>IF(NOTA[[#This Row],[JUMLAH]]="","",(NOTA[[#This Row],[JUMLAH]]-NOTA[[#This Row],[DISC 1-]]-NOTA[[#This Row],[DISC 2-]])*NOTA[[#This Row],[DISC 3]])</f>
        <v/>
      </c>
      <c r="AB505" s="37" t="str">
        <f>IF(NOTA[[#This Row],[JUMLAH]]="","",NOTA[[#This Row],[DISC 1-]]+NOTA[[#This Row],[DISC 2-]]+NOTA[[#This Row],[DISC 3-]])</f>
        <v/>
      </c>
      <c r="AC505" s="37" t="str">
        <f>IF(NOTA[[#This Row],[JUMLAH]]="","",NOTA[[#This Row],[JUMLAH]]-NOTA[[#This Row],[DISC]])</f>
        <v/>
      </c>
      <c r="AD505" s="37"/>
      <c r="AE5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5" s="37" t="str">
        <f>IF(OR(NOTA[[#This Row],[QTY]]="",NOTA[[#This Row],[HARGA SATUAN]]="",),"",NOTA[[#This Row],[QTY]]*NOTA[[#This Row],[HARGA SATUAN]])</f>
        <v/>
      </c>
      <c r="AI505" s="26" t="str">
        <f ca="1">IF(NOTA[[#This Row],[ID_H]]="","",INDEX(NOTA[TANGGAL],MATCH(,INDIRECT(ADDRESS(ROW(NOTA[TANGGAL]),COLUMN(NOTA[TANGGAL]))&amp;":"&amp;ADDRESS(ROW(),COLUMN(NOTA[TANGGAL]))),-1)))</f>
        <v/>
      </c>
      <c r="AJ505" s="26" t="str">
        <f ca="1">IF(NOTA[[#This Row],[ID_H]]="","",INDEX(NOTA[TGL.NOTA],MATCH(,INDIRECT(ADDRESS(ROW(NOTA[TGL.NOTA]),COLUMN(NOTA[TGL.NOTA]))&amp;":"&amp;ADDRESS(ROW(),COLUMN(NOTA[TGL.NOTA]))),-1)))</f>
        <v/>
      </c>
      <c r="AK505" s="26" t="str">
        <f ca="1">IF(NOTA[[#This Row],[ID_H]]="","",INDEX(NOTA[NO.NOTA],MATCH(NOTA[[#This Row],[ID_H]],NOTA[ID_H],0)))</f>
        <v/>
      </c>
      <c r="AL505" s="28" t="str">
        <f ca="1">IF(NOTA[[#This Row],[NAMA BARANG]]="","",INDEX(NOTA[SUPPLIER],MATCH(,INDIRECT(ADDRESS(ROW(NOTA[ID]),COLUMN(NOTA[ID]))&amp;":"&amp;ADDRESS(ROW(),COLUMN(NOTA[ID]))),-1)))</f>
        <v/>
      </c>
      <c r="AM505" s="28" t="str">
        <f ca="1">IF(NOTA[[#This Row],[ID_H]]="","",IF(NOTA[[#This Row],[FAKTUR]]="",INDIRECT(ADDRESS(ROW()-1,COLUMN())),NOTA[[#This Row],[FAKTUR]]))</f>
        <v/>
      </c>
      <c r="AN505" s="25" t="str">
        <f ca="1">IF(NOTA[[#This Row],[ID]]="","",COUNTIF(NOTA[ID_H],NOTA[[#This Row],[ID_H]]))</f>
        <v/>
      </c>
      <c r="AO505" s="25" t="str">
        <f ca="1">IF(NOTA[[#This Row],[TGL.NOTA]]="",IF(NOTA[[#This Row],[SUPPLIER_H]]="","",AO504),MONTH(NOTA[[#This Row],[TGL.NOTA]]))</f>
        <v/>
      </c>
      <c r="AP5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5" s="25"/>
      <c r="AU505" s="25" t="str">
        <f>IF(NOTA[[#This Row],[CONCAT1]]="","",MATCH(NOTA[[#This Row],[CONCAT1]],[3]!db[NB NOTA_C],0))</f>
        <v/>
      </c>
      <c r="AV505" s="25" t="str">
        <f>IF(NOTA[[#This Row],[QTY/ CTN]]="","",TRUE)</f>
        <v/>
      </c>
      <c r="AW505" s="25" t="str">
        <f ca="1">IF(NOTA[[#This Row],[ID_H]]="","",IF(NOTA[[#This Row],[Column3]]=TRUE,NOTA[[#This Row],[QTY/ CTN]],INDEX([3]!db[QTY/ CTN],NOTA[[#This Row],[//DB]])))</f>
        <v/>
      </c>
      <c r="AX5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5" s="25" t="str">
        <f ca="1">IF(NOTA[[#This Row],[ID_H]]="","",MATCH(NOTA[[#This Row],[NB NOTA_C_QTY]],[3]!db[NB NOTA_C_QTY+F],0))</f>
        <v/>
      </c>
      <c r="AZ505" s="38" t="str">
        <f ca="1">IF(NOTA[[#This Row],[NB NOTA_C_QTY]]="","",ROW()-2)</f>
        <v/>
      </c>
    </row>
    <row r="506" spans="1:52" ht="20.100000000000001" customHeight="1">
      <c r="A5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6" s="25" t="str">
        <f ca="1">IF(NOTA[[#This Row],[NAMA BARANG]]="","",INDEX(NOTA[ID],MATCH(,INDIRECT(ADDRESS(ROW(NOTA[ID]),COLUMN(NOTA[ID]))&amp;":"&amp;ADDRESS(ROW(),COLUMN(NOTA[ID]))),-1)))</f>
        <v/>
      </c>
      <c r="E506" s="33"/>
      <c r="H506" s="34"/>
      <c r="Q506" s="29"/>
      <c r="R506" s="35"/>
      <c r="S506" s="36"/>
      <c r="V506" s="37"/>
      <c r="W506" s="32"/>
      <c r="X506" s="37" t="str">
        <f>IF(NOTA[[#This Row],[HARGA/ CTN]]="",NOTA[[#This Row],[JUMLAH_H]],NOTA[[#This Row],[HARGA/ CTN]]*IF(NOTA[[#This Row],[C]]="",0,NOTA[[#This Row],[C]]))</f>
        <v/>
      </c>
      <c r="Y506" s="37" t="str">
        <f>IF(NOTA[[#This Row],[JUMLAH]]="","",NOTA[[#This Row],[JUMLAH]]*NOTA[[#This Row],[DISC 1]])</f>
        <v/>
      </c>
      <c r="Z506" s="37" t="str">
        <f>IF(NOTA[[#This Row],[JUMLAH]]="","",(NOTA[[#This Row],[JUMLAH]]-NOTA[[#This Row],[DISC 1-]])*NOTA[[#This Row],[DISC 2]])</f>
        <v/>
      </c>
      <c r="AA506" s="37" t="str">
        <f>IF(NOTA[[#This Row],[JUMLAH]]="","",(NOTA[[#This Row],[JUMLAH]]-NOTA[[#This Row],[DISC 1-]]-NOTA[[#This Row],[DISC 2-]])*NOTA[[#This Row],[DISC 3]])</f>
        <v/>
      </c>
      <c r="AB506" s="37" t="str">
        <f>IF(NOTA[[#This Row],[JUMLAH]]="","",NOTA[[#This Row],[DISC 1-]]+NOTA[[#This Row],[DISC 2-]]+NOTA[[#This Row],[DISC 3-]])</f>
        <v/>
      </c>
      <c r="AC506" s="37" t="str">
        <f>IF(NOTA[[#This Row],[JUMLAH]]="","",NOTA[[#This Row],[JUMLAH]]-NOTA[[#This Row],[DISC]])</f>
        <v/>
      </c>
      <c r="AD506" s="37"/>
      <c r="AE5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6" s="37" t="str">
        <f>IF(OR(NOTA[[#This Row],[QTY]]="",NOTA[[#This Row],[HARGA SATUAN]]="",),"",NOTA[[#This Row],[QTY]]*NOTA[[#This Row],[HARGA SATUAN]])</f>
        <v/>
      </c>
      <c r="AI506" s="26" t="str">
        <f ca="1">IF(NOTA[[#This Row],[ID_H]]="","",INDEX(NOTA[TANGGAL],MATCH(,INDIRECT(ADDRESS(ROW(NOTA[TANGGAL]),COLUMN(NOTA[TANGGAL]))&amp;":"&amp;ADDRESS(ROW(),COLUMN(NOTA[TANGGAL]))),-1)))</f>
        <v/>
      </c>
      <c r="AJ506" s="26" t="str">
        <f ca="1">IF(NOTA[[#This Row],[ID_H]]="","",INDEX(NOTA[TGL.NOTA],MATCH(,INDIRECT(ADDRESS(ROW(NOTA[TGL.NOTA]),COLUMN(NOTA[TGL.NOTA]))&amp;":"&amp;ADDRESS(ROW(),COLUMN(NOTA[TGL.NOTA]))),-1)))</f>
        <v/>
      </c>
      <c r="AK506" s="26" t="str">
        <f ca="1">IF(NOTA[[#This Row],[ID_H]]="","",INDEX(NOTA[NO.NOTA],MATCH(NOTA[[#This Row],[ID_H]],NOTA[ID_H],0)))</f>
        <v/>
      </c>
      <c r="AL506" s="28" t="str">
        <f ca="1">IF(NOTA[[#This Row],[NAMA BARANG]]="","",INDEX(NOTA[SUPPLIER],MATCH(,INDIRECT(ADDRESS(ROW(NOTA[ID]),COLUMN(NOTA[ID]))&amp;":"&amp;ADDRESS(ROW(),COLUMN(NOTA[ID]))),-1)))</f>
        <v/>
      </c>
      <c r="AM506" s="28" t="str">
        <f ca="1">IF(NOTA[[#This Row],[ID_H]]="","",IF(NOTA[[#This Row],[FAKTUR]]="",INDIRECT(ADDRESS(ROW()-1,COLUMN())),NOTA[[#This Row],[FAKTUR]]))</f>
        <v/>
      </c>
      <c r="AN506" s="25" t="str">
        <f ca="1">IF(NOTA[[#This Row],[ID]]="","",COUNTIF(NOTA[ID_H],NOTA[[#This Row],[ID_H]]))</f>
        <v/>
      </c>
      <c r="AO506" s="25" t="str">
        <f ca="1">IF(NOTA[[#This Row],[TGL.NOTA]]="",IF(NOTA[[#This Row],[SUPPLIER_H]]="","",AO505),MONTH(NOTA[[#This Row],[TGL.NOTA]]))</f>
        <v/>
      </c>
      <c r="AP5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6" s="25"/>
      <c r="AU506" s="25" t="str">
        <f>IF(NOTA[[#This Row],[CONCAT1]]="","",MATCH(NOTA[[#This Row],[CONCAT1]],[3]!db[NB NOTA_C],0))</f>
        <v/>
      </c>
      <c r="AV506" s="25" t="str">
        <f>IF(NOTA[[#This Row],[QTY/ CTN]]="","",TRUE)</f>
        <v/>
      </c>
      <c r="AW506" s="25" t="str">
        <f ca="1">IF(NOTA[[#This Row],[ID_H]]="","",IF(NOTA[[#This Row],[Column3]]=TRUE,NOTA[[#This Row],[QTY/ CTN]],INDEX([3]!db[QTY/ CTN],NOTA[[#This Row],[//DB]])))</f>
        <v/>
      </c>
      <c r="AX5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6" s="25" t="str">
        <f ca="1">IF(NOTA[[#This Row],[ID_H]]="","",MATCH(NOTA[[#This Row],[NB NOTA_C_QTY]],[3]!db[NB NOTA_C_QTY+F],0))</f>
        <v/>
      </c>
      <c r="AZ506" s="38" t="str">
        <f ca="1">IF(NOTA[[#This Row],[NB NOTA_C_QTY]]="","",ROW()-2)</f>
        <v/>
      </c>
    </row>
    <row r="507" spans="1:52" ht="20.100000000000001" customHeight="1">
      <c r="A5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7" s="25" t="str">
        <f ca="1">IF(NOTA[[#This Row],[NAMA BARANG]]="","",INDEX(NOTA[ID],MATCH(,INDIRECT(ADDRESS(ROW(NOTA[ID]),COLUMN(NOTA[ID]))&amp;":"&amp;ADDRESS(ROW(),COLUMN(NOTA[ID]))),-1)))</f>
        <v/>
      </c>
      <c r="E507" s="33"/>
      <c r="H507" s="34"/>
      <c r="Q507" s="29"/>
      <c r="R507" s="35"/>
      <c r="S507" s="36"/>
      <c r="V507" s="37"/>
      <c r="W507" s="32"/>
      <c r="X507" s="37" t="str">
        <f>IF(NOTA[[#This Row],[HARGA/ CTN]]="",NOTA[[#This Row],[JUMLAH_H]],NOTA[[#This Row],[HARGA/ CTN]]*IF(NOTA[[#This Row],[C]]="",0,NOTA[[#This Row],[C]]))</f>
        <v/>
      </c>
      <c r="Y507" s="37" t="str">
        <f>IF(NOTA[[#This Row],[JUMLAH]]="","",NOTA[[#This Row],[JUMLAH]]*NOTA[[#This Row],[DISC 1]])</f>
        <v/>
      </c>
      <c r="Z507" s="37" t="str">
        <f>IF(NOTA[[#This Row],[JUMLAH]]="","",(NOTA[[#This Row],[JUMLAH]]-NOTA[[#This Row],[DISC 1-]])*NOTA[[#This Row],[DISC 2]])</f>
        <v/>
      </c>
      <c r="AA507" s="37" t="str">
        <f>IF(NOTA[[#This Row],[JUMLAH]]="","",(NOTA[[#This Row],[JUMLAH]]-NOTA[[#This Row],[DISC 1-]]-NOTA[[#This Row],[DISC 2-]])*NOTA[[#This Row],[DISC 3]])</f>
        <v/>
      </c>
      <c r="AB507" s="37" t="str">
        <f>IF(NOTA[[#This Row],[JUMLAH]]="","",NOTA[[#This Row],[DISC 1-]]+NOTA[[#This Row],[DISC 2-]]+NOTA[[#This Row],[DISC 3-]])</f>
        <v/>
      </c>
      <c r="AC507" s="37" t="str">
        <f>IF(NOTA[[#This Row],[JUMLAH]]="","",NOTA[[#This Row],[JUMLAH]]-NOTA[[#This Row],[DISC]])</f>
        <v/>
      </c>
      <c r="AD507" s="37"/>
      <c r="AE5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7" s="37" t="str">
        <f>IF(OR(NOTA[[#This Row],[QTY]]="",NOTA[[#This Row],[HARGA SATUAN]]="",),"",NOTA[[#This Row],[QTY]]*NOTA[[#This Row],[HARGA SATUAN]])</f>
        <v/>
      </c>
      <c r="AI507" s="26" t="str">
        <f ca="1">IF(NOTA[[#This Row],[ID_H]]="","",INDEX(NOTA[TANGGAL],MATCH(,INDIRECT(ADDRESS(ROW(NOTA[TANGGAL]),COLUMN(NOTA[TANGGAL]))&amp;":"&amp;ADDRESS(ROW(),COLUMN(NOTA[TANGGAL]))),-1)))</f>
        <v/>
      </c>
      <c r="AJ507" s="26" t="str">
        <f ca="1">IF(NOTA[[#This Row],[ID_H]]="","",INDEX(NOTA[TGL.NOTA],MATCH(,INDIRECT(ADDRESS(ROW(NOTA[TGL.NOTA]),COLUMN(NOTA[TGL.NOTA]))&amp;":"&amp;ADDRESS(ROW(),COLUMN(NOTA[TGL.NOTA]))),-1)))</f>
        <v/>
      </c>
      <c r="AK507" s="26" t="str">
        <f ca="1">IF(NOTA[[#This Row],[ID_H]]="","",INDEX(NOTA[NO.NOTA],MATCH(NOTA[[#This Row],[ID_H]],NOTA[ID_H],0)))</f>
        <v/>
      </c>
      <c r="AL507" s="28" t="str">
        <f ca="1">IF(NOTA[[#This Row],[NAMA BARANG]]="","",INDEX(NOTA[SUPPLIER],MATCH(,INDIRECT(ADDRESS(ROW(NOTA[ID]),COLUMN(NOTA[ID]))&amp;":"&amp;ADDRESS(ROW(),COLUMN(NOTA[ID]))),-1)))</f>
        <v/>
      </c>
      <c r="AM507" s="28" t="str">
        <f ca="1">IF(NOTA[[#This Row],[ID_H]]="","",IF(NOTA[[#This Row],[FAKTUR]]="",INDIRECT(ADDRESS(ROW()-1,COLUMN())),NOTA[[#This Row],[FAKTUR]]))</f>
        <v/>
      </c>
      <c r="AN507" s="25" t="str">
        <f ca="1">IF(NOTA[[#This Row],[ID]]="","",COUNTIF(NOTA[ID_H],NOTA[[#This Row],[ID_H]]))</f>
        <v/>
      </c>
      <c r="AO507" s="25" t="str">
        <f ca="1">IF(NOTA[[#This Row],[TGL.NOTA]]="",IF(NOTA[[#This Row],[SUPPLIER_H]]="","",AO506),MONTH(NOTA[[#This Row],[TGL.NOTA]]))</f>
        <v/>
      </c>
      <c r="AP5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7" s="25"/>
      <c r="AU507" s="25" t="str">
        <f>IF(NOTA[[#This Row],[CONCAT1]]="","",MATCH(NOTA[[#This Row],[CONCAT1]],[3]!db[NB NOTA_C],0))</f>
        <v/>
      </c>
      <c r="AV507" s="25" t="str">
        <f>IF(NOTA[[#This Row],[QTY/ CTN]]="","",TRUE)</f>
        <v/>
      </c>
      <c r="AW507" s="25" t="str">
        <f ca="1">IF(NOTA[[#This Row],[ID_H]]="","",IF(NOTA[[#This Row],[Column3]]=TRUE,NOTA[[#This Row],[QTY/ CTN]],INDEX([3]!db[QTY/ CTN],NOTA[[#This Row],[//DB]])))</f>
        <v/>
      </c>
      <c r="AX5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7" s="25" t="str">
        <f ca="1">IF(NOTA[[#This Row],[ID_H]]="","",MATCH(NOTA[[#This Row],[NB NOTA_C_QTY]],[3]!db[NB NOTA_C_QTY+F],0))</f>
        <v/>
      </c>
      <c r="AZ507" s="38" t="str">
        <f ca="1">IF(NOTA[[#This Row],[NB NOTA_C_QTY]]="","",ROW()-2)</f>
        <v/>
      </c>
    </row>
    <row r="508" spans="1:52" ht="20.100000000000001" customHeight="1">
      <c r="A5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8" s="25" t="str">
        <f ca="1">IF(NOTA[[#This Row],[NAMA BARANG]]="","",INDEX(NOTA[ID],MATCH(,INDIRECT(ADDRESS(ROW(NOTA[ID]),COLUMN(NOTA[ID]))&amp;":"&amp;ADDRESS(ROW(),COLUMN(NOTA[ID]))),-1)))</f>
        <v/>
      </c>
      <c r="E508" s="33"/>
      <c r="H508" s="34"/>
      <c r="Q508" s="29"/>
      <c r="R508" s="35"/>
      <c r="S508" s="36"/>
      <c r="V508" s="37"/>
      <c r="W508" s="32"/>
      <c r="X508" s="37" t="str">
        <f>IF(NOTA[[#This Row],[HARGA/ CTN]]="",NOTA[[#This Row],[JUMLAH_H]],NOTA[[#This Row],[HARGA/ CTN]]*IF(NOTA[[#This Row],[C]]="",0,NOTA[[#This Row],[C]]))</f>
        <v/>
      </c>
      <c r="Y508" s="37" t="str">
        <f>IF(NOTA[[#This Row],[JUMLAH]]="","",NOTA[[#This Row],[JUMLAH]]*NOTA[[#This Row],[DISC 1]])</f>
        <v/>
      </c>
      <c r="Z508" s="37" t="str">
        <f>IF(NOTA[[#This Row],[JUMLAH]]="","",(NOTA[[#This Row],[JUMLAH]]-NOTA[[#This Row],[DISC 1-]])*NOTA[[#This Row],[DISC 2]])</f>
        <v/>
      </c>
      <c r="AA508" s="37" t="str">
        <f>IF(NOTA[[#This Row],[JUMLAH]]="","",(NOTA[[#This Row],[JUMLAH]]-NOTA[[#This Row],[DISC 1-]]-NOTA[[#This Row],[DISC 2-]])*NOTA[[#This Row],[DISC 3]])</f>
        <v/>
      </c>
      <c r="AB508" s="37" t="str">
        <f>IF(NOTA[[#This Row],[JUMLAH]]="","",NOTA[[#This Row],[DISC 1-]]+NOTA[[#This Row],[DISC 2-]]+NOTA[[#This Row],[DISC 3-]])</f>
        <v/>
      </c>
      <c r="AC508" s="37" t="str">
        <f>IF(NOTA[[#This Row],[JUMLAH]]="","",NOTA[[#This Row],[JUMLAH]]-NOTA[[#This Row],[DISC]])</f>
        <v/>
      </c>
      <c r="AD508" s="37"/>
      <c r="AE5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8" s="37" t="str">
        <f>IF(OR(NOTA[[#This Row],[QTY]]="",NOTA[[#This Row],[HARGA SATUAN]]="",),"",NOTA[[#This Row],[QTY]]*NOTA[[#This Row],[HARGA SATUAN]])</f>
        <v/>
      </c>
      <c r="AI508" s="26" t="str">
        <f ca="1">IF(NOTA[[#This Row],[ID_H]]="","",INDEX(NOTA[TANGGAL],MATCH(,INDIRECT(ADDRESS(ROW(NOTA[TANGGAL]),COLUMN(NOTA[TANGGAL]))&amp;":"&amp;ADDRESS(ROW(),COLUMN(NOTA[TANGGAL]))),-1)))</f>
        <v/>
      </c>
      <c r="AJ508" s="26" t="str">
        <f ca="1">IF(NOTA[[#This Row],[ID_H]]="","",INDEX(NOTA[TGL.NOTA],MATCH(,INDIRECT(ADDRESS(ROW(NOTA[TGL.NOTA]),COLUMN(NOTA[TGL.NOTA]))&amp;":"&amp;ADDRESS(ROW(),COLUMN(NOTA[TGL.NOTA]))),-1)))</f>
        <v/>
      </c>
      <c r="AK508" s="26" t="str">
        <f ca="1">IF(NOTA[[#This Row],[ID_H]]="","",INDEX(NOTA[NO.NOTA],MATCH(NOTA[[#This Row],[ID_H]],NOTA[ID_H],0)))</f>
        <v/>
      </c>
      <c r="AL508" s="28" t="str">
        <f ca="1">IF(NOTA[[#This Row],[NAMA BARANG]]="","",INDEX(NOTA[SUPPLIER],MATCH(,INDIRECT(ADDRESS(ROW(NOTA[ID]),COLUMN(NOTA[ID]))&amp;":"&amp;ADDRESS(ROW(),COLUMN(NOTA[ID]))),-1)))</f>
        <v/>
      </c>
      <c r="AM508" s="28" t="str">
        <f ca="1">IF(NOTA[[#This Row],[ID_H]]="","",IF(NOTA[[#This Row],[FAKTUR]]="",INDIRECT(ADDRESS(ROW()-1,COLUMN())),NOTA[[#This Row],[FAKTUR]]))</f>
        <v/>
      </c>
      <c r="AN508" s="25" t="str">
        <f ca="1">IF(NOTA[[#This Row],[ID]]="","",COUNTIF(NOTA[ID_H],NOTA[[#This Row],[ID_H]]))</f>
        <v/>
      </c>
      <c r="AO508" s="25" t="str">
        <f ca="1">IF(NOTA[[#This Row],[TGL.NOTA]]="",IF(NOTA[[#This Row],[SUPPLIER_H]]="","",AO507),MONTH(NOTA[[#This Row],[TGL.NOTA]]))</f>
        <v/>
      </c>
      <c r="AP5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8" s="25"/>
      <c r="AU508" s="25" t="str">
        <f>IF(NOTA[[#This Row],[CONCAT1]]="","",MATCH(NOTA[[#This Row],[CONCAT1]],[3]!db[NB NOTA_C],0))</f>
        <v/>
      </c>
      <c r="AV508" s="25" t="str">
        <f>IF(NOTA[[#This Row],[QTY/ CTN]]="","",TRUE)</f>
        <v/>
      </c>
      <c r="AW508" s="25" t="str">
        <f ca="1">IF(NOTA[[#This Row],[ID_H]]="","",IF(NOTA[[#This Row],[Column3]]=TRUE,NOTA[[#This Row],[QTY/ CTN]],INDEX([3]!db[QTY/ CTN],NOTA[[#This Row],[//DB]])))</f>
        <v/>
      </c>
      <c r="AX5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8" s="25" t="str">
        <f ca="1">IF(NOTA[[#This Row],[ID_H]]="","",MATCH(NOTA[[#This Row],[NB NOTA_C_QTY]],[3]!db[NB NOTA_C_QTY+F],0))</f>
        <v/>
      </c>
      <c r="AZ508" s="38" t="str">
        <f ca="1">IF(NOTA[[#This Row],[NB NOTA_C_QTY]]="","",ROW()-2)</f>
        <v/>
      </c>
    </row>
    <row r="509" spans="1:52" ht="20.100000000000001" customHeight="1">
      <c r="A5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9" s="25" t="str">
        <f ca="1">IF(NOTA[[#This Row],[NAMA BARANG]]="","",INDEX(NOTA[ID],MATCH(,INDIRECT(ADDRESS(ROW(NOTA[ID]),COLUMN(NOTA[ID]))&amp;":"&amp;ADDRESS(ROW(),COLUMN(NOTA[ID]))),-1)))</f>
        <v/>
      </c>
      <c r="E509" s="33"/>
      <c r="H509" s="34"/>
      <c r="Q509" s="29"/>
      <c r="R509" s="35"/>
      <c r="S509" s="36"/>
      <c r="V509" s="37"/>
      <c r="W509" s="32"/>
      <c r="X509" s="37" t="str">
        <f>IF(NOTA[[#This Row],[HARGA/ CTN]]="",NOTA[[#This Row],[JUMLAH_H]],NOTA[[#This Row],[HARGA/ CTN]]*IF(NOTA[[#This Row],[C]]="",0,NOTA[[#This Row],[C]]))</f>
        <v/>
      </c>
      <c r="Y509" s="37" t="str">
        <f>IF(NOTA[[#This Row],[JUMLAH]]="","",NOTA[[#This Row],[JUMLAH]]*NOTA[[#This Row],[DISC 1]])</f>
        <v/>
      </c>
      <c r="Z509" s="37" t="str">
        <f>IF(NOTA[[#This Row],[JUMLAH]]="","",(NOTA[[#This Row],[JUMLAH]]-NOTA[[#This Row],[DISC 1-]])*NOTA[[#This Row],[DISC 2]])</f>
        <v/>
      </c>
      <c r="AA509" s="37" t="str">
        <f>IF(NOTA[[#This Row],[JUMLAH]]="","",(NOTA[[#This Row],[JUMLAH]]-NOTA[[#This Row],[DISC 1-]]-NOTA[[#This Row],[DISC 2-]])*NOTA[[#This Row],[DISC 3]])</f>
        <v/>
      </c>
      <c r="AB509" s="37" t="str">
        <f>IF(NOTA[[#This Row],[JUMLAH]]="","",NOTA[[#This Row],[DISC 1-]]+NOTA[[#This Row],[DISC 2-]]+NOTA[[#This Row],[DISC 3-]])</f>
        <v/>
      </c>
      <c r="AC509" s="37" t="str">
        <f>IF(NOTA[[#This Row],[JUMLAH]]="","",NOTA[[#This Row],[JUMLAH]]-NOTA[[#This Row],[DISC]])</f>
        <v/>
      </c>
      <c r="AD509" s="37"/>
      <c r="AE5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9" s="37" t="str">
        <f>IF(OR(NOTA[[#This Row],[QTY]]="",NOTA[[#This Row],[HARGA SATUAN]]="",),"",NOTA[[#This Row],[QTY]]*NOTA[[#This Row],[HARGA SATUAN]])</f>
        <v/>
      </c>
      <c r="AI509" s="26" t="str">
        <f ca="1">IF(NOTA[[#This Row],[ID_H]]="","",INDEX(NOTA[TANGGAL],MATCH(,INDIRECT(ADDRESS(ROW(NOTA[TANGGAL]),COLUMN(NOTA[TANGGAL]))&amp;":"&amp;ADDRESS(ROW(),COLUMN(NOTA[TANGGAL]))),-1)))</f>
        <v/>
      </c>
      <c r="AJ509" s="26" t="str">
        <f ca="1">IF(NOTA[[#This Row],[ID_H]]="","",INDEX(NOTA[TGL.NOTA],MATCH(,INDIRECT(ADDRESS(ROW(NOTA[TGL.NOTA]),COLUMN(NOTA[TGL.NOTA]))&amp;":"&amp;ADDRESS(ROW(),COLUMN(NOTA[TGL.NOTA]))),-1)))</f>
        <v/>
      </c>
      <c r="AK509" s="26" t="str">
        <f ca="1">IF(NOTA[[#This Row],[ID_H]]="","",INDEX(NOTA[NO.NOTA],MATCH(NOTA[[#This Row],[ID_H]],NOTA[ID_H],0)))</f>
        <v/>
      </c>
      <c r="AL509" s="28" t="str">
        <f ca="1">IF(NOTA[[#This Row],[NAMA BARANG]]="","",INDEX(NOTA[SUPPLIER],MATCH(,INDIRECT(ADDRESS(ROW(NOTA[ID]),COLUMN(NOTA[ID]))&amp;":"&amp;ADDRESS(ROW(),COLUMN(NOTA[ID]))),-1)))</f>
        <v/>
      </c>
      <c r="AM509" s="28" t="str">
        <f ca="1">IF(NOTA[[#This Row],[ID_H]]="","",IF(NOTA[[#This Row],[FAKTUR]]="",INDIRECT(ADDRESS(ROW()-1,COLUMN())),NOTA[[#This Row],[FAKTUR]]))</f>
        <v/>
      </c>
      <c r="AN509" s="25" t="str">
        <f ca="1">IF(NOTA[[#This Row],[ID]]="","",COUNTIF(NOTA[ID_H],NOTA[[#This Row],[ID_H]]))</f>
        <v/>
      </c>
      <c r="AO509" s="25" t="str">
        <f ca="1">IF(NOTA[[#This Row],[TGL.NOTA]]="",IF(NOTA[[#This Row],[SUPPLIER_H]]="","",AO508),MONTH(NOTA[[#This Row],[TGL.NOTA]]))</f>
        <v/>
      </c>
      <c r="AP5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9" s="25"/>
      <c r="AU509" s="25" t="str">
        <f>IF(NOTA[[#This Row],[CONCAT1]]="","",MATCH(NOTA[[#This Row],[CONCAT1]],[3]!db[NB NOTA_C],0))</f>
        <v/>
      </c>
      <c r="AV509" s="25" t="str">
        <f>IF(NOTA[[#This Row],[QTY/ CTN]]="","",TRUE)</f>
        <v/>
      </c>
      <c r="AW509" s="25" t="str">
        <f ca="1">IF(NOTA[[#This Row],[ID_H]]="","",IF(NOTA[[#This Row],[Column3]]=TRUE,NOTA[[#This Row],[QTY/ CTN]],INDEX([3]!db[QTY/ CTN],NOTA[[#This Row],[//DB]])))</f>
        <v/>
      </c>
      <c r="AX5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9" s="25" t="str">
        <f ca="1">IF(NOTA[[#This Row],[ID_H]]="","",MATCH(NOTA[[#This Row],[NB NOTA_C_QTY]],[3]!db[NB NOTA_C_QTY+F],0))</f>
        <v/>
      </c>
      <c r="AZ509" s="38" t="str">
        <f ca="1">IF(NOTA[[#This Row],[NB NOTA_C_QTY]]="","",ROW()-2)</f>
        <v/>
      </c>
    </row>
    <row r="510" spans="1:52" ht="20.100000000000001" customHeight="1">
      <c r="A5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0" s="25" t="str">
        <f ca="1">IF(NOTA[[#This Row],[NAMA BARANG]]="","",INDEX(NOTA[ID],MATCH(,INDIRECT(ADDRESS(ROW(NOTA[ID]),COLUMN(NOTA[ID]))&amp;":"&amp;ADDRESS(ROW(),COLUMN(NOTA[ID]))),-1)))</f>
        <v/>
      </c>
      <c r="E510" s="33"/>
      <c r="H510" s="34"/>
      <c r="Q510" s="29"/>
      <c r="R510" s="35"/>
      <c r="S510" s="36"/>
      <c r="V510" s="37"/>
      <c r="W510" s="32"/>
      <c r="X510" s="37" t="str">
        <f>IF(NOTA[[#This Row],[HARGA/ CTN]]="",NOTA[[#This Row],[JUMLAH_H]],NOTA[[#This Row],[HARGA/ CTN]]*IF(NOTA[[#This Row],[C]]="",0,NOTA[[#This Row],[C]]))</f>
        <v/>
      </c>
      <c r="Y510" s="37" t="str">
        <f>IF(NOTA[[#This Row],[JUMLAH]]="","",NOTA[[#This Row],[JUMLAH]]*NOTA[[#This Row],[DISC 1]])</f>
        <v/>
      </c>
      <c r="Z510" s="37" t="str">
        <f>IF(NOTA[[#This Row],[JUMLAH]]="","",(NOTA[[#This Row],[JUMLAH]]-NOTA[[#This Row],[DISC 1-]])*NOTA[[#This Row],[DISC 2]])</f>
        <v/>
      </c>
      <c r="AA510" s="37" t="str">
        <f>IF(NOTA[[#This Row],[JUMLAH]]="","",(NOTA[[#This Row],[JUMLAH]]-NOTA[[#This Row],[DISC 1-]]-NOTA[[#This Row],[DISC 2-]])*NOTA[[#This Row],[DISC 3]])</f>
        <v/>
      </c>
      <c r="AB510" s="37" t="str">
        <f>IF(NOTA[[#This Row],[JUMLAH]]="","",NOTA[[#This Row],[DISC 1-]]+NOTA[[#This Row],[DISC 2-]]+NOTA[[#This Row],[DISC 3-]])</f>
        <v/>
      </c>
      <c r="AC510" s="37" t="str">
        <f>IF(NOTA[[#This Row],[JUMLAH]]="","",NOTA[[#This Row],[JUMLAH]]-NOTA[[#This Row],[DISC]])</f>
        <v/>
      </c>
      <c r="AD510" s="37"/>
      <c r="AE5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0" s="37" t="str">
        <f>IF(OR(NOTA[[#This Row],[QTY]]="",NOTA[[#This Row],[HARGA SATUAN]]="",),"",NOTA[[#This Row],[QTY]]*NOTA[[#This Row],[HARGA SATUAN]])</f>
        <v/>
      </c>
      <c r="AI510" s="26" t="str">
        <f ca="1">IF(NOTA[[#This Row],[ID_H]]="","",INDEX(NOTA[TANGGAL],MATCH(,INDIRECT(ADDRESS(ROW(NOTA[TANGGAL]),COLUMN(NOTA[TANGGAL]))&amp;":"&amp;ADDRESS(ROW(),COLUMN(NOTA[TANGGAL]))),-1)))</f>
        <v/>
      </c>
      <c r="AJ510" s="26" t="str">
        <f ca="1">IF(NOTA[[#This Row],[ID_H]]="","",INDEX(NOTA[TGL.NOTA],MATCH(,INDIRECT(ADDRESS(ROW(NOTA[TGL.NOTA]),COLUMN(NOTA[TGL.NOTA]))&amp;":"&amp;ADDRESS(ROW(),COLUMN(NOTA[TGL.NOTA]))),-1)))</f>
        <v/>
      </c>
      <c r="AK510" s="26" t="str">
        <f ca="1">IF(NOTA[[#This Row],[ID_H]]="","",INDEX(NOTA[NO.NOTA],MATCH(NOTA[[#This Row],[ID_H]],NOTA[ID_H],0)))</f>
        <v/>
      </c>
      <c r="AL510" s="28" t="str">
        <f ca="1">IF(NOTA[[#This Row],[NAMA BARANG]]="","",INDEX(NOTA[SUPPLIER],MATCH(,INDIRECT(ADDRESS(ROW(NOTA[ID]),COLUMN(NOTA[ID]))&amp;":"&amp;ADDRESS(ROW(),COLUMN(NOTA[ID]))),-1)))</f>
        <v/>
      </c>
      <c r="AM510" s="28" t="str">
        <f ca="1">IF(NOTA[[#This Row],[ID_H]]="","",IF(NOTA[[#This Row],[FAKTUR]]="",INDIRECT(ADDRESS(ROW()-1,COLUMN())),NOTA[[#This Row],[FAKTUR]]))</f>
        <v/>
      </c>
      <c r="AN510" s="25" t="str">
        <f ca="1">IF(NOTA[[#This Row],[ID]]="","",COUNTIF(NOTA[ID_H],NOTA[[#This Row],[ID_H]]))</f>
        <v/>
      </c>
      <c r="AO510" s="25" t="str">
        <f ca="1">IF(NOTA[[#This Row],[TGL.NOTA]]="",IF(NOTA[[#This Row],[SUPPLIER_H]]="","",AO509),MONTH(NOTA[[#This Row],[TGL.NOTA]]))</f>
        <v/>
      </c>
      <c r="AP5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0" s="25"/>
      <c r="AU510" s="25" t="str">
        <f>IF(NOTA[[#This Row],[CONCAT1]]="","",MATCH(NOTA[[#This Row],[CONCAT1]],[3]!db[NB NOTA_C],0))</f>
        <v/>
      </c>
      <c r="AV510" s="25" t="str">
        <f>IF(NOTA[[#This Row],[QTY/ CTN]]="","",TRUE)</f>
        <v/>
      </c>
      <c r="AW510" s="25" t="str">
        <f ca="1">IF(NOTA[[#This Row],[ID_H]]="","",IF(NOTA[[#This Row],[Column3]]=TRUE,NOTA[[#This Row],[QTY/ CTN]],INDEX([3]!db[QTY/ CTN],NOTA[[#This Row],[//DB]])))</f>
        <v/>
      </c>
      <c r="AX5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0" s="25" t="str">
        <f ca="1">IF(NOTA[[#This Row],[ID_H]]="","",MATCH(NOTA[[#This Row],[NB NOTA_C_QTY]],[3]!db[NB NOTA_C_QTY+F],0))</f>
        <v/>
      </c>
      <c r="AZ510" s="38" t="str">
        <f ca="1">IF(NOTA[[#This Row],[NB NOTA_C_QTY]]="","",ROW()-2)</f>
        <v/>
      </c>
    </row>
    <row r="511" spans="1:52" ht="20.100000000000001" customHeight="1">
      <c r="A5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1" s="25" t="str">
        <f ca="1">IF(NOTA[[#This Row],[NAMA BARANG]]="","",INDEX(NOTA[ID],MATCH(,INDIRECT(ADDRESS(ROW(NOTA[ID]),COLUMN(NOTA[ID]))&amp;":"&amp;ADDRESS(ROW(),COLUMN(NOTA[ID]))),-1)))</f>
        <v/>
      </c>
      <c r="E511" s="33"/>
      <c r="H511" s="34"/>
      <c r="Q511" s="29"/>
      <c r="R511" s="35"/>
      <c r="S511" s="36"/>
      <c r="V511" s="37"/>
      <c r="W511" s="32"/>
      <c r="X511" s="37" t="str">
        <f>IF(NOTA[[#This Row],[HARGA/ CTN]]="",NOTA[[#This Row],[JUMLAH_H]],NOTA[[#This Row],[HARGA/ CTN]]*IF(NOTA[[#This Row],[C]]="",0,NOTA[[#This Row],[C]]))</f>
        <v/>
      </c>
      <c r="Y511" s="37" t="str">
        <f>IF(NOTA[[#This Row],[JUMLAH]]="","",NOTA[[#This Row],[JUMLAH]]*NOTA[[#This Row],[DISC 1]])</f>
        <v/>
      </c>
      <c r="Z511" s="37" t="str">
        <f>IF(NOTA[[#This Row],[JUMLAH]]="","",(NOTA[[#This Row],[JUMLAH]]-NOTA[[#This Row],[DISC 1-]])*NOTA[[#This Row],[DISC 2]])</f>
        <v/>
      </c>
      <c r="AA511" s="37" t="str">
        <f>IF(NOTA[[#This Row],[JUMLAH]]="","",(NOTA[[#This Row],[JUMLAH]]-NOTA[[#This Row],[DISC 1-]]-NOTA[[#This Row],[DISC 2-]])*NOTA[[#This Row],[DISC 3]])</f>
        <v/>
      </c>
      <c r="AB511" s="37" t="str">
        <f>IF(NOTA[[#This Row],[JUMLAH]]="","",NOTA[[#This Row],[DISC 1-]]+NOTA[[#This Row],[DISC 2-]]+NOTA[[#This Row],[DISC 3-]])</f>
        <v/>
      </c>
      <c r="AC511" s="37" t="str">
        <f>IF(NOTA[[#This Row],[JUMLAH]]="","",NOTA[[#This Row],[JUMLAH]]-NOTA[[#This Row],[DISC]])</f>
        <v/>
      </c>
      <c r="AD511" s="37"/>
      <c r="AE5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1" s="37" t="str">
        <f>IF(OR(NOTA[[#This Row],[QTY]]="",NOTA[[#This Row],[HARGA SATUAN]]="",),"",NOTA[[#This Row],[QTY]]*NOTA[[#This Row],[HARGA SATUAN]])</f>
        <v/>
      </c>
      <c r="AI511" s="26" t="str">
        <f ca="1">IF(NOTA[[#This Row],[ID_H]]="","",INDEX(NOTA[TANGGAL],MATCH(,INDIRECT(ADDRESS(ROW(NOTA[TANGGAL]),COLUMN(NOTA[TANGGAL]))&amp;":"&amp;ADDRESS(ROW(),COLUMN(NOTA[TANGGAL]))),-1)))</f>
        <v/>
      </c>
      <c r="AJ511" s="26" t="str">
        <f ca="1">IF(NOTA[[#This Row],[ID_H]]="","",INDEX(NOTA[TGL.NOTA],MATCH(,INDIRECT(ADDRESS(ROW(NOTA[TGL.NOTA]),COLUMN(NOTA[TGL.NOTA]))&amp;":"&amp;ADDRESS(ROW(),COLUMN(NOTA[TGL.NOTA]))),-1)))</f>
        <v/>
      </c>
      <c r="AK511" s="26" t="str">
        <f ca="1">IF(NOTA[[#This Row],[ID_H]]="","",INDEX(NOTA[NO.NOTA],MATCH(NOTA[[#This Row],[ID_H]],NOTA[ID_H],0)))</f>
        <v/>
      </c>
      <c r="AL511" s="28" t="str">
        <f ca="1">IF(NOTA[[#This Row],[NAMA BARANG]]="","",INDEX(NOTA[SUPPLIER],MATCH(,INDIRECT(ADDRESS(ROW(NOTA[ID]),COLUMN(NOTA[ID]))&amp;":"&amp;ADDRESS(ROW(),COLUMN(NOTA[ID]))),-1)))</f>
        <v/>
      </c>
      <c r="AM511" s="28" t="str">
        <f ca="1">IF(NOTA[[#This Row],[ID_H]]="","",IF(NOTA[[#This Row],[FAKTUR]]="",INDIRECT(ADDRESS(ROW()-1,COLUMN())),NOTA[[#This Row],[FAKTUR]]))</f>
        <v/>
      </c>
      <c r="AN511" s="25" t="str">
        <f ca="1">IF(NOTA[[#This Row],[ID]]="","",COUNTIF(NOTA[ID_H],NOTA[[#This Row],[ID_H]]))</f>
        <v/>
      </c>
      <c r="AO511" s="25" t="str">
        <f ca="1">IF(NOTA[[#This Row],[TGL.NOTA]]="",IF(NOTA[[#This Row],[SUPPLIER_H]]="","",AO510),MONTH(NOTA[[#This Row],[TGL.NOTA]]))</f>
        <v/>
      </c>
      <c r="AP5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1" s="25"/>
      <c r="AU511" s="25" t="str">
        <f>IF(NOTA[[#This Row],[CONCAT1]]="","",MATCH(NOTA[[#This Row],[CONCAT1]],[3]!db[NB NOTA_C],0))</f>
        <v/>
      </c>
      <c r="AV511" s="25" t="str">
        <f>IF(NOTA[[#This Row],[QTY/ CTN]]="","",TRUE)</f>
        <v/>
      </c>
      <c r="AW511" s="25" t="str">
        <f ca="1">IF(NOTA[[#This Row],[ID_H]]="","",IF(NOTA[[#This Row],[Column3]]=TRUE,NOTA[[#This Row],[QTY/ CTN]],INDEX([3]!db[QTY/ CTN],NOTA[[#This Row],[//DB]])))</f>
        <v/>
      </c>
      <c r="AX5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1" s="25" t="str">
        <f ca="1">IF(NOTA[[#This Row],[ID_H]]="","",MATCH(NOTA[[#This Row],[NB NOTA_C_QTY]],[3]!db[NB NOTA_C_QTY+F],0))</f>
        <v/>
      </c>
      <c r="AZ511" s="38" t="str">
        <f ca="1">IF(NOTA[[#This Row],[NB NOTA_C_QTY]]="","",ROW()-2)</f>
        <v/>
      </c>
    </row>
    <row r="512" spans="1:52" ht="20.100000000000001" customHeight="1">
      <c r="A5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2" s="25" t="str">
        <f ca="1">IF(NOTA[[#This Row],[NAMA BARANG]]="","",INDEX(NOTA[ID],MATCH(,INDIRECT(ADDRESS(ROW(NOTA[ID]),COLUMN(NOTA[ID]))&amp;":"&amp;ADDRESS(ROW(),COLUMN(NOTA[ID]))),-1)))</f>
        <v/>
      </c>
      <c r="E512" s="33"/>
      <c r="H512" s="34"/>
      <c r="Q512" s="29"/>
      <c r="R512" s="35"/>
      <c r="S512" s="36"/>
      <c r="V512" s="37"/>
      <c r="W512" s="32"/>
      <c r="X512" s="37" t="str">
        <f>IF(NOTA[[#This Row],[HARGA/ CTN]]="",NOTA[[#This Row],[JUMLAH_H]],NOTA[[#This Row],[HARGA/ CTN]]*IF(NOTA[[#This Row],[C]]="",0,NOTA[[#This Row],[C]]))</f>
        <v/>
      </c>
      <c r="Y512" s="37" t="str">
        <f>IF(NOTA[[#This Row],[JUMLAH]]="","",NOTA[[#This Row],[JUMLAH]]*NOTA[[#This Row],[DISC 1]])</f>
        <v/>
      </c>
      <c r="Z512" s="37" t="str">
        <f>IF(NOTA[[#This Row],[JUMLAH]]="","",(NOTA[[#This Row],[JUMLAH]]-NOTA[[#This Row],[DISC 1-]])*NOTA[[#This Row],[DISC 2]])</f>
        <v/>
      </c>
      <c r="AA512" s="37" t="str">
        <f>IF(NOTA[[#This Row],[JUMLAH]]="","",(NOTA[[#This Row],[JUMLAH]]-NOTA[[#This Row],[DISC 1-]]-NOTA[[#This Row],[DISC 2-]])*NOTA[[#This Row],[DISC 3]])</f>
        <v/>
      </c>
      <c r="AB512" s="37" t="str">
        <f>IF(NOTA[[#This Row],[JUMLAH]]="","",NOTA[[#This Row],[DISC 1-]]+NOTA[[#This Row],[DISC 2-]]+NOTA[[#This Row],[DISC 3-]])</f>
        <v/>
      </c>
      <c r="AC512" s="37" t="str">
        <f>IF(NOTA[[#This Row],[JUMLAH]]="","",NOTA[[#This Row],[JUMLAH]]-NOTA[[#This Row],[DISC]])</f>
        <v/>
      </c>
      <c r="AD512" s="37"/>
      <c r="AE5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2" s="37" t="str">
        <f>IF(OR(NOTA[[#This Row],[QTY]]="",NOTA[[#This Row],[HARGA SATUAN]]="",),"",NOTA[[#This Row],[QTY]]*NOTA[[#This Row],[HARGA SATUAN]])</f>
        <v/>
      </c>
      <c r="AI512" s="26" t="str">
        <f ca="1">IF(NOTA[[#This Row],[ID_H]]="","",INDEX(NOTA[TANGGAL],MATCH(,INDIRECT(ADDRESS(ROW(NOTA[TANGGAL]),COLUMN(NOTA[TANGGAL]))&amp;":"&amp;ADDRESS(ROW(),COLUMN(NOTA[TANGGAL]))),-1)))</f>
        <v/>
      </c>
      <c r="AJ512" s="26" t="str">
        <f ca="1">IF(NOTA[[#This Row],[ID_H]]="","",INDEX(NOTA[TGL.NOTA],MATCH(,INDIRECT(ADDRESS(ROW(NOTA[TGL.NOTA]),COLUMN(NOTA[TGL.NOTA]))&amp;":"&amp;ADDRESS(ROW(),COLUMN(NOTA[TGL.NOTA]))),-1)))</f>
        <v/>
      </c>
      <c r="AK512" s="26" t="str">
        <f ca="1">IF(NOTA[[#This Row],[ID_H]]="","",INDEX(NOTA[NO.NOTA],MATCH(NOTA[[#This Row],[ID_H]],NOTA[ID_H],0)))</f>
        <v/>
      </c>
      <c r="AL512" s="28" t="str">
        <f ca="1">IF(NOTA[[#This Row],[NAMA BARANG]]="","",INDEX(NOTA[SUPPLIER],MATCH(,INDIRECT(ADDRESS(ROW(NOTA[ID]),COLUMN(NOTA[ID]))&amp;":"&amp;ADDRESS(ROW(),COLUMN(NOTA[ID]))),-1)))</f>
        <v/>
      </c>
      <c r="AM512" s="28" t="str">
        <f ca="1">IF(NOTA[[#This Row],[ID_H]]="","",IF(NOTA[[#This Row],[FAKTUR]]="",INDIRECT(ADDRESS(ROW()-1,COLUMN())),NOTA[[#This Row],[FAKTUR]]))</f>
        <v/>
      </c>
      <c r="AN512" s="25" t="str">
        <f ca="1">IF(NOTA[[#This Row],[ID]]="","",COUNTIF(NOTA[ID_H],NOTA[[#This Row],[ID_H]]))</f>
        <v/>
      </c>
      <c r="AO512" s="25" t="str">
        <f ca="1">IF(NOTA[[#This Row],[TGL.NOTA]]="",IF(NOTA[[#This Row],[SUPPLIER_H]]="","",AO511),MONTH(NOTA[[#This Row],[TGL.NOTA]]))</f>
        <v/>
      </c>
      <c r="AP5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2" s="25"/>
      <c r="AU512" s="25" t="str">
        <f>IF(NOTA[[#This Row],[CONCAT1]]="","",MATCH(NOTA[[#This Row],[CONCAT1]],[3]!db[NB NOTA_C],0))</f>
        <v/>
      </c>
      <c r="AV512" s="25" t="str">
        <f>IF(NOTA[[#This Row],[QTY/ CTN]]="","",TRUE)</f>
        <v/>
      </c>
      <c r="AW512" s="25" t="str">
        <f ca="1">IF(NOTA[[#This Row],[ID_H]]="","",IF(NOTA[[#This Row],[Column3]]=TRUE,NOTA[[#This Row],[QTY/ CTN]],INDEX([3]!db[QTY/ CTN],NOTA[[#This Row],[//DB]])))</f>
        <v/>
      </c>
      <c r="AX5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2" s="25" t="str">
        <f ca="1">IF(NOTA[[#This Row],[ID_H]]="","",MATCH(NOTA[[#This Row],[NB NOTA_C_QTY]],[3]!db[NB NOTA_C_QTY+F],0))</f>
        <v/>
      </c>
      <c r="AZ512" s="38" t="str">
        <f ca="1">IF(NOTA[[#This Row],[NB NOTA_C_QTY]]="","",ROW()-2)</f>
        <v/>
      </c>
    </row>
    <row r="513" spans="1:52" ht="20.100000000000001" customHeight="1">
      <c r="A5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3" s="25" t="str">
        <f ca="1">IF(NOTA[[#This Row],[NAMA BARANG]]="","",INDEX(NOTA[ID],MATCH(,INDIRECT(ADDRESS(ROW(NOTA[ID]),COLUMN(NOTA[ID]))&amp;":"&amp;ADDRESS(ROW(),COLUMN(NOTA[ID]))),-1)))</f>
        <v/>
      </c>
      <c r="E513" s="33"/>
      <c r="H513" s="34"/>
      <c r="Q513" s="29"/>
      <c r="R513" s="35"/>
      <c r="S513" s="36"/>
      <c r="V513" s="37"/>
      <c r="W513" s="32"/>
      <c r="X513" s="37" t="str">
        <f>IF(NOTA[[#This Row],[HARGA/ CTN]]="",NOTA[[#This Row],[JUMLAH_H]],NOTA[[#This Row],[HARGA/ CTN]]*IF(NOTA[[#This Row],[C]]="",0,NOTA[[#This Row],[C]]))</f>
        <v/>
      </c>
      <c r="Y513" s="37" t="str">
        <f>IF(NOTA[[#This Row],[JUMLAH]]="","",NOTA[[#This Row],[JUMLAH]]*NOTA[[#This Row],[DISC 1]])</f>
        <v/>
      </c>
      <c r="Z513" s="37" t="str">
        <f>IF(NOTA[[#This Row],[JUMLAH]]="","",(NOTA[[#This Row],[JUMLAH]]-NOTA[[#This Row],[DISC 1-]])*NOTA[[#This Row],[DISC 2]])</f>
        <v/>
      </c>
      <c r="AA513" s="37" t="str">
        <f>IF(NOTA[[#This Row],[JUMLAH]]="","",(NOTA[[#This Row],[JUMLAH]]-NOTA[[#This Row],[DISC 1-]]-NOTA[[#This Row],[DISC 2-]])*NOTA[[#This Row],[DISC 3]])</f>
        <v/>
      </c>
      <c r="AB513" s="37" t="str">
        <f>IF(NOTA[[#This Row],[JUMLAH]]="","",NOTA[[#This Row],[DISC 1-]]+NOTA[[#This Row],[DISC 2-]]+NOTA[[#This Row],[DISC 3-]])</f>
        <v/>
      </c>
      <c r="AC513" s="37" t="str">
        <f>IF(NOTA[[#This Row],[JUMLAH]]="","",NOTA[[#This Row],[JUMLAH]]-NOTA[[#This Row],[DISC]])</f>
        <v/>
      </c>
      <c r="AD513" s="37"/>
      <c r="AE5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3" s="37" t="str">
        <f>IF(OR(NOTA[[#This Row],[QTY]]="",NOTA[[#This Row],[HARGA SATUAN]]="",),"",NOTA[[#This Row],[QTY]]*NOTA[[#This Row],[HARGA SATUAN]])</f>
        <v/>
      </c>
      <c r="AI513" s="26" t="str">
        <f ca="1">IF(NOTA[[#This Row],[ID_H]]="","",INDEX(NOTA[TANGGAL],MATCH(,INDIRECT(ADDRESS(ROW(NOTA[TANGGAL]),COLUMN(NOTA[TANGGAL]))&amp;":"&amp;ADDRESS(ROW(),COLUMN(NOTA[TANGGAL]))),-1)))</f>
        <v/>
      </c>
      <c r="AJ513" s="26" t="str">
        <f ca="1">IF(NOTA[[#This Row],[ID_H]]="","",INDEX(NOTA[TGL.NOTA],MATCH(,INDIRECT(ADDRESS(ROW(NOTA[TGL.NOTA]),COLUMN(NOTA[TGL.NOTA]))&amp;":"&amp;ADDRESS(ROW(),COLUMN(NOTA[TGL.NOTA]))),-1)))</f>
        <v/>
      </c>
      <c r="AK513" s="26" t="str">
        <f ca="1">IF(NOTA[[#This Row],[ID_H]]="","",INDEX(NOTA[NO.NOTA],MATCH(NOTA[[#This Row],[ID_H]],NOTA[ID_H],0)))</f>
        <v/>
      </c>
      <c r="AL513" s="28" t="str">
        <f ca="1">IF(NOTA[[#This Row],[NAMA BARANG]]="","",INDEX(NOTA[SUPPLIER],MATCH(,INDIRECT(ADDRESS(ROW(NOTA[ID]),COLUMN(NOTA[ID]))&amp;":"&amp;ADDRESS(ROW(),COLUMN(NOTA[ID]))),-1)))</f>
        <v/>
      </c>
      <c r="AM513" s="28" t="str">
        <f ca="1">IF(NOTA[[#This Row],[ID_H]]="","",IF(NOTA[[#This Row],[FAKTUR]]="",INDIRECT(ADDRESS(ROW()-1,COLUMN())),NOTA[[#This Row],[FAKTUR]]))</f>
        <v/>
      </c>
      <c r="AN513" s="25" t="str">
        <f ca="1">IF(NOTA[[#This Row],[ID]]="","",COUNTIF(NOTA[ID_H],NOTA[[#This Row],[ID_H]]))</f>
        <v/>
      </c>
      <c r="AO513" s="25" t="str">
        <f ca="1">IF(NOTA[[#This Row],[TGL.NOTA]]="",IF(NOTA[[#This Row],[SUPPLIER_H]]="","",AO512),MONTH(NOTA[[#This Row],[TGL.NOTA]]))</f>
        <v/>
      </c>
      <c r="AP5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3" s="25"/>
      <c r="AU513" s="25" t="str">
        <f>IF(NOTA[[#This Row],[CONCAT1]]="","",MATCH(NOTA[[#This Row],[CONCAT1]],[3]!db[NB NOTA_C],0))</f>
        <v/>
      </c>
      <c r="AV513" s="25" t="str">
        <f>IF(NOTA[[#This Row],[QTY/ CTN]]="","",TRUE)</f>
        <v/>
      </c>
      <c r="AW513" s="25" t="str">
        <f ca="1">IF(NOTA[[#This Row],[ID_H]]="","",IF(NOTA[[#This Row],[Column3]]=TRUE,NOTA[[#This Row],[QTY/ CTN]],INDEX([3]!db[QTY/ CTN],NOTA[[#This Row],[//DB]])))</f>
        <v/>
      </c>
      <c r="AX5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3" s="25" t="str">
        <f ca="1">IF(NOTA[[#This Row],[ID_H]]="","",MATCH(NOTA[[#This Row],[NB NOTA_C_QTY]],[3]!db[NB NOTA_C_QTY+F],0))</f>
        <v/>
      </c>
      <c r="AZ513" s="38" t="str">
        <f ca="1">IF(NOTA[[#This Row],[NB NOTA_C_QTY]]="","",ROW()-2)</f>
        <v/>
      </c>
    </row>
    <row r="514" spans="1:52" ht="20.100000000000001" customHeight="1">
      <c r="A5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4" s="25" t="str">
        <f ca="1">IF(NOTA[[#This Row],[NAMA BARANG]]="","",INDEX(NOTA[ID],MATCH(,INDIRECT(ADDRESS(ROW(NOTA[ID]),COLUMN(NOTA[ID]))&amp;":"&amp;ADDRESS(ROW(),COLUMN(NOTA[ID]))),-1)))</f>
        <v/>
      </c>
      <c r="E514" s="33"/>
      <c r="H514" s="34"/>
      <c r="Q514" s="29"/>
      <c r="R514" s="35"/>
      <c r="S514" s="36"/>
      <c r="V514" s="37"/>
      <c r="W514" s="32"/>
      <c r="X514" s="37" t="str">
        <f>IF(NOTA[[#This Row],[HARGA/ CTN]]="",NOTA[[#This Row],[JUMLAH_H]],NOTA[[#This Row],[HARGA/ CTN]]*IF(NOTA[[#This Row],[C]]="",0,NOTA[[#This Row],[C]]))</f>
        <v/>
      </c>
      <c r="Y514" s="37" t="str">
        <f>IF(NOTA[[#This Row],[JUMLAH]]="","",NOTA[[#This Row],[JUMLAH]]*NOTA[[#This Row],[DISC 1]])</f>
        <v/>
      </c>
      <c r="Z514" s="37" t="str">
        <f>IF(NOTA[[#This Row],[JUMLAH]]="","",(NOTA[[#This Row],[JUMLAH]]-NOTA[[#This Row],[DISC 1-]])*NOTA[[#This Row],[DISC 2]])</f>
        <v/>
      </c>
      <c r="AA514" s="37" t="str">
        <f>IF(NOTA[[#This Row],[JUMLAH]]="","",(NOTA[[#This Row],[JUMLAH]]-NOTA[[#This Row],[DISC 1-]]-NOTA[[#This Row],[DISC 2-]])*NOTA[[#This Row],[DISC 3]])</f>
        <v/>
      </c>
      <c r="AB514" s="37" t="str">
        <f>IF(NOTA[[#This Row],[JUMLAH]]="","",NOTA[[#This Row],[DISC 1-]]+NOTA[[#This Row],[DISC 2-]]+NOTA[[#This Row],[DISC 3-]])</f>
        <v/>
      </c>
      <c r="AC514" s="37" t="str">
        <f>IF(NOTA[[#This Row],[JUMLAH]]="","",NOTA[[#This Row],[JUMLAH]]-NOTA[[#This Row],[DISC]])</f>
        <v/>
      </c>
      <c r="AD514" s="37"/>
      <c r="AE5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4" s="37" t="str">
        <f>IF(OR(NOTA[[#This Row],[QTY]]="",NOTA[[#This Row],[HARGA SATUAN]]="",),"",NOTA[[#This Row],[QTY]]*NOTA[[#This Row],[HARGA SATUAN]])</f>
        <v/>
      </c>
      <c r="AI514" s="26" t="str">
        <f ca="1">IF(NOTA[[#This Row],[ID_H]]="","",INDEX(NOTA[TANGGAL],MATCH(,INDIRECT(ADDRESS(ROW(NOTA[TANGGAL]),COLUMN(NOTA[TANGGAL]))&amp;":"&amp;ADDRESS(ROW(),COLUMN(NOTA[TANGGAL]))),-1)))</f>
        <v/>
      </c>
      <c r="AJ514" s="26" t="str">
        <f ca="1">IF(NOTA[[#This Row],[ID_H]]="","",INDEX(NOTA[TGL.NOTA],MATCH(,INDIRECT(ADDRESS(ROW(NOTA[TGL.NOTA]),COLUMN(NOTA[TGL.NOTA]))&amp;":"&amp;ADDRESS(ROW(),COLUMN(NOTA[TGL.NOTA]))),-1)))</f>
        <v/>
      </c>
      <c r="AK514" s="26" t="str">
        <f ca="1">IF(NOTA[[#This Row],[ID_H]]="","",INDEX(NOTA[NO.NOTA],MATCH(NOTA[[#This Row],[ID_H]],NOTA[ID_H],0)))</f>
        <v/>
      </c>
      <c r="AL514" s="28" t="str">
        <f ca="1">IF(NOTA[[#This Row],[NAMA BARANG]]="","",INDEX(NOTA[SUPPLIER],MATCH(,INDIRECT(ADDRESS(ROW(NOTA[ID]),COLUMN(NOTA[ID]))&amp;":"&amp;ADDRESS(ROW(),COLUMN(NOTA[ID]))),-1)))</f>
        <v/>
      </c>
      <c r="AM514" s="28" t="str">
        <f ca="1">IF(NOTA[[#This Row],[ID_H]]="","",IF(NOTA[[#This Row],[FAKTUR]]="",INDIRECT(ADDRESS(ROW()-1,COLUMN())),NOTA[[#This Row],[FAKTUR]]))</f>
        <v/>
      </c>
      <c r="AN514" s="25" t="str">
        <f ca="1">IF(NOTA[[#This Row],[ID]]="","",COUNTIF(NOTA[ID_H],NOTA[[#This Row],[ID_H]]))</f>
        <v/>
      </c>
      <c r="AO514" s="25" t="str">
        <f ca="1">IF(NOTA[[#This Row],[TGL.NOTA]]="",IF(NOTA[[#This Row],[SUPPLIER_H]]="","",AO513),MONTH(NOTA[[#This Row],[TGL.NOTA]]))</f>
        <v/>
      </c>
      <c r="AP5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4" s="25"/>
      <c r="AU514" s="25" t="str">
        <f>IF(NOTA[[#This Row],[CONCAT1]]="","",MATCH(NOTA[[#This Row],[CONCAT1]],[3]!db[NB NOTA_C],0))</f>
        <v/>
      </c>
      <c r="AV514" s="25" t="str">
        <f>IF(NOTA[[#This Row],[QTY/ CTN]]="","",TRUE)</f>
        <v/>
      </c>
      <c r="AW514" s="25" t="str">
        <f ca="1">IF(NOTA[[#This Row],[ID_H]]="","",IF(NOTA[[#This Row],[Column3]]=TRUE,NOTA[[#This Row],[QTY/ CTN]],INDEX([3]!db[QTY/ CTN],NOTA[[#This Row],[//DB]])))</f>
        <v/>
      </c>
      <c r="AX5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4" s="25" t="str">
        <f ca="1">IF(NOTA[[#This Row],[ID_H]]="","",MATCH(NOTA[[#This Row],[NB NOTA_C_QTY]],[3]!db[NB NOTA_C_QTY+F],0))</f>
        <v/>
      </c>
      <c r="AZ514" s="38" t="str">
        <f ca="1">IF(NOTA[[#This Row],[NB NOTA_C_QTY]]="","",ROW()-2)</f>
        <v/>
      </c>
    </row>
    <row r="515" spans="1:52" ht="20.100000000000001" customHeight="1">
      <c r="A5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5" s="25" t="str">
        <f ca="1">IF(NOTA[[#This Row],[NAMA BARANG]]="","",INDEX(NOTA[ID],MATCH(,INDIRECT(ADDRESS(ROW(NOTA[ID]),COLUMN(NOTA[ID]))&amp;":"&amp;ADDRESS(ROW(),COLUMN(NOTA[ID]))),-1)))</f>
        <v/>
      </c>
      <c r="E515" s="33"/>
      <c r="H515" s="34"/>
      <c r="Q515" s="29"/>
      <c r="R515" s="35"/>
      <c r="S515" s="36"/>
      <c r="V515" s="37"/>
      <c r="W515" s="32"/>
      <c r="X515" s="37" t="str">
        <f>IF(NOTA[[#This Row],[HARGA/ CTN]]="",NOTA[[#This Row],[JUMLAH_H]],NOTA[[#This Row],[HARGA/ CTN]]*IF(NOTA[[#This Row],[C]]="",0,NOTA[[#This Row],[C]]))</f>
        <v/>
      </c>
      <c r="Y515" s="37" t="str">
        <f>IF(NOTA[[#This Row],[JUMLAH]]="","",NOTA[[#This Row],[JUMLAH]]*NOTA[[#This Row],[DISC 1]])</f>
        <v/>
      </c>
      <c r="Z515" s="37" t="str">
        <f>IF(NOTA[[#This Row],[JUMLAH]]="","",(NOTA[[#This Row],[JUMLAH]]-NOTA[[#This Row],[DISC 1-]])*NOTA[[#This Row],[DISC 2]])</f>
        <v/>
      </c>
      <c r="AA515" s="37" t="str">
        <f>IF(NOTA[[#This Row],[JUMLAH]]="","",(NOTA[[#This Row],[JUMLAH]]-NOTA[[#This Row],[DISC 1-]]-NOTA[[#This Row],[DISC 2-]])*NOTA[[#This Row],[DISC 3]])</f>
        <v/>
      </c>
      <c r="AB515" s="37" t="str">
        <f>IF(NOTA[[#This Row],[JUMLAH]]="","",NOTA[[#This Row],[DISC 1-]]+NOTA[[#This Row],[DISC 2-]]+NOTA[[#This Row],[DISC 3-]])</f>
        <v/>
      </c>
      <c r="AC515" s="37" t="str">
        <f>IF(NOTA[[#This Row],[JUMLAH]]="","",NOTA[[#This Row],[JUMLAH]]-NOTA[[#This Row],[DISC]])</f>
        <v/>
      </c>
      <c r="AD515" s="37"/>
      <c r="AE5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5" s="37" t="str">
        <f>IF(OR(NOTA[[#This Row],[QTY]]="",NOTA[[#This Row],[HARGA SATUAN]]="",),"",NOTA[[#This Row],[QTY]]*NOTA[[#This Row],[HARGA SATUAN]])</f>
        <v/>
      </c>
      <c r="AI515" s="26" t="str">
        <f ca="1">IF(NOTA[[#This Row],[ID_H]]="","",INDEX(NOTA[TANGGAL],MATCH(,INDIRECT(ADDRESS(ROW(NOTA[TANGGAL]),COLUMN(NOTA[TANGGAL]))&amp;":"&amp;ADDRESS(ROW(),COLUMN(NOTA[TANGGAL]))),-1)))</f>
        <v/>
      </c>
      <c r="AJ515" s="26" t="str">
        <f ca="1">IF(NOTA[[#This Row],[ID_H]]="","",INDEX(NOTA[TGL.NOTA],MATCH(,INDIRECT(ADDRESS(ROW(NOTA[TGL.NOTA]),COLUMN(NOTA[TGL.NOTA]))&amp;":"&amp;ADDRESS(ROW(),COLUMN(NOTA[TGL.NOTA]))),-1)))</f>
        <v/>
      </c>
      <c r="AK515" s="26" t="str">
        <f ca="1">IF(NOTA[[#This Row],[ID_H]]="","",INDEX(NOTA[NO.NOTA],MATCH(NOTA[[#This Row],[ID_H]],NOTA[ID_H],0)))</f>
        <v/>
      </c>
      <c r="AL515" s="28" t="str">
        <f ca="1">IF(NOTA[[#This Row],[NAMA BARANG]]="","",INDEX(NOTA[SUPPLIER],MATCH(,INDIRECT(ADDRESS(ROW(NOTA[ID]),COLUMN(NOTA[ID]))&amp;":"&amp;ADDRESS(ROW(),COLUMN(NOTA[ID]))),-1)))</f>
        <v/>
      </c>
      <c r="AM515" s="28" t="str">
        <f ca="1">IF(NOTA[[#This Row],[ID_H]]="","",IF(NOTA[[#This Row],[FAKTUR]]="",INDIRECT(ADDRESS(ROW()-1,COLUMN())),NOTA[[#This Row],[FAKTUR]]))</f>
        <v/>
      </c>
      <c r="AN515" s="25" t="str">
        <f ca="1">IF(NOTA[[#This Row],[ID]]="","",COUNTIF(NOTA[ID_H],NOTA[[#This Row],[ID_H]]))</f>
        <v/>
      </c>
      <c r="AO515" s="25" t="str">
        <f ca="1">IF(NOTA[[#This Row],[TGL.NOTA]]="",IF(NOTA[[#This Row],[SUPPLIER_H]]="","",AO514),MONTH(NOTA[[#This Row],[TGL.NOTA]]))</f>
        <v/>
      </c>
      <c r="AP5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5" s="25"/>
      <c r="AU515" s="25" t="str">
        <f>IF(NOTA[[#This Row],[CONCAT1]]="","",MATCH(NOTA[[#This Row],[CONCAT1]],[3]!db[NB NOTA_C],0))</f>
        <v/>
      </c>
      <c r="AV515" s="25" t="str">
        <f>IF(NOTA[[#This Row],[QTY/ CTN]]="","",TRUE)</f>
        <v/>
      </c>
      <c r="AW515" s="25" t="str">
        <f ca="1">IF(NOTA[[#This Row],[ID_H]]="","",IF(NOTA[[#This Row],[Column3]]=TRUE,NOTA[[#This Row],[QTY/ CTN]],INDEX([3]!db[QTY/ CTN],NOTA[[#This Row],[//DB]])))</f>
        <v/>
      </c>
      <c r="AX5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5" s="25" t="str">
        <f ca="1">IF(NOTA[[#This Row],[ID_H]]="","",MATCH(NOTA[[#This Row],[NB NOTA_C_QTY]],[3]!db[NB NOTA_C_QTY+F],0))</f>
        <v/>
      </c>
      <c r="AZ515" s="38" t="str">
        <f ca="1">IF(NOTA[[#This Row],[NB NOTA_C_QTY]]="","",ROW()-2)</f>
        <v/>
      </c>
    </row>
    <row r="516" spans="1:52" ht="20.100000000000001" customHeight="1">
      <c r="A5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6" s="25" t="str">
        <f ca="1">IF(NOTA[[#This Row],[NAMA BARANG]]="","",INDEX(NOTA[ID],MATCH(,INDIRECT(ADDRESS(ROW(NOTA[ID]),COLUMN(NOTA[ID]))&amp;":"&amp;ADDRESS(ROW(),COLUMN(NOTA[ID]))),-1)))</f>
        <v/>
      </c>
      <c r="E516" s="33"/>
      <c r="H516" s="34"/>
      <c r="Q516" s="29"/>
      <c r="R516" s="35"/>
      <c r="S516" s="36"/>
      <c r="V516" s="37"/>
      <c r="W516" s="32"/>
      <c r="X516" s="37" t="str">
        <f>IF(NOTA[[#This Row],[HARGA/ CTN]]="",NOTA[[#This Row],[JUMLAH_H]],NOTA[[#This Row],[HARGA/ CTN]]*IF(NOTA[[#This Row],[C]]="",0,NOTA[[#This Row],[C]]))</f>
        <v/>
      </c>
      <c r="Y516" s="37" t="str">
        <f>IF(NOTA[[#This Row],[JUMLAH]]="","",NOTA[[#This Row],[JUMLAH]]*NOTA[[#This Row],[DISC 1]])</f>
        <v/>
      </c>
      <c r="Z516" s="37" t="str">
        <f>IF(NOTA[[#This Row],[JUMLAH]]="","",(NOTA[[#This Row],[JUMLAH]]-NOTA[[#This Row],[DISC 1-]])*NOTA[[#This Row],[DISC 2]])</f>
        <v/>
      </c>
      <c r="AA516" s="37" t="str">
        <f>IF(NOTA[[#This Row],[JUMLAH]]="","",(NOTA[[#This Row],[JUMLAH]]-NOTA[[#This Row],[DISC 1-]]-NOTA[[#This Row],[DISC 2-]])*NOTA[[#This Row],[DISC 3]])</f>
        <v/>
      </c>
      <c r="AB516" s="37" t="str">
        <f>IF(NOTA[[#This Row],[JUMLAH]]="","",NOTA[[#This Row],[DISC 1-]]+NOTA[[#This Row],[DISC 2-]]+NOTA[[#This Row],[DISC 3-]])</f>
        <v/>
      </c>
      <c r="AC516" s="37" t="str">
        <f>IF(NOTA[[#This Row],[JUMLAH]]="","",NOTA[[#This Row],[JUMLAH]]-NOTA[[#This Row],[DISC]])</f>
        <v/>
      </c>
      <c r="AD516" s="37"/>
      <c r="AE5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6" s="37" t="str">
        <f>IF(OR(NOTA[[#This Row],[QTY]]="",NOTA[[#This Row],[HARGA SATUAN]]="",),"",NOTA[[#This Row],[QTY]]*NOTA[[#This Row],[HARGA SATUAN]])</f>
        <v/>
      </c>
      <c r="AI516" s="26" t="str">
        <f ca="1">IF(NOTA[[#This Row],[ID_H]]="","",INDEX(NOTA[TANGGAL],MATCH(,INDIRECT(ADDRESS(ROW(NOTA[TANGGAL]),COLUMN(NOTA[TANGGAL]))&amp;":"&amp;ADDRESS(ROW(),COLUMN(NOTA[TANGGAL]))),-1)))</f>
        <v/>
      </c>
      <c r="AJ516" s="26" t="str">
        <f ca="1">IF(NOTA[[#This Row],[ID_H]]="","",INDEX(NOTA[TGL.NOTA],MATCH(,INDIRECT(ADDRESS(ROW(NOTA[TGL.NOTA]),COLUMN(NOTA[TGL.NOTA]))&amp;":"&amp;ADDRESS(ROW(),COLUMN(NOTA[TGL.NOTA]))),-1)))</f>
        <v/>
      </c>
      <c r="AK516" s="26" t="str">
        <f ca="1">IF(NOTA[[#This Row],[ID_H]]="","",INDEX(NOTA[NO.NOTA],MATCH(NOTA[[#This Row],[ID_H]],NOTA[ID_H],0)))</f>
        <v/>
      </c>
      <c r="AL516" s="28" t="str">
        <f ca="1">IF(NOTA[[#This Row],[NAMA BARANG]]="","",INDEX(NOTA[SUPPLIER],MATCH(,INDIRECT(ADDRESS(ROW(NOTA[ID]),COLUMN(NOTA[ID]))&amp;":"&amp;ADDRESS(ROW(),COLUMN(NOTA[ID]))),-1)))</f>
        <v/>
      </c>
      <c r="AM516" s="28" t="str">
        <f ca="1">IF(NOTA[[#This Row],[ID_H]]="","",IF(NOTA[[#This Row],[FAKTUR]]="",INDIRECT(ADDRESS(ROW()-1,COLUMN())),NOTA[[#This Row],[FAKTUR]]))</f>
        <v/>
      </c>
      <c r="AN516" s="25" t="str">
        <f ca="1">IF(NOTA[[#This Row],[ID]]="","",COUNTIF(NOTA[ID_H],NOTA[[#This Row],[ID_H]]))</f>
        <v/>
      </c>
      <c r="AO516" s="25" t="str">
        <f ca="1">IF(NOTA[[#This Row],[TGL.NOTA]]="",IF(NOTA[[#This Row],[SUPPLIER_H]]="","",AO515),MONTH(NOTA[[#This Row],[TGL.NOTA]]))</f>
        <v/>
      </c>
      <c r="AP5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6" s="25"/>
      <c r="AU516" s="25" t="str">
        <f>IF(NOTA[[#This Row],[CONCAT1]]="","",MATCH(NOTA[[#This Row],[CONCAT1]],[3]!db[NB NOTA_C],0))</f>
        <v/>
      </c>
      <c r="AV516" s="25" t="str">
        <f>IF(NOTA[[#This Row],[QTY/ CTN]]="","",TRUE)</f>
        <v/>
      </c>
      <c r="AW516" s="25" t="str">
        <f ca="1">IF(NOTA[[#This Row],[ID_H]]="","",IF(NOTA[[#This Row],[Column3]]=TRUE,NOTA[[#This Row],[QTY/ CTN]],INDEX([3]!db[QTY/ CTN],NOTA[[#This Row],[//DB]])))</f>
        <v/>
      </c>
      <c r="AX5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6" s="25" t="str">
        <f ca="1">IF(NOTA[[#This Row],[ID_H]]="","",MATCH(NOTA[[#This Row],[NB NOTA_C_QTY]],[3]!db[NB NOTA_C_QTY+F],0))</f>
        <v/>
      </c>
      <c r="AZ516" s="38" t="str">
        <f ca="1">IF(NOTA[[#This Row],[NB NOTA_C_QTY]]="","",ROW()-2)</f>
        <v/>
      </c>
    </row>
    <row r="517" spans="1:52" ht="20.100000000000001" customHeight="1">
      <c r="A5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7" s="25" t="str">
        <f ca="1">IF(NOTA[[#This Row],[NAMA BARANG]]="","",INDEX(NOTA[ID],MATCH(,INDIRECT(ADDRESS(ROW(NOTA[ID]),COLUMN(NOTA[ID]))&amp;":"&amp;ADDRESS(ROW(),COLUMN(NOTA[ID]))),-1)))</f>
        <v/>
      </c>
      <c r="E517" s="33"/>
      <c r="H517" s="34"/>
      <c r="Q517" s="29"/>
      <c r="R517" s="35"/>
      <c r="S517" s="36"/>
      <c r="V517" s="37"/>
      <c r="W517" s="32"/>
      <c r="X517" s="37" t="str">
        <f>IF(NOTA[[#This Row],[HARGA/ CTN]]="",NOTA[[#This Row],[JUMLAH_H]],NOTA[[#This Row],[HARGA/ CTN]]*IF(NOTA[[#This Row],[C]]="",0,NOTA[[#This Row],[C]]))</f>
        <v/>
      </c>
      <c r="Y517" s="37" t="str">
        <f>IF(NOTA[[#This Row],[JUMLAH]]="","",NOTA[[#This Row],[JUMLAH]]*NOTA[[#This Row],[DISC 1]])</f>
        <v/>
      </c>
      <c r="Z517" s="37" t="str">
        <f>IF(NOTA[[#This Row],[JUMLAH]]="","",(NOTA[[#This Row],[JUMLAH]]-NOTA[[#This Row],[DISC 1-]])*NOTA[[#This Row],[DISC 2]])</f>
        <v/>
      </c>
      <c r="AA517" s="37" t="str">
        <f>IF(NOTA[[#This Row],[JUMLAH]]="","",(NOTA[[#This Row],[JUMLAH]]-NOTA[[#This Row],[DISC 1-]]-NOTA[[#This Row],[DISC 2-]])*NOTA[[#This Row],[DISC 3]])</f>
        <v/>
      </c>
      <c r="AB517" s="37" t="str">
        <f>IF(NOTA[[#This Row],[JUMLAH]]="","",NOTA[[#This Row],[DISC 1-]]+NOTA[[#This Row],[DISC 2-]]+NOTA[[#This Row],[DISC 3-]])</f>
        <v/>
      </c>
      <c r="AC517" s="37" t="str">
        <f>IF(NOTA[[#This Row],[JUMLAH]]="","",NOTA[[#This Row],[JUMLAH]]-NOTA[[#This Row],[DISC]])</f>
        <v/>
      </c>
      <c r="AD517" s="37"/>
      <c r="AE5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7" s="37" t="str">
        <f>IF(OR(NOTA[[#This Row],[QTY]]="",NOTA[[#This Row],[HARGA SATUAN]]="",),"",NOTA[[#This Row],[QTY]]*NOTA[[#This Row],[HARGA SATUAN]])</f>
        <v/>
      </c>
      <c r="AI517" s="26" t="str">
        <f ca="1">IF(NOTA[[#This Row],[ID_H]]="","",INDEX(NOTA[TANGGAL],MATCH(,INDIRECT(ADDRESS(ROW(NOTA[TANGGAL]),COLUMN(NOTA[TANGGAL]))&amp;":"&amp;ADDRESS(ROW(),COLUMN(NOTA[TANGGAL]))),-1)))</f>
        <v/>
      </c>
      <c r="AJ517" s="26" t="str">
        <f ca="1">IF(NOTA[[#This Row],[ID_H]]="","",INDEX(NOTA[TGL.NOTA],MATCH(,INDIRECT(ADDRESS(ROW(NOTA[TGL.NOTA]),COLUMN(NOTA[TGL.NOTA]))&amp;":"&amp;ADDRESS(ROW(),COLUMN(NOTA[TGL.NOTA]))),-1)))</f>
        <v/>
      </c>
      <c r="AK517" s="26" t="str">
        <f ca="1">IF(NOTA[[#This Row],[ID_H]]="","",INDEX(NOTA[NO.NOTA],MATCH(NOTA[[#This Row],[ID_H]],NOTA[ID_H],0)))</f>
        <v/>
      </c>
      <c r="AL517" s="28" t="str">
        <f ca="1">IF(NOTA[[#This Row],[NAMA BARANG]]="","",INDEX(NOTA[SUPPLIER],MATCH(,INDIRECT(ADDRESS(ROW(NOTA[ID]),COLUMN(NOTA[ID]))&amp;":"&amp;ADDRESS(ROW(),COLUMN(NOTA[ID]))),-1)))</f>
        <v/>
      </c>
      <c r="AM517" s="28" t="str">
        <f ca="1">IF(NOTA[[#This Row],[ID_H]]="","",IF(NOTA[[#This Row],[FAKTUR]]="",INDIRECT(ADDRESS(ROW()-1,COLUMN())),NOTA[[#This Row],[FAKTUR]]))</f>
        <v/>
      </c>
      <c r="AN517" s="25" t="str">
        <f ca="1">IF(NOTA[[#This Row],[ID]]="","",COUNTIF(NOTA[ID_H],NOTA[[#This Row],[ID_H]]))</f>
        <v/>
      </c>
      <c r="AO517" s="25" t="str">
        <f ca="1">IF(NOTA[[#This Row],[TGL.NOTA]]="",IF(NOTA[[#This Row],[SUPPLIER_H]]="","",AO516),MONTH(NOTA[[#This Row],[TGL.NOTA]]))</f>
        <v/>
      </c>
      <c r="AP5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7" s="25"/>
      <c r="AU517" s="25" t="str">
        <f>IF(NOTA[[#This Row],[CONCAT1]]="","",MATCH(NOTA[[#This Row],[CONCAT1]],[3]!db[NB NOTA_C],0))</f>
        <v/>
      </c>
      <c r="AV517" s="25" t="str">
        <f>IF(NOTA[[#This Row],[QTY/ CTN]]="","",TRUE)</f>
        <v/>
      </c>
      <c r="AW517" s="25" t="str">
        <f ca="1">IF(NOTA[[#This Row],[ID_H]]="","",IF(NOTA[[#This Row],[Column3]]=TRUE,NOTA[[#This Row],[QTY/ CTN]],INDEX([3]!db[QTY/ CTN],NOTA[[#This Row],[//DB]])))</f>
        <v/>
      </c>
      <c r="AX5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7" s="25" t="str">
        <f ca="1">IF(NOTA[[#This Row],[ID_H]]="","",MATCH(NOTA[[#This Row],[NB NOTA_C_QTY]],[3]!db[NB NOTA_C_QTY+F],0))</f>
        <v/>
      </c>
      <c r="AZ517" s="38" t="str">
        <f ca="1">IF(NOTA[[#This Row],[NB NOTA_C_QTY]]="","",ROW()-2)</f>
        <v/>
      </c>
    </row>
    <row r="518" spans="1:52" ht="20.100000000000001" customHeight="1">
      <c r="A5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8" s="25" t="str">
        <f ca="1">IF(NOTA[[#This Row],[NAMA BARANG]]="","",INDEX(NOTA[ID],MATCH(,INDIRECT(ADDRESS(ROW(NOTA[ID]),COLUMN(NOTA[ID]))&amp;":"&amp;ADDRESS(ROW(),COLUMN(NOTA[ID]))),-1)))</f>
        <v/>
      </c>
      <c r="E518" s="33"/>
      <c r="H518" s="34"/>
      <c r="Q518" s="29"/>
      <c r="R518" s="35"/>
      <c r="S518" s="36"/>
      <c r="V518" s="37"/>
      <c r="W518" s="32"/>
      <c r="X518" s="37" t="str">
        <f>IF(NOTA[[#This Row],[HARGA/ CTN]]="",NOTA[[#This Row],[JUMLAH_H]],NOTA[[#This Row],[HARGA/ CTN]]*IF(NOTA[[#This Row],[C]]="",0,NOTA[[#This Row],[C]]))</f>
        <v/>
      </c>
      <c r="Y518" s="37" t="str">
        <f>IF(NOTA[[#This Row],[JUMLAH]]="","",NOTA[[#This Row],[JUMLAH]]*NOTA[[#This Row],[DISC 1]])</f>
        <v/>
      </c>
      <c r="Z518" s="37" t="str">
        <f>IF(NOTA[[#This Row],[JUMLAH]]="","",(NOTA[[#This Row],[JUMLAH]]-NOTA[[#This Row],[DISC 1-]])*NOTA[[#This Row],[DISC 2]])</f>
        <v/>
      </c>
      <c r="AA518" s="37" t="str">
        <f>IF(NOTA[[#This Row],[JUMLAH]]="","",(NOTA[[#This Row],[JUMLAH]]-NOTA[[#This Row],[DISC 1-]]-NOTA[[#This Row],[DISC 2-]])*NOTA[[#This Row],[DISC 3]])</f>
        <v/>
      </c>
      <c r="AB518" s="37" t="str">
        <f>IF(NOTA[[#This Row],[JUMLAH]]="","",NOTA[[#This Row],[DISC 1-]]+NOTA[[#This Row],[DISC 2-]]+NOTA[[#This Row],[DISC 3-]])</f>
        <v/>
      </c>
      <c r="AC518" s="37" t="str">
        <f>IF(NOTA[[#This Row],[JUMLAH]]="","",NOTA[[#This Row],[JUMLAH]]-NOTA[[#This Row],[DISC]])</f>
        <v/>
      </c>
      <c r="AD518" s="37"/>
      <c r="AE5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8" s="37" t="str">
        <f>IF(OR(NOTA[[#This Row],[QTY]]="",NOTA[[#This Row],[HARGA SATUAN]]="",),"",NOTA[[#This Row],[QTY]]*NOTA[[#This Row],[HARGA SATUAN]])</f>
        <v/>
      </c>
      <c r="AI518" s="26" t="str">
        <f ca="1">IF(NOTA[[#This Row],[ID_H]]="","",INDEX(NOTA[TANGGAL],MATCH(,INDIRECT(ADDRESS(ROW(NOTA[TANGGAL]),COLUMN(NOTA[TANGGAL]))&amp;":"&amp;ADDRESS(ROW(),COLUMN(NOTA[TANGGAL]))),-1)))</f>
        <v/>
      </c>
      <c r="AJ518" s="26" t="str">
        <f ca="1">IF(NOTA[[#This Row],[ID_H]]="","",INDEX(NOTA[TGL.NOTA],MATCH(,INDIRECT(ADDRESS(ROW(NOTA[TGL.NOTA]),COLUMN(NOTA[TGL.NOTA]))&amp;":"&amp;ADDRESS(ROW(),COLUMN(NOTA[TGL.NOTA]))),-1)))</f>
        <v/>
      </c>
      <c r="AK518" s="26" t="str">
        <f ca="1">IF(NOTA[[#This Row],[ID_H]]="","",INDEX(NOTA[NO.NOTA],MATCH(NOTA[[#This Row],[ID_H]],NOTA[ID_H],0)))</f>
        <v/>
      </c>
      <c r="AL518" s="28" t="str">
        <f ca="1">IF(NOTA[[#This Row],[NAMA BARANG]]="","",INDEX(NOTA[SUPPLIER],MATCH(,INDIRECT(ADDRESS(ROW(NOTA[ID]),COLUMN(NOTA[ID]))&amp;":"&amp;ADDRESS(ROW(),COLUMN(NOTA[ID]))),-1)))</f>
        <v/>
      </c>
      <c r="AM518" s="28" t="str">
        <f ca="1">IF(NOTA[[#This Row],[ID_H]]="","",IF(NOTA[[#This Row],[FAKTUR]]="",INDIRECT(ADDRESS(ROW()-1,COLUMN())),NOTA[[#This Row],[FAKTUR]]))</f>
        <v/>
      </c>
      <c r="AN518" s="25" t="str">
        <f ca="1">IF(NOTA[[#This Row],[ID]]="","",COUNTIF(NOTA[ID_H],NOTA[[#This Row],[ID_H]]))</f>
        <v/>
      </c>
      <c r="AO518" s="25" t="str">
        <f ca="1">IF(NOTA[[#This Row],[TGL.NOTA]]="",IF(NOTA[[#This Row],[SUPPLIER_H]]="","",AO517),MONTH(NOTA[[#This Row],[TGL.NOTA]]))</f>
        <v/>
      </c>
      <c r="AP5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8" s="25"/>
      <c r="AU518" s="25" t="str">
        <f>IF(NOTA[[#This Row],[CONCAT1]]="","",MATCH(NOTA[[#This Row],[CONCAT1]],[3]!db[NB NOTA_C],0))</f>
        <v/>
      </c>
      <c r="AV518" s="25" t="str">
        <f>IF(NOTA[[#This Row],[QTY/ CTN]]="","",TRUE)</f>
        <v/>
      </c>
      <c r="AW518" s="25" t="str">
        <f ca="1">IF(NOTA[[#This Row],[ID_H]]="","",IF(NOTA[[#This Row],[Column3]]=TRUE,NOTA[[#This Row],[QTY/ CTN]],INDEX([3]!db[QTY/ CTN],NOTA[[#This Row],[//DB]])))</f>
        <v/>
      </c>
      <c r="AX5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8" s="25" t="str">
        <f ca="1">IF(NOTA[[#This Row],[ID_H]]="","",MATCH(NOTA[[#This Row],[NB NOTA_C_QTY]],[3]!db[NB NOTA_C_QTY+F],0))</f>
        <v/>
      </c>
      <c r="AZ518" s="38" t="str">
        <f ca="1">IF(NOTA[[#This Row],[NB NOTA_C_QTY]]="","",ROW()-2)</f>
        <v/>
      </c>
    </row>
    <row r="519" spans="1:52" ht="20.100000000000001" customHeight="1">
      <c r="A5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9" s="25" t="str">
        <f ca="1">IF(NOTA[[#This Row],[NAMA BARANG]]="","",INDEX(NOTA[ID],MATCH(,INDIRECT(ADDRESS(ROW(NOTA[ID]),COLUMN(NOTA[ID]))&amp;":"&amp;ADDRESS(ROW(),COLUMN(NOTA[ID]))),-1)))</f>
        <v/>
      </c>
      <c r="E519" s="33"/>
      <c r="H519" s="34"/>
      <c r="Q519" s="29"/>
      <c r="R519" s="35"/>
      <c r="S519" s="36"/>
      <c r="V519" s="37"/>
      <c r="W519" s="32"/>
      <c r="X519" s="37" t="str">
        <f>IF(NOTA[[#This Row],[HARGA/ CTN]]="",NOTA[[#This Row],[JUMLAH_H]],NOTA[[#This Row],[HARGA/ CTN]]*IF(NOTA[[#This Row],[C]]="",0,NOTA[[#This Row],[C]]))</f>
        <v/>
      </c>
      <c r="Y519" s="37" t="str">
        <f>IF(NOTA[[#This Row],[JUMLAH]]="","",NOTA[[#This Row],[JUMLAH]]*NOTA[[#This Row],[DISC 1]])</f>
        <v/>
      </c>
      <c r="Z519" s="37" t="str">
        <f>IF(NOTA[[#This Row],[JUMLAH]]="","",(NOTA[[#This Row],[JUMLAH]]-NOTA[[#This Row],[DISC 1-]])*NOTA[[#This Row],[DISC 2]])</f>
        <v/>
      </c>
      <c r="AA519" s="37" t="str">
        <f>IF(NOTA[[#This Row],[JUMLAH]]="","",(NOTA[[#This Row],[JUMLAH]]-NOTA[[#This Row],[DISC 1-]]-NOTA[[#This Row],[DISC 2-]])*NOTA[[#This Row],[DISC 3]])</f>
        <v/>
      </c>
      <c r="AB519" s="37" t="str">
        <f>IF(NOTA[[#This Row],[JUMLAH]]="","",NOTA[[#This Row],[DISC 1-]]+NOTA[[#This Row],[DISC 2-]]+NOTA[[#This Row],[DISC 3-]])</f>
        <v/>
      </c>
      <c r="AC519" s="37" t="str">
        <f>IF(NOTA[[#This Row],[JUMLAH]]="","",NOTA[[#This Row],[JUMLAH]]-NOTA[[#This Row],[DISC]])</f>
        <v/>
      </c>
      <c r="AD519" s="37"/>
      <c r="AE5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9" s="37" t="str">
        <f>IF(OR(NOTA[[#This Row],[QTY]]="",NOTA[[#This Row],[HARGA SATUAN]]="",),"",NOTA[[#This Row],[QTY]]*NOTA[[#This Row],[HARGA SATUAN]])</f>
        <v/>
      </c>
      <c r="AI519" s="26" t="str">
        <f ca="1">IF(NOTA[[#This Row],[ID_H]]="","",INDEX(NOTA[TANGGAL],MATCH(,INDIRECT(ADDRESS(ROW(NOTA[TANGGAL]),COLUMN(NOTA[TANGGAL]))&amp;":"&amp;ADDRESS(ROW(),COLUMN(NOTA[TANGGAL]))),-1)))</f>
        <v/>
      </c>
      <c r="AJ519" s="26" t="str">
        <f ca="1">IF(NOTA[[#This Row],[ID_H]]="","",INDEX(NOTA[TGL.NOTA],MATCH(,INDIRECT(ADDRESS(ROW(NOTA[TGL.NOTA]),COLUMN(NOTA[TGL.NOTA]))&amp;":"&amp;ADDRESS(ROW(),COLUMN(NOTA[TGL.NOTA]))),-1)))</f>
        <v/>
      </c>
      <c r="AK519" s="26" t="str">
        <f ca="1">IF(NOTA[[#This Row],[ID_H]]="","",INDEX(NOTA[NO.NOTA],MATCH(NOTA[[#This Row],[ID_H]],NOTA[ID_H],0)))</f>
        <v/>
      </c>
      <c r="AL519" s="28" t="str">
        <f ca="1">IF(NOTA[[#This Row],[NAMA BARANG]]="","",INDEX(NOTA[SUPPLIER],MATCH(,INDIRECT(ADDRESS(ROW(NOTA[ID]),COLUMN(NOTA[ID]))&amp;":"&amp;ADDRESS(ROW(),COLUMN(NOTA[ID]))),-1)))</f>
        <v/>
      </c>
      <c r="AM519" s="28" t="str">
        <f ca="1">IF(NOTA[[#This Row],[ID_H]]="","",IF(NOTA[[#This Row],[FAKTUR]]="",INDIRECT(ADDRESS(ROW()-1,COLUMN())),NOTA[[#This Row],[FAKTUR]]))</f>
        <v/>
      </c>
      <c r="AN519" s="25" t="str">
        <f ca="1">IF(NOTA[[#This Row],[ID]]="","",COUNTIF(NOTA[ID_H],NOTA[[#This Row],[ID_H]]))</f>
        <v/>
      </c>
      <c r="AO519" s="25" t="str">
        <f ca="1">IF(NOTA[[#This Row],[TGL.NOTA]]="",IF(NOTA[[#This Row],[SUPPLIER_H]]="","",AO518),MONTH(NOTA[[#This Row],[TGL.NOTA]]))</f>
        <v/>
      </c>
      <c r="AP5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9" s="25"/>
      <c r="AU519" s="25" t="str">
        <f>IF(NOTA[[#This Row],[CONCAT1]]="","",MATCH(NOTA[[#This Row],[CONCAT1]],[3]!db[NB NOTA_C],0))</f>
        <v/>
      </c>
      <c r="AV519" s="25" t="str">
        <f>IF(NOTA[[#This Row],[QTY/ CTN]]="","",TRUE)</f>
        <v/>
      </c>
      <c r="AW519" s="25" t="str">
        <f ca="1">IF(NOTA[[#This Row],[ID_H]]="","",IF(NOTA[[#This Row],[Column3]]=TRUE,NOTA[[#This Row],[QTY/ CTN]],INDEX([3]!db[QTY/ CTN],NOTA[[#This Row],[//DB]])))</f>
        <v/>
      </c>
      <c r="AX5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9" s="25" t="str">
        <f ca="1">IF(NOTA[[#This Row],[ID_H]]="","",MATCH(NOTA[[#This Row],[NB NOTA_C_QTY]],[3]!db[NB NOTA_C_QTY+F],0))</f>
        <v/>
      </c>
      <c r="AZ519" s="38" t="str">
        <f ca="1">IF(NOTA[[#This Row],[NB NOTA_C_QTY]]="","",ROW()-2)</f>
        <v/>
      </c>
    </row>
    <row r="520" spans="1:52" ht="20.100000000000001" customHeight="1">
      <c r="A5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0" s="25" t="str">
        <f ca="1">IF(NOTA[[#This Row],[NAMA BARANG]]="","",INDEX(NOTA[ID],MATCH(,INDIRECT(ADDRESS(ROW(NOTA[ID]),COLUMN(NOTA[ID]))&amp;":"&amp;ADDRESS(ROW(),COLUMN(NOTA[ID]))),-1)))</f>
        <v/>
      </c>
      <c r="E520" s="33"/>
      <c r="H520" s="34"/>
      <c r="Q520" s="29"/>
      <c r="R520" s="35"/>
      <c r="S520" s="36"/>
      <c r="V520" s="37"/>
      <c r="W520" s="32"/>
      <c r="X520" s="37" t="str">
        <f>IF(NOTA[[#This Row],[HARGA/ CTN]]="",NOTA[[#This Row],[JUMLAH_H]],NOTA[[#This Row],[HARGA/ CTN]]*IF(NOTA[[#This Row],[C]]="",0,NOTA[[#This Row],[C]]))</f>
        <v/>
      </c>
      <c r="Y520" s="37" t="str">
        <f>IF(NOTA[[#This Row],[JUMLAH]]="","",NOTA[[#This Row],[JUMLAH]]*NOTA[[#This Row],[DISC 1]])</f>
        <v/>
      </c>
      <c r="Z520" s="37" t="str">
        <f>IF(NOTA[[#This Row],[JUMLAH]]="","",(NOTA[[#This Row],[JUMLAH]]-NOTA[[#This Row],[DISC 1-]])*NOTA[[#This Row],[DISC 2]])</f>
        <v/>
      </c>
      <c r="AA520" s="37" t="str">
        <f>IF(NOTA[[#This Row],[JUMLAH]]="","",(NOTA[[#This Row],[JUMLAH]]-NOTA[[#This Row],[DISC 1-]]-NOTA[[#This Row],[DISC 2-]])*NOTA[[#This Row],[DISC 3]])</f>
        <v/>
      </c>
      <c r="AB520" s="37" t="str">
        <f>IF(NOTA[[#This Row],[JUMLAH]]="","",NOTA[[#This Row],[DISC 1-]]+NOTA[[#This Row],[DISC 2-]]+NOTA[[#This Row],[DISC 3-]])</f>
        <v/>
      </c>
      <c r="AC520" s="37" t="str">
        <f>IF(NOTA[[#This Row],[JUMLAH]]="","",NOTA[[#This Row],[JUMLAH]]-NOTA[[#This Row],[DISC]])</f>
        <v/>
      </c>
      <c r="AD520" s="37"/>
      <c r="AE5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0" s="37" t="str">
        <f>IF(OR(NOTA[[#This Row],[QTY]]="",NOTA[[#This Row],[HARGA SATUAN]]="",),"",NOTA[[#This Row],[QTY]]*NOTA[[#This Row],[HARGA SATUAN]])</f>
        <v/>
      </c>
      <c r="AI520" s="26" t="str">
        <f ca="1">IF(NOTA[[#This Row],[ID_H]]="","",INDEX(NOTA[TANGGAL],MATCH(,INDIRECT(ADDRESS(ROW(NOTA[TANGGAL]),COLUMN(NOTA[TANGGAL]))&amp;":"&amp;ADDRESS(ROW(),COLUMN(NOTA[TANGGAL]))),-1)))</f>
        <v/>
      </c>
      <c r="AJ520" s="26" t="str">
        <f ca="1">IF(NOTA[[#This Row],[ID_H]]="","",INDEX(NOTA[TGL.NOTA],MATCH(,INDIRECT(ADDRESS(ROW(NOTA[TGL.NOTA]),COLUMN(NOTA[TGL.NOTA]))&amp;":"&amp;ADDRESS(ROW(),COLUMN(NOTA[TGL.NOTA]))),-1)))</f>
        <v/>
      </c>
      <c r="AK520" s="26" t="str">
        <f ca="1">IF(NOTA[[#This Row],[ID_H]]="","",INDEX(NOTA[NO.NOTA],MATCH(NOTA[[#This Row],[ID_H]],NOTA[ID_H],0)))</f>
        <v/>
      </c>
      <c r="AL520" s="28" t="str">
        <f ca="1">IF(NOTA[[#This Row],[NAMA BARANG]]="","",INDEX(NOTA[SUPPLIER],MATCH(,INDIRECT(ADDRESS(ROW(NOTA[ID]),COLUMN(NOTA[ID]))&amp;":"&amp;ADDRESS(ROW(),COLUMN(NOTA[ID]))),-1)))</f>
        <v/>
      </c>
      <c r="AM520" s="28" t="str">
        <f ca="1">IF(NOTA[[#This Row],[ID_H]]="","",IF(NOTA[[#This Row],[FAKTUR]]="",INDIRECT(ADDRESS(ROW()-1,COLUMN())),NOTA[[#This Row],[FAKTUR]]))</f>
        <v/>
      </c>
      <c r="AN520" s="25" t="str">
        <f ca="1">IF(NOTA[[#This Row],[ID]]="","",COUNTIF(NOTA[ID_H],NOTA[[#This Row],[ID_H]]))</f>
        <v/>
      </c>
      <c r="AO520" s="25" t="str">
        <f ca="1">IF(NOTA[[#This Row],[TGL.NOTA]]="",IF(NOTA[[#This Row],[SUPPLIER_H]]="","",AO519),MONTH(NOTA[[#This Row],[TGL.NOTA]]))</f>
        <v/>
      </c>
      <c r="AP5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0" s="25"/>
      <c r="AU520" s="25" t="str">
        <f>IF(NOTA[[#This Row],[CONCAT1]]="","",MATCH(NOTA[[#This Row],[CONCAT1]],[3]!db[NB NOTA_C],0))</f>
        <v/>
      </c>
      <c r="AV520" s="25" t="str">
        <f>IF(NOTA[[#This Row],[QTY/ CTN]]="","",TRUE)</f>
        <v/>
      </c>
      <c r="AW520" s="25" t="str">
        <f ca="1">IF(NOTA[[#This Row],[ID_H]]="","",IF(NOTA[[#This Row],[Column3]]=TRUE,NOTA[[#This Row],[QTY/ CTN]],INDEX([3]!db[QTY/ CTN],NOTA[[#This Row],[//DB]])))</f>
        <v/>
      </c>
      <c r="AX5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0" s="25" t="str">
        <f ca="1">IF(NOTA[[#This Row],[ID_H]]="","",MATCH(NOTA[[#This Row],[NB NOTA_C_QTY]],[3]!db[NB NOTA_C_QTY+F],0))</f>
        <v/>
      </c>
      <c r="AZ520" s="38" t="str">
        <f ca="1">IF(NOTA[[#This Row],[NB NOTA_C_QTY]]="","",ROW()-2)</f>
        <v/>
      </c>
    </row>
    <row r="521" spans="1:52" ht="20.100000000000001" customHeight="1">
      <c r="A5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1" s="25" t="str">
        <f ca="1">IF(NOTA[[#This Row],[NAMA BARANG]]="","",INDEX(NOTA[ID],MATCH(,INDIRECT(ADDRESS(ROW(NOTA[ID]),COLUMN(NOTA[ID]))&amp;":"&amp;ADDRESS(ROW(),COLUMN(NOTA[ID]))),-1)))</f>
        <v/>
      </c>
      <c r="E521" s="33"/>
      <c r="H521" s="34"/>
      <c r="Q521" s="29"/>
      <c r="R521" s="35"/>
      <c r="S521" s="36"/>
      <c r="V521" s="37"/>
      <c r="W521" s="32"/>
      <c r="X521" s="37" t="str">
        <f>IF(NOTA[[#This Row],[HARGA/ CTN]]="",NOTA[[#This Row],[JUMLAH_H]],NOTA[[#This Row],[HARGA/ CTN]]*IF(NOTA[[#This Row],[C]]="",0,NOTA[[#This Row],[C]]))</f>
        <v/>
      </c>
      <c r="Y521" s="37" t="str">
        <f>IF(NOTA[[#This Row],[JUMLAH]]="","",NOTA[[#This Row],[JUMLAH]]*NOTA[[#This Row],[DISC 1]])</f>
        <v/>
      </c>
      <c r="Z521" s="37" t="str">
        <f>IF(NOTA[[#This Row],[JUMLAH]]="","",(NOTA[[#This Row],[JUMLAH]]-NOTA[[#This Row],[DISC 1-]])*NOTA[[#This Row],[DISC 2]])</f>
        <v/>
      </c>
      <c r="AA521" s="37" t="str">
        <f>IF(NOTA[[#This Row],[JUMLAH]]="","",(NOTA[[#This Row],[JUMLAH]]-NOTA[[#This Row],[DISC 1-]]-NOTA[[#This Row],[DISC 2-]])*NOTA[[#This Row],[DISC 3]])</f>
        <v/>
      </c>
      <c r="AB521" s="37" t="str">
        <f>IF(NOTA[[#This Row],[JUMLAH]]="","",NOTA[[#This Row],[DISC 1-]]+NOTA[[#This Row],[DISC 2-]]+NOTA[[#This Row],[DISC 3-]])</f>
        <v/>
      </c>
      <c r="AC521" s="37" t="str">
        <f>IF(NOTA[[#This Row],[JUMLAH]]="","",NOTA[[#This Row],[JUMLAH]]-NOTA[[#This Row],[DISC]])</f>
        <v/>
      </c>
      <c r="AD521" s="37"/>
      <c r="AE5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1" s="37" t="str">
        <f>IF(OR(NOTA[[#This Row],[QTY]]="",NOTA[[#This Row],[HARGA SATUAN]]="",),"",NOTA[[#This Row],[QTY]]*NOTA[[#This Row],[HARGA SATUAN]])</f>
        <v/>
      </c>
      <c r="AI521" s="26" t="str">
        <f ca="1">IF(NOTA[[#This Row],[ID_H]]="","",INDEX(NOTA[TANGGAL],MATCH(,INDIRECT(ADDRESS(ROW(NOTA[TANGGAL]),COLUMN(NOTA[TANGGAL]))&amp;":"&amp;ADDRESS(ROW(),COLUMN(NOTA[TANGGAL]))),-1)))</f>
        <v/>
      </c>
      <c r="AJ521" s="26" t="str">
        <f ca="1">IF(NOTA[[#This Row],[ID_H]]="","",INDEX(NOTA[TGL.NOTA],MATCH(,INDIRECT(ADDRESS(ROW(NOTA[TGL.NOTA]),COLUMN(NOTA[TGL.NOTA]))&amp;":"&amp;ADDRESS(ROW(),COLUMN(NOTA[TGL.NOTA]))),-1)))</f>
        <v/>
      </c>
      <c r="AK521" s="26" t="str">
        <f ca="1">IF(NOTA[[#This Row],[ID_H]]="","",INDEX(NOTA[NO.NOTA],MATCH(NOTA[[#This Row],[ID_H]],NOTA[ID_H],0)))</f>
        <v/>
      </c>
      <c r="AL521" s="28" t="str">
        <f ca="1">IF(NOTA[[#This Row],[NAMA BARANG]]="","",INDEX(NOTA[SUPPLIER],MATCH(,INDIRECT(ADDRESS(ROW(NOTA[ID]),COLUMN(NOTA[ID]))&amp;":"&amp;ADDRESS(ROW(),COLUMN(NOTA[ID]))),-1)))</f>
        <v/>
      </c>
      <c r="AM521" s="28" t="str">
        <f ca="1">IF(NOTA[[#This Row],[ID_H]]="","",IF(NOTA[[#This Row],[FAKTUR]]="",INDIRECT(ADDRESS(ROW()-1,COLUMN())),NOTA[[#This Row],[FAKTUR]]))</f>
        <v/>
      </c>
      <c r="AN521" s="25" t="str">
        <f ca="1">IF(NOTA[[#This Row],[ID]]="","",COUNTIF(NOTA[ID_H],NOTA[[#This Row],[ID_H]]))</f>
        <v/>
      </c>
      <c r="AO521" s="25" t="str">
        <f ca="1">IF(NOTA[[#This Row],[TGL.NOTA]]="",IF(NOTA[[#This Row],[SUPPLIER_H]]="","",AO520),MONTH(NOTA[[#This Row],[TGL.NOTA]]))</f>
        <v/>
      </c>
      <c r="AP5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1" s="25"/>
      <c r="AU521" s="25" t="str">
        <f>IF(NOTA[[#This Row],[CONCAT1]]="","",MATCH(NOTA[[#This Row],[CONCAT1]],[3]!db[NB NOTA_C],0))</f>
        <v/>
      </c>
      <c r="AV521" s="25" t="str">
        <f>IF(NOTA[[#This Row],[QTY/ CTN]]="","",TRUE)</f>
        <v/>
      </c>
      <c r="AW521" s="25" t="str">
        <f ca="1">IF(NOTA[[#This Row],[ID_H]]="","",IF(NOTA[[#This Row],[Column3]]=TRUE,NOTA[[#This Row],[QTY/ CTN]],INDEX([3]!db[QTY/ CTN],NOTA[[#This Row],[//DB]])))</f>
        <v/>
      </c>
      <c r="AX5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1" s="25" t="str">
        <f ca="1">IF(NOTA[[#This Row],[ID_H]]="","",MATCH(NOTA[[#This Row],[NB NOTA_C_QTY]],[3]!db[NB NOTA_C_QTY+F],0))</f>
        <v/>
      </c>
      <c r="AZ521" s="38" t="str">
        <f ca="1">IF(NOTA[[#This Row],[NB NOTA_C_QTY]]="","",ROW()-2)</f>
        <v/>
      </c>
    </row>
    <row r="522" spans="1:52" ht="20.100000000000001" customHeight="1">
      <c r="A5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2" s="25" t="str">
        <f ca="1">IF(NOTA[[#This Row],[NAMA BARANG]]="","",INDEX(NOTA[ID],MATCH(,INDIRECT(ADDRESS(ROW(NOTA[ID]),COLUMN(NOTA[ID]))&amp;":"&amp;ADDRESS(ROW(),COLUMN(NOTA[ID]))),-1)))</f>
        <v/>
      </c>
      <c r="E522" s="33"/>
      <c r="H522" s="34"/>
      <c r="Q522" s="29"/>
      <c r="R522" s="35"/>
      <c r="S522" s="36"/>
      <c r="V522" s="37"/>
      <c r="W522" s="32"/>
      <c r="X522" s="37" t="str">
        <f>IF(NOTA[[#This Row],[HARGA/ CTN]]="",NOTA[[#This Row],[JUMLAH_H]],NOTA[[#This Row],[HARGA/ CTN]]*IF(NOTA[[#This Row],[C]]="",0,NOTA[[#This Row],[C]]))</f>
        <v/>
      </c>
      <c r="Y522" s="37" t="str">
        <f>IF(NOTA[[#This Row],[JUMLAH]]="","",NOTA[[#This Row],[JUMLAH]]*NOTA[[#This Row],[DISC 1]])</f>
        <v/>
      </c>
      <c r="Z522" s="37" t="str">
        <f>IF(NOTA[[#This Row],[JUMLAH]]="","",(NOTA[[#This Row],[JUMLAH]]-NOTA[[#This Row],[DISC 1-]])*NOTA[[#This Row],[DISC 2]])</f>
        <v/>
      </c>
      <c r="AA522" s="37" t="str">
        <f>IF(NOTA[[#This Row],[JUMLAH]]="","",(NOTA[[#This Row],[JUMLAH]]-NOTA[[#This Row],[DISC 1-]]-NOTA[[#This Row],[DISC 2-]])*NOTA[[#This Row],[DISC 3]])</f>
        <v/>
      </c>
      <c r="AB522" s="37" t="str">
        <f>IF(NOTA[[#This Row],[JUMLAH]]="","",NOTA[[#This Row],[DISC 1-]]+NOTA[[#This Row],[DISC 2-]]+NOTA[[#This Row],[DISC 3-]])</f>
        <v/>
      </c>
      <c r="AC522" s="37" t="str">
        <f>IF(NOTA[[#This Row],[JUMLAH]]="","",NOTA[[#This Row],[JUMLAH]]-NOTA[[#This Row],[DISC]])</f>
        <v/>
      </c>
      <c r="AD522" s="37"/>
      <c r="AE5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2" s="37" t="str">
        <f>IF(OR(NOTA[[#This Row],[QTY]]="",NOTA[[#This Row],[HARGA SATUAN]]="",),"",NOTA[[#This Row],[QTY]]*NOTA[[#This Row],[HARGA SATUAN]])</f>
        <v/>
      </c>
      <c r="AI522" s="26" t="str">
        <f ca="1">IF(NOTA[[#This Row],[ID_H]]="","",INDEX(NOTA[TANGGAL],MATCH(,INDIRECT(ADDRESS(ROW(NOTA[TANGGAL]),COLUMN(NOTA[TANGGAL]))&amp;":"&amp;ADDRESS(ROW(),COLUMN(NOTA[TANGGAL]))),-1)))</f>
        <v/>
      </c>
      <c r="AJ522" s="26" t="str">
        <f ca="1">IF(NOTA[[#This Row],[ID_H]]="","",INDEX(NOTA[TGL.NOTA],MATCH(,INDIRECT(ADDRESS(ROW(NOTA[TGL.NOTA]),COLUMN(NOTA[TGL.NOTA]))&amp;":"&amp;ADDRESS(ROW(),COLUMN(NOTA[TGL.NOTA]))),-1)))</f>
        <v/>
      </c>
      <c r="AK522" s="26" t="str">
        <f ca="1">IF(NOTA[[#This Row],[ID_H]]="","",INDEX(NOTA[NO.NOTA],MATCH(NOTA[[#This Row],[ID_H]],NOTA[ID_H],0)))</f>
        <v/>
      </c>
      <c r="AL522" s="28" t="str">
        <f ca="1">IF(NOTA[[#This Row],[NAMA BARANG]]="","",INDEX(NOTA[SUPPLIER],MATCH(,INDIRECT(ADDRESS(ROW(NOTA[ID]),COLUMN(NOTA[ID]))&amp;":"&amp;ADDRESS(ROW(),COLUMN(NOTA[ID]))),-1)))</f>
        <v/>
      </c>
      <c r="AM522" s="28" t="str">
        <f ca="1">IF(NOTA[[#This Row],[ID_H]]="","",IF(NOTA[[#This Row],[FAKTUR]]="",INDIRECT(ADDRESS(ROW()-1,COLUMN())),NOTA[[#This Row],[FAKTUR]]))</f>
        <v/>
      </c>
      <c r="AN522" s="25" t="str">
        <f ca="1">IF(NOTA[[#This Row],[ID]]="","",COUNTIF(NOTA[ID_H],NOTA[[#This Row],[ID_H]]))</f>
        <v/>
      </c>
      <c r="AO522" s="25" t="str">
        <f ca="1">IF(NOTA[[#This Row],[TGL.NOTA]]="",IF(NOTA[[#This Row],[SUPPLIER_H]]="","",AO521),MONTH(NOTA[[#This Row],[TGL.NOTA]]))</f>
        <v/>
      </c>
      <c r="AP5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2" s="25"/>
      <c r="AU522" s="25" t="str">
        <f>IF(NOTA[[#This Row],[CONCAT1]]="","",MATCH(NOTA[[#This Row],[CONCAT1]],[3]!db[NB NOTA_C],0))</f>
        <v/>
      </c>
      <c r="AV522" s="25" t="str">
        <f>IF(NOTA[[#This Row],[QTY/ CTN]]="","",TRUE)</f>
        <v/>
      </c>
      <c r="AW522" s="25" t="str">
        <f ca="1">IF(NOTA[[#This Row],[ID_H]]="","",IF(NOTA[[#This Row],[Column3]]=TRUE,NOTA[[#This Row],[QTY/ CTN]],INDEX([3]!db[QTY/ CTN],NOTA[[#This Row],[//DB]])))</f>
        <v/>
      </c>
      <c r="AX5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2" s="25" t="str">
        <f ca="1">IF(NOTA[[#This Row],[ID_H]]="","",MATCH(NOTA[[#This Row],[NB NOTA_C_QTY]],[3]!db[NB NOTA_C_QTY+F],0))</f>
        <v/>
      </c>
      <c r="AZ522" s="38" t="str">
        <f ca="1">IF(NOTA[[#This Row],[NB NOTA_C_QTY]]="","",ROW()-2)</f>
        <v/>
      </c>
    </row>
    <row r="523" spans="1:52" ht="20.100000000000001" customHeight="1">
      <c r="A5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3" s="25" t="str">
        <f ca="1">IF(NOTA[[#This Row],[NAMA BARANG]]="","",INDEX(NOTA[ID],MATCH(,INDIRECT(ADDRESS(ROW(NOTA[ID]),COLUMN(NOTA[ID]))&amp;":"&amp;ADDRESS(ROW(),COLUMN(NOTA[ID]))),-1)))</f>
        <v/>
      </c>
      <c r="E523" s="33"/>
      <c r="H523" s="34"/>
      <c r="Q523" s="29"/>
      <c r="R523" s="35"/>
      <c r="S523" s="36"/>
      <c r="V523" s="37"/>
      <c r="W523" s="32"/>
      <c r="X523" s="37" t="str">
        <f>IF(NOTA[[#This Row],[HARGA/ CTN]]="",NOTA[[#This Row],[JUMLAH_H]],NOTA[[#This Row],[HARGA/ CTN]]*IF(NOTA[[#This Row],[C]]="",0,NOTA[[#This Row],[C]]))</f>
        <v/>
      </c>
      <c r="Y523" s="37" t="str">
        <f>IF(NOTA[[#This Row],[JUMLAH]]="","",NOTA[[#This Row],[JUMLAH]]*NOTA[[#This Row],[DISC 1]])</f>
        <v/>
      </c>
      <c r="Z523" s="37" t="str">
        <f>IF(NOTA[[#This Row],[JUMLAH]]="","",(NOTA[[#This Row],[JUMLAH]]-NOTA[[#This Row],[DISC 1-]])*NOTA[[#This Row],[DISC 2]])</f>
        <v/>
      </c>
      <c r="AA523" s="37" t="str">
        <f>IF(NOTA[[#This Row],[JUMLAH]]="","",(NOTA[[#This Row],[JUMLAH]]-NOTA[[#This Row],[DISC 1-]]-NOTA[[#This Row],[DISC 2-]])*NOTA[[#This Row],[DISC 3]])</f>
        <v/>
      </c>
      <c r="AB523" s="37" t="str">
        <f>IF(NOTA[[#This Row],[JUMLAH]]="","",NOTA[[#This Row],[DISC 1-]]+NOTA[[#This Row],[DISC 2-]]+NOTA[[#This Row],[DISC 3-]])</f>
        <v/>
      </c>
      <c r="AC523" s="37" t="str">
        <f>IF(NOTA[[#This Row],[JUMLAH]]="","",NOTA[[#This Row],[JUMLAH]]-NOTA[[#This Row],[DISC]])</f>
        <v/>
      </c>
      <c r="AD523" s="37"/>
      <c r="AE5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3" s="37" t="str">
        <f>IF(OR(NOTA[[#This Row],[QTY]]="",NOTA[[#This Row],[HARGA SATUAN]]="",),"",NOTA[[#This Row],[QTY]]*NOTA[[#This Row],[HARGA SATUAN]])</f>
        <v/>
      </c>
      <c r="AI523" s="26" t="str">
        <f ca="1">IF(NOTA[[#This Row],[ID_H]]="","",INDEX(NOTA[TANGGAL],MATCH(,INDIRECT(ADDRESS(ROW(NOTA[TANGGAL]),COLUMN(NOTA[TANGGAL]))&amp;":"&amp;ADDRESS(ROW(),COLUMN(NOTA[TANGGAL]))),-1)))</f>
        <v/>
      </c>
      <c r="AJ523" s="26" t="str">
        <f ca="1">IF(NOTA[[#This Row],[ID_H]]="","",INDEX(NOTA[TGL.NOTA],MATCH(,INDIRECT(ADDRESS(ROW(NOTA[TGL.NOTA]),COLUMN(NOTA[TGL.NOTA]))&amp;":"&amp;ADDRESS(ROW(),COLUMN(NOTA[TGL.NOTA]))),-1)))</f>
        <v/>
      </c>
      <c r="AK523" s="26" t="str">
        <f ca="1">IF(NOTA[[#This Row],[ID_H]]="","",INDEX(NOTA[NO.NOTA],MATCH(NOTA[[#This Row],[ID_H]],NOTA[ID_H],0)))</f>
        <v/>
      </c>
      <c r="AL523" s="28" t="str">
        <f ca="1">IF(NOTA[[#This Row],[NAMA BARANG]]="","",INDEX(NOTA[SUPPLIER],MATCH(,INDIRECT(ADDRESS(ROW(NOTA[ID]),COLUMN(NOTA[ID]))&amp;":"&amp;ADDRESS(ROW(),COLUMN(NOTA[ID]))),-1)))</f>
        <v/>
      </c>
      <c r="AM523" s="28" t="str">
        <f ca="1">IF(NOTA[[#This Row],[ID_H]]="","",IF(NOTA[[#This Row],[FAKTUR]]="",INDIRECT(ADDRESS(ROW()-1,COLUMN())),NOTA[[#This Row],[FAKTUR]]))</f>
        <v/>
      </c>
      <c r="AN523" s="25" t="str">
        <f ca="1">IF(NOTA[[#This Row],[ID]]="","",COUNTIF(NOTA[ID_H],NOTA[[#This Row],[ID_H]]))</f>
        <v/>
      </c>
      <c r="AO523" s="25" t="str">
        <f ca="1">IF(NOTA[[#This Row],[TGL.NOTA]]="",IF(NOTA[[#This Row],[SUPPLIER_H]]="","",AO522),MONTH(NOTA[[#This Row],[TGL.NOTA]]))</f>
        <v/>
      </c>
      <c r="AP5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3" s="25"/>
      <c r="AU523" s="25" t="str">
        <f>IF(NOTA[[#This Row],[CONCAT1]]="","",MATCH(NOTA[[#This Row],[CONCAT1]],[3]!db[NB NOTA_C],0))</f>
        <v/>
      </c>
      <c r="AV523" s="25" t="str">
        <f>IF(NOTA[[#This Row],[QTY/ CTN]]="","",TRUE)</f>
        <v/>
      </c>
      <c r="AW523" s="25" t="str">
        <f ca="1">IF(NOTA[[#This Row],[ID_H]]="","",IF(NOTA[[#This Row],[Column3]]=TRUE,NOTA[[#This Row],[QTY/ CTN]],INDEX([3]!db[QTY/ CTN],NOTA[[#This Row],[//DB]])))</f>
        <v/>
      </c>
      <c r="AX5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3" s="25" t="str">
        <f ca="1">IF(NOTA[[#This Row],[ID_H]]="","",MATCH(NOTA[[#This Row],[NB NOTA_C_QTY]],[3]!db[NB NOTA_C_QTY+F],0))</f>
        <v/>
      </c>
      <c r="AZ523" s="38" t="str">
        <f ca="1">IF(NOTA[[#This Row],[NB NOTA_C_QTY]]="","",ROW()-2)</f>
        <v/>
      </c>
    </row>
    <row r="524" spans="1:52" ht="20.100000000000001" customHeight="1">
      <c r="A5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4" s="25" t="str">
        <f ca="1">IF(NOTA[[#This Row],[NAMA BARANG]]="","",INDEX(NOTA[ID],MATCH(,INDIRECT(ADDRESS(ROW(NOTA[ID]),COLUMN(NOTA[ID]))&amp;":"&amp;ADDRESS(ROW(),COLUMN(NOTA[ID]))),-1)))</f>
        <v/>
      </c>
      <c r="E524" s="33"/>
      <c r="H524" s="34"/>
      <c r="Q524" s="29"/>
      <c r="R524" s="35"/>
      <c r="S524" s="36"/>
      <c r="V524" s="37"/>
      <c r="W524" s="32"/>
      <c r="X524" s="37" t="str">
        <f>IF(NOTA[[#This Row],[HARGA/ CTN]]="",NOTA[[#This Row],[JUMLAH_H]],NOTA[[#This Row],[HARGA/ CTN]]*IF(NOTA[[#This Row],[C]]="",0,NOTA[[#This Row],[C]]))</f>
        <v/>
      </c>
      <c r="Y524" s="37" t="str">
        <f>IF(NOTA[[#This Row],[JUMLAH]]="","",NOTA[[#This Row],[JUMLAH]]*NOTA[[#This Row],[DISC 1]])</f>
        <v/>
      </c>
      <c r="Z524" s="37" t="str">
        <f>IF(NOTA[[#This Row],[JUMLAH]]="","",(NOTA[[#This Row],[JUMLAH]]-NOTA[[#This Row],[DISC 1-]])*NOTA[[#This Row],[DISC 2]])</f>
        <v/>
      </c>
      <c r="AA524" s="37" t="str">
        <f>IF(NOTA[[#This Row],[JUMLAH]]="","",(NOTA[[#This Row],[JUMLAH]]-NOTA[[#This Row],[DISC 1-]]-NOTA[[#This Row],[DISC 2-]])*NOTA[[#This Row],[DISC 3]])</f>
        <v/>
      </c>
      <c r="AB524" s="37" t="str">
        <f>IF(NOTA[[#This Row],[JUMLAH]]="","",NOTA[[#This Row],[DISC 1-]]+NOTA[[#This Row],[DISC 2-]]+NOTA[[#This Row],[DISC 3-]])</f>
        <v/>
      </c>
      <c r="AC524" s="37" t="str">
        <f>IF(NOTA[[#This Row],[JUMLAH]]="","",NOTA[[#This Row],[JUMLAH]]-NOTA[[#This Row],[DISC]])</f>
        <v/>
      </c>
      <c r="AD524" s="37"/>
      <c r="AE5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4" s="37" t="str">
        <f>IF(OR(NOTA[[#This Row],[QTY]]="",NOTA[[#This Row],[HARGA SATUAN]]="",),"",NOTA[[#This Row],[QTY]]*NOTA[[#This Row],[HARGA SATUAN]])</f>
        <v/>
      </c>
      <c r="AI524" s="26" t="str">
        <f ca="1">IF(NOTA[[#This Row],[ID_H]]="","",INDEX(NOTA[TANGGAL],MATCH(,INDIRECT(ADDRESS(ROW(NOTA[TANGGAL]),COLUMN(NOTA[TANGGAL]))&amp;":"&amp;ADDRESS(ROW(),COLUMN(NOTA[TANGGAL]))),-1)))</f>
        <v/>
      </c>
      <c r="AJ524" s="26" t="str">
        <f ca="1">IF(NOTA[[#This Row],[ID_H]]="","",INDEX(NOTA[TGL.NOTA],MATCH(,INDIRECT(ADDRESS(ROW(NOTA[TGL.NOTA]),COLUMN(NOTA[TGL.NOTA]))&amp;":"&amp;ADDRESS(ROW(),COLUMN(NOTA[TGL.NOTA]))),-1)))</f>
        <v/>
      </c>
      <c r="AK524" s="26" t="str">
        <f ca="1">IF(NOTA[[#This Row],[ID_H]]="","",INDEX(NOTA[NO.NOTA],MATCH(NOTA[[#This Row],[ID_H]],NOTA[ID_H],0)))</f>
        <v/>
      </c>
      <c r="AL524" s="28" t="str">
        <f ca="1">IF(NOTA[[#This Row],[NAMA BARANG]]="","",INDEX(NOTA[SUPPLIER],MATCH(,INDIRECT(ADDRESS(ROW(NOTA[ID]),COLUMN(NOTA[ID]))&amp;":"&amp;ADDRESS(ROW(),COLUMN(NOTA[ID]))),-1)))</f>
        <v/>
      </c>
      <c r="AM524" s="28" t="str">
        <f ca="1">IF(NOTA[[#This Row],[ID_H]]="","",IF(NOTA[[#This Row],[FAKTUR]]="",INDIRECT(ADDRESS(ROW()-1,COLUMN())),NOTA[[#This Row],[FAKTUR]]))</f>
        <v/>
      </c>
      <c r="AN524" s="25" t="str">
        <f ca="1">IF(NOTA[[#This Row],[ID]]="","",COUNTIF(NOTA[ID_H],NOTA[[#This Row],[ID_H]]))</f>
        <v/>
      </c>
      <c r="AO524" s="25" t="str">
        <f ca="1">IF(NOTA[[#This Row],[TGL.NOTA]]="",IF(NOTA[[#This Row],[SUPPLIER_H]]="","",AO523),MONTH(NOTA[[#This Row],[TGL.NOTA]]))</f>
        <v/>
      </c>
      <c r="AP5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4" s="25"/>
      <c r="AU524" s="25" t="str">
        <f>IF(NOTA[[#This Row],[CONCAT1]]="","",MATCH(NOTA[[#This Row],[CONCAT1]],[3]!db[NB NOTA_C],0))</f>
        <v/>
      </c>
      <c r="AV524" s="25" t="str">
        <f>IF(NOTA[[#This Row],[QTY/ CTN]]="","",TRUE)</f>
        <v/>
      </c>
      <c r="AW524" s="25" t="str">
        <f ca="1">IF(NOTA[[#This Row],[ID_H]]="","",IF(NOTA[[#This Row],[Column3]]=TRUE,NOTA[[#This Row],[QTY/ CTN]],INDEX([3]!db[QTY/ CTN],NOTA[[#This Row],[//DB]])))</f>
        <v/>
      </c>
      <c r="AX5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4" s="25" t="str">
        <f ca="1">IF(NOTA[[#This Row],[ID_H]]="","",MATCH(NOTA[[#This Row],[NB NOTA_C_QTY]],[3]!db[NB NOTA_C_QTY+F],0))</f>
        <v/>
      </c>
      <c r="AZ524" s="38" t="str">
        <f ca="1">IF(NOTA[[#This Row],[NB NOTA_C_QTY]]="","",ROW()-2)</f>
        <v/>
      </c>
    </row>
    <row r="525" spans="1:52" ht="20.100000000000001" customHeight="1">
      <c r="A5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5" s="25" t="str">
        <f ca="1">IF(NOTA[[#This Row],[NAMA BARANG]]="","",INDEX(NOTA[ID],MATCH(,INDIRECT(ADDRESS(ROW(NOTA[ID]),COLUMN(NOTA[ID]))&amp;":"&amp;ADDRESS(ROW(),COLUMN(NOTA[ID]))),-1)))</f>
        <v/>
      </c>
      <c r="E525" s="33"/>
      <c r="H525" s="34"/>
      <c r="Q525" s="29"/>
      <c r="R525" s="35"/>
      <c r="S525" s="36"/>
      <c r="V525" s="37"/>
      <c r="W525" s="32"/>
      <c r="X525" s="37" t="str">
        <f>IF(NOTA[[#This Row],[HARGA/ CTN]]="",NOTA[[#This Row],[JUMLAH_H]],NOTA[[#This Row],[HARGA/ CTN]]*IF(NOTA[[#This Row],[C]]="",0,NOTA[[#This Row],[C]]))</f>
        <v/>
      </c>
      <c r="Y525" s="37" t="str">
        <f>IF(NOTA[[#This Row],[JUMLAH]]="","",NOTA[[#This Row],[JUMLAH]]*NOTA[[#This Row],[DISC 1]])</f>
        <v/>
      </c>
      <c r="Z525" s="37" t="str">
        <f>IF(NOTA[[#This Row],[JUMLAH]]="","",(NOTA[[#This Row],[JUMLAH]]-NOTA[[#This Row],[DISC 1-]])*NOTA[[#This Row],[DISC 2]])</f>
        <v/>
      </c>
      <c r="AA525" s="37" t="str">
        <f>IF(NOTA[[#This Row],[JUMLAH]]="","",(NOTA[[#This Row],[JUMLAH]]-NOTA[[#This Row],[DISC 1-]]-NOTA[[#This Row],[DISC 2-]])*NOTA[[#This Row],[DISC 3]])</f>
        <v/>
      </c>
      <c r="AB525" s="37" t="str">
        <f>IF(NOTA[[#This Row],[JUMLAH]]="","",NOTA[[#This Row],[DISC 1-]]+NOTA[[#This Row],[DISC 2-]]+NOTA[[#This Row],[DISC 3-]])</f>
        <v/>
      </c>
      <c r="AC525" s="37" t="str">
        <f>IF(NOTA[[#This Row],[JUMLAH]]="","",NOTA[[#This Row],[JUMLAH]]-NOTA[[#This Row],[DISC]])</f>
        <v/>
      </c>
      <c r="AD525" s="37"/>
      <c r="AE5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5" s="37" t="str">
        <f>IF(OR(NOTA[[#This Row],[QTY]]="",NOTA[[#This Row],[HARGA SATUAN]]="",),"",NOTA[[#This Row],[QTY]]*NOTA[[#This Row],[HARGA SATUAN]])</f>
        <v/>
      </c>
      <c r="AI525" s="26" t="str">
        <f ca="1">IF(NOTA[[#This Row],[ID_H]]="","",INDEX(NOTA[TANGGAL],MATCH(,INDIRECT(ADDRESS(ROW(NOTA[TANGGAL]),COLUMN(NOTA[TANGGAL]))&amp;":"&amp;ADDRESS(ROW(),COLUMN(NOTA[TANGGAL]))),-1)))</f>
        <v/>
      </c>
      <c r="AJ525" s="26" t="str">
        <f ca="1">IF(NOTA[[#This Row],[ID_H]]="","",INDEX(NOTA[TGL.NOTA],MATCH(,INDIRECT(ADDRESS(ROW(NOTA[TGL.NOTA]),COLUMN(NOTA[TGL.NOTA]))&amp;":"&amp;ADDRESS(ROW(),COLUMN(NOTA[TGL.NOTA]))),-1)))</f>
        <v/>
      </c>
      <c r="AK525" s="26" t="str">
        <f ca="1">IF(NOTA[[#This Row],[ID_H]]="","",INDEX(NOTA[NO.NOTA],MATCH(NOTA[[#This Row],[ID_H]],NOTA[ID_H],0)))</f>
        <v/>
      </c>
      <c r="AL525" s="28" t="str">
        <f ca="1">IF(NOTA[[#This Row],[NAMA BARANG]]="","",INDEX(NOTA[SUPPLIER],MATCH(,INDIRECT(ADDRESS(ROW(NOTA[ID]),COLUMN(NOTA[ID]))&amp;":"&amp;ADDRESS(ROW(),COLUMN(NOTA[ID]))),-1)))</f>
        <v/>
      </c>
      <c r="AM525" s="28" t="str">
        <f ca="1">IF(NOTA[[#This Row],[ID_H]]="","",IF(NOTA[[#This Row],[FAKTUR]]="",INDIRECT(ADDRESS(ROW()-1,COLUMN())),NOTA[[#This Row],[FAKTUR]]))</f>
        <v/>
      </c>
      <c r="AN525" s="25" t="str">
        <f ca="1">IF(NOTA[[#This Row],[ID]]="","",COUNTIF(NOTA[ID_H],NOTA[[#This Row],[ID_H]]))</f>
        <v/>
      </c>
      <c r="AO525" s="25" t="str">
        <f ca="1">IF(NOTA[[#This Row],[TGL.NOTA]]="",IF(NOTA[[#This Row],[SUPPLIER_H]]="","",AO524),MONTH(NOTA[[#This Row],[TGL.NOTA]]))</f>
        <v/>
      </c>
      <c r="AP5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5" s="25"/>
      <c r="AU525" s="25" t="str">
        <f>IF(NOTA[[#This Row],[CONCAT1]]="","",MATCH(NOTA[[#This Row],[CONCAT1]],[3]!db[NB NOTA_C],0))</f>
        <v/>
      </c>
      <c r="AV525" s="25" t="str">
        <f>IF(NOTA[[#This Row],[QTY/ CTN]]="","",TRUE)</f>
        <v/>
      </c>
      <c r="AW525" s="25" t="str">
        <f ca="1">IF(NOTA[[#This Row],[ID_H]]="","",IF(NOTA[[#This Row],[Column3]]=TRUE,NOTA[[#This Row],[QTY/ CTN]],INDEX([3]!db[QTY/ CTN],NOTA[[#This Row],[//DB]])))</f>
        <v/>
      </c>
      <c r="AX5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5" s="25" t="str">
        <f ca="1">IF(NOTA[[#This Row],[ID_H]]="","",MATCH(NOTA[[#This Row],[NB NOTA_C_QTY]],[3]!db[NB NOTA_C_QTY+F],0))</f>
        <v/>
      </c>
      <c r="AZ525" s="38" t="str">
        <f ca="1">IF(NOTA[[#This Row],[NB NOTA_C_QTY]]="","",ROW()-2)</f>
        <v/>
      </c>
    </row>
    <row r="526" spans="1:52" ht="20.100000000000001" customHeight="1">
      <c r="A5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6" s="25" t="str">
        <f ca="1">IF(NOTA[[#This Row],[NAMA BARANG]]="","",INDEX(NOTA[ID],MATCH(,INDIRECT(ADDRESS(ROW(NOTA[ID]),COLUMN(NOTA[ID]))&amp;":"&amp;ADDRESS(ROW(),COLUMN(NOTA[ID]))),-1)))</f>
        <v/>
      </c>
      <c r="E526" s="33"/>
      <c r="H526" s="34"/>
      <c r="Q526" s="29"/>
      <c r="R526" s="35"/>
      <c r="S526" s="36"/>
      <c r="V526" s="37"/>
      <c r="W526" s="32"/>
      <c r="X526" s="37" t="str">
        <f>IF(NOTA[[#This Row],[HARGA/ CTN]]="",NOTA[[#This Row],[JUMLAH_H]],NOTA[[#This Row],[HARGA/ CTN]]*IF(NOTA[[#This Row],[C]]="",0,NOTA[[#This Row],[C]]))</f>
        <v/>
      </c>
      <c r="Y526" s="37" t="str">
        <f>IF(NOTA[[#This Row],[JUMLAH]]="","",NOTA[[#This Row],[JUMLAH]]*NOTA[[#This Row],[DISC 1]])</f>
        <v/>
      </c>
      <c r="Z526" s="37" t="str">
        <f>IF(NOTA[[#This Row],[JUMLAH]]="","",(NOTA[[#This Row],[JUMLAH]]-NOTA[[#This Row],[DISC 1-]])*NOTA[[#This Row],[DISC 2]])</f>
        <v/>
      </c>
      <c r="AA526" s="37" t="str">
        <f>IF(NOTA[[#This Row],[JUMLAH]]="","",(NOTA[[#This Row],[JUMLAH]]-NOTA[[#This Row],[DISC 1-]]-NOTA[[#This Row],[DISC 2-]])*NOTA[[#This Row],[DISC 3]])</f>
        <v/>
      </c>
      <c r="AB526" s="37" t="str">
        <f>IF(NOTA[[#This Row],[JUMLAH]]="","",NOTA[[#This Row],[DISC 1-]]+NOTA[[#This Row],[DISC 2-]]+NOTA[[#This Row],[DISC 3-]])</f>
        <v/>
      </c>
      <c r="AC526" s="37" t="str">
        <f>IF(NOTA[[#This Row],[JUMLAH]]="","",NOTA[[#This Row],[JUMLAH]]-NOTA[[#This Row],[DISC]])</f>
        <v/>
      </c>
      <c r="AD526" s="37"/>
      <c r="AE5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6" s="37" t="str">
        <f>IF(OR(NOTA[[#This Row],[QTY]]="",NOTA[[#This Row],[HARGA SATUAN]]="",),"",NOTA[[#This Row],[QTY]]*NOTA[[#This Row],[HARGA SATUAN]])</f>
        <v/>
      </c>
      <c r="AI526" s="26" t="str">
        <f ca="1">IF(NOTA[[#This Row],[ID_H]]="","",INDEX(NOTA[TANGGAL],MATCH(,INDIRECT(ADDRESS(ROW(NOTA[TANGGAL]),COLUMN(NOTA[TANGGAL]))&amp;":"&amp;ADDRESS(ROW(),COLUMN(NOTA[TANGGAL]))),-1)))</f>
        <v/>
      </c>
      <c r="AJ526" s="26" t="str">
        <f ca="1">IF(NOTA[[#This Row],[ID_H]]="","",INDEX(NOTA[TGL.NOTA],MATCH(,INDIRECT(ADDRESS(ROW(NOTA[TGL.NOTA]),COLUMN(NOTA[TGL.NOTA]))&amp;":"&amp;ADDRESS(ROW(),COLUMN(NOTA[TGL.NOTA]))),-1)))</f>
        <v/>
      </c>
      <c r="AK526" s="26" t="str">
        <f ca="1">IF(NOTA[[#This Row],[ID_H]]="","",INDEX(NOTA[NO.NOTA],MATCH(NOTA[[#This Row],[ID_H]],NOTA[ID_H],0)))</f>
        <v/>
      </c>
      <c r="AL526" s="28" t="str">
        <f ca="1">IF(NOTA[[#This Row],[NAMA BARANG]]="","",INDEX(NOTA[SUPPLIER],MATCH(,INDIRECT(ADDRESS(ROW(NOTA[ID]),COLUMN(NOTA[ID]))&amp;":"&amp;ADDRESS(ROW(),COLUMN(NOTA[ID]))),-1)))</f>
        <v/>
      </c>
      <c r="AM526" s="28" t="str">
        <f ca="1">IF(NOTA[[#This Row],[ID_H]]="","",IF(NOTA[[#This Row],[FAKTUR]]="",INDIRECT(ADDRESS(ROW()-1,COLUMN())),NOTA[[#This Row],[FAKTUR]]))</f>
        <v/>
      </c>
      <c r="AN526" s="25" t="str">
        <f ca="1">IF(NOTA[[#This Row],[ID]]="","",COUNTIF(NOTA[ID_H],NOTA[[#This Row],[ID_H]]))</f>
        <v/>
      </c>
      <c r="AO526" s="25" t="str">
        <f ca="1">IF(NOTA[[#This Row],[TGL.NOTA]]="",IF(NOTA[[#This Row],[SUPPLIER_H]]="","",AO525),MONTH(NOTA[[#This Row],[TGL.NOTA]]))</f>
        <v/>
      </c>
      <c r="AP5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6" s="25"/>
      <c r="AU526" s="25" t="str">
        <f>IF(NOTA[[#This Row],[CONCAT1]]="","",MATCH(NOTA[[#This Row],[CONCAT1]],[3]!db[NB NOTA_C],0))</f>
        <v/>
      </c>
      <c r="AV526" s="25" t="str">
        <f>IF(NOTA[[#This Row],[QTY/ CTN]]="","",TRUE)</f>
        <v/>
      </c>
      <c r="AW526" s="25" t="str">
        <f ca="1">IF(NOTA[[#This Row],[ID_H]]="","",IF(NOTA[[#This Row],[Column3]]=TRUE,NOTA[[#This Row],[QTY/ CTN]],INDEX([3]!db[QTY/ CTN],NOTA[[#This Row],[//DB]])))</f>
        <v/>
      </c>
      <c r="AX5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6" s="25" t="str">
        <f ca="1">IF(NOTA[[#This Row],[ID_H]]="","",MATCH(NOTA[[#This Row],[NB NOTA_C_QTY]],[3]!db[NB NOTA_C_QTY+F],0))</f>
        <v/>
      </c>
      <c r="AZ526" s="38" t="str">
        <f ca="1">IF(NOTA[[#This Row],[NB NOTA_C_QTY]]="","",ROW()-2)</f>
        <v/>
      </c>
    </row>
    <row r="527" spans="1:52" ht="20.100000000000001" customHeight="1">
      <c r="A5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7" s="25" t="str">
        <f ca="1">IF(NOTA[[#This Row],[NAMA BARANG]]="","",INDEX(NOTA[ID],MATCH(,INDIRECT(ADDRESS(ROW(NOTA[ID]),COLUMN(NOTA[ID]))&amp;":"&amp;ADDRESS(ROW(),COLUMN(NOTA[ID]))),-1)))</f>
        <v/>
      </c>
      <c r="E527" s="33"/>
      <c r="H527" s="34"/>
      <c r="Q527" s="29"/>
      <c r="R527" s="35"/>
      <c r="S527" s="36"/>
      <c r="V527" s="37"/>
      <c r="W527" s="32"/>
      <c r="X527" s="37" t="str">
        <f>IF(NOTA[[#This Row],[HARGA/ CTN]]="",NOTA[[#This Row],[JUMLAH_H]],NOTA[[#This Row],[HARGA/ CTN]]*IF(NOTA[[#This Row],[C]]="",0,NOTA[[#This Row],[C]]))</f>
        <v/>
      </c>
      <c r="Y527" s="37" t="str">
        <f>IF(NOTA[[#This Row],[JUMLAH]]="","",NOTA[[#This Row],[JUMLAH]]*NOTA[[#This Row],[DISC 1]])</f>
        <v/>
      </c>
      <c r="Z527" s="37" t="str">
        <f>IF(NOTA[[#This Row],[JUMLAH]]="","",(NOTA[[#This Row],[JUMLAH]]-NOTA[[#This Row],[DISC 1-]])*NOTA[[#This Row],[DISC 2]])</f>
        <v/>
      </c>
      <c r="AA527" s="37" t="str">
        <f>IF(NOTA[[#This Row],[JUMLAH]]="","",(NOTA[[#This Row],[JUMLAH]]-NOTA[[#This Row],[DISC 1-]]-NOTA[[#This Row],[DISC 2-]])*NOTA[[#This Row],[DISC 3]])</f>
        <v/>
      </c>
      <c r="AB527" s="37" t="str">
        <f>IF(NOTA[[#This Row],[JUMLAH]]="","",NOTA[[#This Row],[DISC 1-]]+NOTA[[#This Row],[DISC 2-]]+NOTA[[#This Row],[DISC 3-]])</f>
        <v/>
      </c>
      <c r="AC527" s="37" t="str">
        <f>IF(NOTA[[#This Row],[JUMLAH]]="","",NOTA[[#This Row],[JUMLAH]]-NOTA[[#This Row],[DISC]])</f>
        <v/>
      </c>
      <c r="AD527" s="37"/>
      <c r="AE5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7" s="37" t="str">
        <f>IF(OR(NOTA[[#This Row],[QTY]]="",NOTA[[#This Row],[HARGA SATUAN]]="",),"",NOTA[[#This Row],[QTY]]*NOTA[[#This Row],[HARGA SATUAN]])</f>
        <v/>
      </c>
      <c r="AI527" s="26" t="str">
        <f ca="1">IF(NOTA[[#This Row],[ID_H]]="","",INDEX(NOTA[TANGGAL],MATCH(,INDIRECT(ADDRESS(ROW(NOTA[TANGGAL]),COLUMN(NOTA[TANGGAL]))&amp;":"&amp;ADDRESS(ROW(),COLUMN(NOTA[TANGGAL]))),-1)))</f>
        <v/>
      </c>
      <c r="AJ527" s="26" t="str">
        <f ca="1">IF(NOTA[[#This Row],[ID_H]]="","",INDEX(NOTA[TGL.NOTA],MATCH(,INDIRECT(ADDRESS(ROW(NOTA[TGL.NOTA]),COLUMN(NOTA[TGL.NOTA]))&amp;":"&amp;ADDRESS(ROW(),COLUMN(NOTA[TGL.NOTA]))),-1)))</f>
        <v/>
      </c>
      <c r="AK527" s="26" t="str">
        <f ca="1">IF(NOTA[[#This Row],[ID_H]]="","",INDEX(NOTA[NO.NOTA],MATCH(NOTA[[#This Row],[ID_H]],NOTA[ID_H],0)))</f>
        <v/>
      </c>
      <c r="AL527" s="28" t="str">
        <f ca="1">IF(NOTA[[#This Row],[NAMA BARANG]]="","",INDEX(NOTA[SUPPLIER],MATCH(,INDIRECT(ADDRESS(ROW(NOTA[ID]),COLUMN(NOTA[ID]))&amp;":"&amp;ADDRESS(ROW(),COLUMN(NOTA[ID]))),-1)))</f>
        <v/>
      </c>
      <c r="AM527" s="28" t="str">
        <f ca="1">IF(NOTA[[#This Row],[ID_H]]="","",IF(NOTA[[#This Row],[FAKTUR]]="",INDIRECT(ADDRESS(ROW()-1,COLUMN())),NOTA[[#This Row],[FAKTUR]]))</f>
        <v/>
      </c>
      <c r="AN527" s="25" t="str">
        <f ca="1">IF(NOTA[[#This Row],[ID]]="","",COUNTIF(NOTA[ID_H],NOTA[[#This Row],[ID_H]]))</f>
        <v/>
      </c>
      <c r="AO527" s="25" t="str">
        <f ca="1">IF(NOTA[[#This Row],[TGL.NOTA]]="",IF(NOTA[[#This Row],[SUPPLIER_H]]="","",AO526),MONTH(NOTA[[#This Row],[TGL.NOTA]]))</f>
        <v/>
      </c>
      <c r="AP5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7" s="25"/>
      <c r="AU527" s="25" t="str">
        <f>IF(NOTA[[#This Row],[CONCAT1]]="","",MATCH(NOTA[[#This Row],[CONCAT1]],[3]!db[NB NOTA_C],0))</f>
        <v/>
      </c>
      <c r="AV527" s="25" t="str">
        <f>IF(NOTA[[#This Row],[QTY/ CTN]]="","",TRUE)</f>
        <v/>
      </c>
      <c r="AW527" s="25" t="str">
        <f ca="1">IF(NOTA[[#This Row],[ID_H]]="","",IF(NOTA[[#This Row],[Column3]]=TRUE,NOTA[[#This Row],[QTY/ CTN]],INDEX([3]!db[QTY/ CTN],NOTA[[#This Row],[//DB]])))</f>
        <v/>
      </c>
      <c r="AX5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7" s="25" t="str">
        <f ca="1">IF(NOTA[[#This Row],[ID_H]]="","",MATCH(NOTA[[#This Row],[NB NOTA_C_QTY]],[3]!db[NB NOTA_C_QTY+F],0))</f>
        <v/>
      </c>
      <c r="AZ527" s="38" t="str">
        <f ca="1">IF(NOTA[[#This Row],[NB NOTA_C_QTY]]="","",ROW()-2)</f>
        <v/>
      </c>
    </row>
    <row r="528" spans="1:52" ht="20.100000000000001" customHeight="1">
      <c r="A5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8" s="25" t="str">
        <f ca="1">IF(NOTA[[#This Row],[NAMA BARANG]]="","",INDEX(NOTA[ID],MATCH(,INDIRECT(ADDRESS(ROW(NOTA[ID]),COLUMN(NOTA[ID]))&amp;":"&amp;ADDRESS(ROW(),COLUMN(NOTA[ID]))),-1)))</f>
        <v/>
      </c>
      <c r="E528" s="33"/>
      <c r="H528" s="34"/>
      <c r="Q528" s="29"/>
      <c r="R528" s="35"/>
      <c r="S528" s="36"/>
      <c r="V528" s="37"/>
      <c r="W528" s="32"/>
      <c r="X528" s="37" t="str">
        <f>IF(NOTA[[#This Row],[HARGA/ CTN]]="",NOTA[[#This Row],[JUMLAH_H]],NOTA[[#This Row],[HARGA/ CTN]]*IF(NOTA[[#This Row],[C]]="",0,NOTA[[#This Row],[C]]))</f>
        <v/>
      </c>
      <c r="Y528" s="37" t="str">
        <f>IF(NOTA[[#This Row],[JUMLAH]]="","",NOTA[[#This Row],[JUMLAH]]*NOTA[[#This Row],[DISC 1]])</f>
        <v/>
      </c>
      <c r="Z528" s="37" t="str">
        <f>IF(NOTA[[#This Row],[JUMLAH]]="","",(NOTA[[#This Row],[JUMLAH]]-NOTA[[#This Row],[DISC 1-]])*NOTA[[#This Row],[DISC 2]])</f>
        <v/>
      </c>
      <c r="AA528" s="37" t="str">
        <f>IF(NOTA[[#This Row],[JUMLAH]]="","",(NOTA[[#This Row],[JUMLAH]]-NOTA[[#This Row],[DISC 1-]]-NOTA[[#This Row],[DISC 2-]])*NOTA[[#This Row],[DISC 3]])</f>
        <v/>
      </c>
      <c r="AB528" s="37" t="str">
        <f>IF(NOTA[[#This Row],[JUMLAH]]="","",NOTA[[#This Row],[DISC 1-]]+NOTA[[#This Row],[DISC 2-]]+NOTA[[#This Row],[DISC 3-]])</f>
        <v/>
      </c>
      <c r="AC528" s="37" t="str">
        <f>IF(NOTA[[#This Row],[JUMLAH]]="","",NOTA[[#This Row],[JUMLAH]]-NOTA[[#This Row],[DISC]])</f>
        <v/>
      </c>
      <c r="AD528" s="37"/>
      <c r="AE5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8" s="37" t="str">
        <f>IF(OR(NOTA[[#This Row],[QTY]]="",NOTA[[#This Row],[HARGA SATUAN]]="",),"",NOTA[[#This Row],[QTY]]*NOTA[[#This Row],[HARGA SATUAN]])</f>
        <v/>
      </c>
      <c r="AI528" s="26" t="str">
        <f ca="1">IF(NOTA[[#This Row],[ID_H]]="","",INDEX(NOTA[TANGGAL],MATCH(,INDIRECT(ADDRESS(ROW(NOTA[TANGGAL]),COLUMN(NOTA[TANGGAL]))&amp;":"&amp;ADDRESS(ROW(),COLUMN(NOTA[TANGGAL]))),-1)))</f>
        <v/>
      </c>
      <c r="AJ528" s="26" t="str">
        <f ca="1">IF(NOTA[[#This Row],[ID_H]]="","",INDEX(NOTA[TGL.NOTA],MATCH(,INDIRECT(ADDRESS(ROW(NOTA[TGL.NOTA]),COLUMN(NOTA[TGL.NOTA]))&amp;":"&amp;ADDRESS(ROW(),COLUMN(NOTA[TGL.NOTA]))),-1)))</f>
        <v/>
      </c>
      <c r="AK528" s="26" t="str">
        <f ca="1">IF(NOTA[[#This Row],[ID_H]]="","",INDEX(NOTA[NO.NOTA],MATCH(NOTA[[#This Row],[ID_H]],NOTA[ID_H],0)))</f>
        <v/>
      </c>
      <c r="AL528" s="28" t="str">
        <f ca="1">IF(NOTA[[#This Row],[NAMA BARANG]]="","",INDEX(NOTA[SUPPLIER],MATCH(,INDIRECT(ADDRESS(ROW(NOTA[ID]),COLUMN(NOTA[ID]))&amp;":"&amp;ADDRESS(ROW(),COLUMN(NOTA[ID]))),-1)))</f>
        <v/>
      </c>
      <c r="AM528" s="28" t="str">
        <f ca="1">IF(NOTA[[#This Row],[ID_H]]="","",IF(NOTA[[#This Row],[FAKTUR]]="",INDIRECT(ADDRESS(ROW()-1,COLUMN())),NOTA[[#This Row],[FAKTUR]]))</f>
        <v/>
      </c>
      <c r="AN528" s="25" t="str">
        <f ca="1">IF(NOTA[[#This Row],[ID]]="","",COUNTIF(NOTA[ID_H],NOTA[[#This Row],[ID_H]]))</f>
        <v/>
      </c>
      <c r="AO528" s="25" t="str">
        <f ca="1">IF(NOTA[[#This Row],[TGL.NOTA]]="",IF(NOTA[[#This Row],[SUPPLIER_H]]="","",AO527),MONTH(NOTA[[#This Row],[TGL.NOTA]]))</f>
        <v/>
      </c>
      <c r="AP5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8" s="25"/>
      <c r="AU528" s="25" t="str">
        <f>IF(NOTA[[#This Row],[CONCAT1]]="","",MATCH(NOTA[[#This Row],[CONCAT1]],[3]!db[NB NOTA_C],0))</f>
        <v/>
      </c>
      <c r="AV528" s="25" t="str">
        <f>IF(NOTA[[#This Row],[QTY/ CTN]]="","",TRUE)</f>
        <v/>
      </c>
      <c r="AW528" s="25" t="str">
        <f ca="1">IF(NOTA[[#This Row],[ID_H]]="","",IF(NOTA[[#This Row],[Column3]]=TRUE,NOTA[[#This Row],[QTY/ CTN]],INDEX([3]!db[QTY/ CTN],NOTA[[#This Row],[//DB]])))</f>
        <v/>
      </c>
      <c r="AX5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8" s="25" t="str">
        <f ca="1">IF(NOTA[[#This Row],[ID_H]]="","",MATCH(NOTA[[#This Row],[NB NOTA_C_QTY]],[3]!db[NB NOTA_C_QTY+F],0))</f>
        <v/>
      </c>
      <c r="AZ528" s="38" t="str">
        <f ca="1">IF(NOTA[[#This Row],[NB NOTA_C_QTY]]="","",ROW()-2)</f>
        <v/>
      </c>
    </row>
    <row r="529" spans="1:52" ht="20.100000000000001" customHeight="1">
      <c r="A5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9" s="25" t="str">
        <f ca="1">IF(NOTA[[#This Row],[NAMA BARANG]]="","",INDEX(NOTA[ID],MATCH(,INDIRECT(ADDRESS(ROW(NOTA[ID]),COLUMN(NOTA[ID]))&amp;":"&amp;ADDRESS(ROW(),COLUMN(NOTA[ID]))),-1)))</f>
        <v/>
      </c>
      <c r="E529" s="33"/>
      <c r="H529" s="34"/>
      <c r="Q529" s="29"/>
      <c r="R529" s="35"/>
      <c r="S529" s="36"/>
      <c r="V529" s="37"/>
      <c r="W529" s="32"/>
      <c r="X529" s="37" t="str">
        <f>IF(NOTA[[#This Row],[HARGA/ CTN]]="",NOTA[[#This Row],[JUMLAH_H]],NOTA[[#This Row],[HARGA/ CTN]]*IF(NOTA[[#This Row],[C]]="",0,NOTA[[#This Row],[C]]))</f>
        <v/>
      </c>
      <c r="Y529" s="37" t="str">
        <f>IF(NOTA[[#This Row],[JUMLAH]]="","",NOTA[[#This Row],[JUMLAH]]*NOTA[[#This Row],[DISC 1]])</f>
        <v/>
      </c>
      <c r="Z529" s="37" t="str">
        <f>IF(NOTA[[#This Row],[JUMLAH]]="","",(NOTA[[#This Row],[JUMLAH]]-NOTA[[#This Row],[DISC 1-]])*NOTA[[#This Row],[DISC 2]])</f>
        <v/>
      </c>
      <c r="AA529" s="37" t="str">
        <f>IF(NOTA[[#This Row],[JUMLAH]]="","",(NOTA[[#This Row],[JUMLAH]]-NOTA[[#This Row],[DISC 1-]]-NOTA[[#This Row],[DISC 2-]])*NOTA[[#This Row],[DISC 3]])</f>
        <v/>
      </c>
      <c r="AB529" s="37" t="str">
        <f>IF(NOTA[[#This Row],[JUMLAH]]="","",NOTA[[#This Row],[DISC 1-]]+NOTA[[#This Row],[DISC 2-]]+NOTA[[#This Row],[DISC 3-]])</f>
        <v/>
      </c>
      <c r="AC529" s="37" t="str">
        <f>IF(NOTA[[#This Row],[JUMLAH]]="","",NOTA[[#This Row],[JUMLAH]]-NOTA[[#This Row],[DISC]])</f>
        <v/>
      </c>
      <c r="AD529" s="37"/>
      <c r="AE5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9" s="37" t="str">
        <f>IF(OR(NOTA[[#This Row],[QTY]]="",NOTA[[#This Row],[HARGA SATUAN]]="",),"",NOTA[[#This Row],[QTY]]*NOTA[[#This Row],[HARGA SATUAN]])</f>
        <v/>
      </c>
      <c r="AI529" s="26" t="str">
        <f ca="1">IF(NOTA[[#This Row],[ID_H]]="","",INDEX(NOTA[TANGGAL],MATCH(,INDIRECT(ADDRESS(ROW(NOTA[TANGGAL]),COLUMN(NOTA[TANGGAL]))&amp;":"&amp;ADDRESS(ROW(),COLUMN(NOTA[TANGGAL]))),-1)))</f>
        <v/>
      </c>
      <c r="AJ529" s="26" t="str">
        <f ca="1">IF(NOTA[[#This Row],[ID_H]]="","",INDEX(NOTA[TGL.NOTA],MATCH(,INDIRECT(ADDRESS(ROW(NOTA[TGL.NOTA]),COLUMN(NOTA[TGL.NOTA]))&amp;":"&amp;ADDRESS(ROW(),COLUMN(NOTA[TGL.NOTA]))),-1)))</f>
        <v/>
      </c>
      <c r="AK529" s="26" t="str">
        <f ca="1">IF(NOTA[[#This Row],[ID_H]]="","",INDEX(NOTA[NO.NOTA],MATCH(NOTA[[#This Row],[ID_H]],NOTA[ID_H],0)))</f>
        <v/>
      </c>
      <c r="AL529" s="28" t="str">
        <f ca="1">IF(NOTA[[#This Row],[NAMA BARANG]]="","",INDEX(NOTA[SUPPLIER],MATCH(,INDIRECT(ADDRESS(ROW(NOTA[ID]),COLUMN(NOTA[ID]))&amp;":"&amp;ADDRESS(ROW(),COLUMN(NOTA[ID]))),-1)))</f>
        <v/>
      </c>
      <c r="AM529" s="28" t="str">
        <f ca="1">IF(NOTA[[#This Row],[ID_H]]="","",IF(NOTA[[#This Row],[FAKTUR]]="",INDIRECT(ADDRESS(ROW()-1,COLUMN())),NOTA[[#This Row],[FAKTUR]]))</f>
        <v/>
      </c>
      <c r="AN529" s="25" t="str">
        <f ca="1">IF(NOTA[[#This Row],[ID]]="","",COUNTIF(NOTA[ID_H],NOTA[[#This Row],[ID_H]]))</f>
        <v/>
      </c>
      <c r="AO529" s="25" t="str">
        <f ca="1">IF(NOTA[[#This Row],[TGL.NOTA]]="",IF(NOTA[[#This Row],[SUPPLIER_H]]="","",AO528),MONTH(NOTA[[#This Row],[TGL.NOTA]]))</f>
        <v/>
      </c>
      <c r="AP5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9" s="25"/>
      <c r="AU529" s="25" t="str">
        <f>IF(NOTA[[#This Row],[CONCAT1]]="","",MATCH(NOTA[[#This Row],[CONCAT1]],[3]!db[NB NOTA_C],0))</f>
        <v/>
      </c>
      <c r="AV529" s="25" t="str">
        <f>IF(NOTA[[#This Row],[QTY/ CTN]]="","",TRUE)</f>
        <v/>
      </c>
      <c r="AW529" s="25" t="str">
        <f ca="1">IF(NOTA[[#This Row],[ID_H]]="","",IF(NOTA[[#This Row],[Column3]]=TRUE,NOTA[[#This Row],[QTY/ CTN]],INDEX([3]!db[QTY/ CTN],NOTA[[#This Row],[//DB]])))</f>
        <v/>
      </c>
      <c r="AX5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9" s="25" t="str">
        <f ca="1">IF(NOTA[[#This Row],[ID_H]]="","",MATCH(NOTA[[#This Row],[NB NOTA_C_QTY]],[3]!db[NB NOTA_C_QTY+F],0))</f>
        <v/>
      </c>
      <c r="AZ529" s="38" t="str">
        <f ca="1">IF(NOTA[[#This Row],[NB NOTA_C_QTY]]="","",ROW()-2)</f>
        <v/>
      </c>
    </row>
    <row r="530" spans="1:52" ht="20.100000000000001" customHeight="1">
      <c r="A5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0" s="25" t="str">
        <f ca="1">IF(NOTA[[#This Row],[NAMA BARANG]]="","",INDEX(NOTA[ID],MATCH(,INDIRECT(ADDRESS(ROW(NOTA[ID]),COLUMN(NOTA[ID]))&amp;":"&amp;ADDRESS(ROW(),COLUMN(NOTA[ID]))),-1)))</f>
        <v/>
      </c>
      <c r="E530" s="33"/>
      <c r="H530" s="34"/>
      <c r="Q530" s="29"/>
      <c r="R530" s="35"/>
      <c r="S530" s="36"/>
      <c r="V530" s="37"/>
      <c r="W530" s="32"/>
      <c r="X530" s="37" t="str">
        <f>IF(NOTA[[#This Row],[HARGA/ CTN]]="",NOTA[[#This Row],[JUMLAH_H]],NOTA[[#This Row],[HARGA/ CTN]]*IF(NOTA[[#This Row],[C]]="",0,NOTA[[#This Row],[C]]))</f>
        <v/>
      </c>
      <c r="Y530" s="37" t="str">
        <f>IF(NOTA[[#This Row],[JUMLAH]]="","",NOTA[[#This Row],[JUMLAH]]*NOTA[[#This Row],[DISC 1]])</f>
        <v/>
      </c>
      <c r="Z530" s="37" t="str">
        <f>IF(NOTA[[#This Row],[JUMLAH]]="","",(NOTA[[#This Row],[JUMLAH]]-NOTA[[#This Row],[DISC 1-]])*NOTA[[#This Row],[DISC 2]])</f>
        <v/>
      </c>
      <c r="AA530" s="37" t="str">
        <f>IF(NOTA[[#This Row],[JUMLAH]]="","",(NOTA[[#This Row],[JUMLAH]]-NOTA[[#This Row],[DISC 1-]]-NOTA[[#This Row],[DISC 2-]])*NOTA[[#This Row],[DISC 3]])</f>
        <v/>
      </c>
      <c r="AB530" s="37" t="str">
        <f>IF(NOTA[[#This Row],[JUMLAH]]="","",NOTA[[#This Row],[DISC 1-]]+NOTA[[#This Row],[DISC 2-]]+NOTA[[#This Row],[DISC 3-]])</f>
        <v/>
      </c>
      <c r="AC530" s="37" t="str">
        <f>IF(NOTA[[#This Row],[JUMLAH]]="","",NOTA[[#This Row],[JUMLAH]]-NOTA[[#This Row],[DISC]])</f>
        <v/>
      </c>
      <c r="AD530" s="37"/>
      <c r="AE5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0" s="37" t="str">
        <f>IF(OR(NOTA[[#This Row],[QTY]]="",NOTA[[#This Row],[HARGA SATUAN]]="",),"",NOTA[[#This Row],[QTY]]*NOTA[[#This Row],[HARGA SATUAN]])</f>
        <v/>
      </c>
      <c r="AI530" s="26" t="str">
        <f ca="1">IF(NOTA[[#This Row],[ID_H]]="","",INDEX(NOTA[TANGGAL],MATCH(,INDIRECT(ADDRESS(ROW(NOTA[TANGGAL]),COLUMN(NOTA[TANGGAL]))&amp;":"&amp;ADDRESS(ROW(),COLUMN(NOTA[TANGGAL]))),-1)))</f>
        <v/>
      </c>
      <c r="AJ530" s="26" t="str">
        <f ca="1">IF(NOTA[[#This Row],[ID_H]]="","",INDEX(NOTA[TGL.NOTA],MATCH(,INDIRECT(ADDRESS(ROW(NOTA[TGL.NOTA]),COLUMN(NOTA[TGL.NOTA]))&amp;":"&amp;ADDRESS(ROW(),COLUMN(NOTA[TGL.NOTA]))),-1)))</f>
        <v/>
      </c>
      <c r="AK530" s="26" t="str">
        <f ca="1">IF(NOTA[[#This Row],[ID_H]]="","",INDEX(NOTA[NO.NOTA],MATCH(NOTA[[#This Row],[ID_H]],NOTA[ID_H],0)))</f>
        <v/>
      </c>
      <c r="AL530" s="28" t="str">
        <f ca="1">IF(NOTA[[#This Row],[NAMA BARANG]]="","",INDEX(NOTA[SUPPLIER],MATCH(,INDIRECT(ADDRESS(ROW(NOTA[ID]),COLUMN(NOTA[ID]))&amp;":"&amp;ADDRESS(ROW(),COLUMN(NOTA[ID]))),-1)))</f>
        <v/>
      </c>
      <c r="AM530" s="28" t="str">
        <f ca="1">IF(NOTA[[#This Row],[ID_H]]="","",IF(NOTA[[#This Row],[FAKTUR]]="",INDIRECT(ADDRESS(ROW()-1,COLUMN())),NOTA[[#This Row],[FAKTUR]]))</f>
        <v/>
      </c>
      <c r="AN530" s="25" t="str">
        <f ca="1">IF(NOTA[[#This Row],[ID]]="","",COUNTIF(NOTA[ID_H],NOTA[[#This Row],[ID_H]]))</f>
        <v/>
      </c>
      <c r="AO530" s="25" t="str">
        <f ca="1">IF(NOTA[[#This Row],[TGL.NOTA]]="",IF(NOTA[[#This Row],[SUPPLIER_H]]="","",AO529),MONTH(NOTA[[#This Row],[TGL.NOTA]]))</f>
        <v/>
      </c>
      <c r="AP5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0" s="25"/>
      <c r="AU530" s="25" t="str">
        <f>IF(NOTA[[#This Row],[CONCAT1]]="","",MATCH(NOTA[[#This Row],[CONCAT1]],[3]!db[NB NOTA_C],0))</f>
        <v/>
      </c>
      <c r="AV530" s="25" t="str">
        <f>IF(NOTA[[#This Row],[QTY/ CTN]]="","",TRUE)</f>
        <v/>
      </c>
      <c r="AW530" s="25" t="str">
        <f ca="1">IF(NOTA[[#This Row],[ID_H]]="","",IF(NOTA[[#This Row],[Column3]]=TRUE,NOTA[[#This Row],[QTY/ CTN]],INDEX([3]!db[QTY/ CTN],NOTA[[#This Row],[//DB]])))</f>
        <v/>
      </c>
      <c r="AX5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0" s="25" t="str">
        <f ca="1">IF(NOTA[[#This Row],[ID_H]]="","",MATCH(NOTA[[#This Row],[NB NOTA_C_QTY]],[3]!db[NB NOTA_C_QTY+F],0))</f>
        <v/>
      </c>
      <c r="AZ530" s="38" t="str">
        <f ca="1">IF(NOTA[[#This Row],[NB NOTA_C_QTY]]="","",ROW()-2)</f>
        <v/>
      </c>
    </row>
    <row r="531" spans="1:52" ht="20.100000000000001" customHeight="1">
      <c r="A5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1" s="25" t="str">
        <f ca="1">IF(NOTA[[#This Row],[NAMA BARANG]]="","",INDEX(NOTA[ID],MATCH(,INDIRECT(ADDRESS(ROW(NOTA[ID]),COLUMN(NOTA[ID]))&amp;":"&amp;ADDRESS(ROW(),COLUMN(NOTA[ID]))),-1)))</f>
        <v/>
      </c>
      <c r="E531" s="33"/>
      <c r="H531" s="34"/>
      <c r="Q531" s="29"/>
      <c r="R531" s="35"/>
      <c r="S531" s="36"/>
      <c r="V531" s="37"/>
      <c r="W531" s="32"/>
      <c r="X531" s="37" t="str">
        <f>IF(NOTA[[#This Row],[HARGA/ CTN]]="",NOTA[[#This Row],[JUMLAH_H]],NOTA[[#This Row],[HARGA/ CTN]]*IF(NOTA[[#This Row],[C]]="",0,NOTA[[#This Row],[C]]))</f>
        <v/>
      </c>
      <c r="Y531" s="37" t="str">
        <f>IF(NOTA[[#This Row],[JUMLAH]]="","",NOTA[[#This Row],[JUMLAH]]*NOTA[[#This Row],[DISC 1]])</f>
        <v/>
      </c>
      <c r="Z531" s="37" t="str">
        <f>IF(NOTA[[#This Row],[JUMLAH]]="","",(NOTA[[#This Row],[JUMLAH]]-NOTA[[#This Row],[DISC 1-]])*NOTA[[#This Row],[DISC 2]])</f>
        <v/>
      </c>
      <c r="AA531" s="37" t="str">
        <f>IF(NOTA[[#This Row],[JUMLAH]]="","",(NOTA[[#This Row],[JUMLAH]]-NOTA[[#This Row],[DISC 1-]]-NOTA[[#This Row],[DISC 2-]])*NOTA[[#This Row],[DISC 3]])</f>
        <v/>
      </c>
      <c r="AB531" s="37" t="str">
        <f>IF(NOTA[[#This Row],[JUMLAH]]="","",NOTA[[#This Row],[DISC 1-]]+NOTA[[#This Row],[DISC 2-]]+NOTA[[#This Row],[DISC 3-]])</f>
        <v/>
      </c>
      <c r="AC531" s="37" t="str">
        <f>IF(NOTA[[#This Row],[JUMLAH]]="","",NOTA[[#This Row],[JUMLAH]]-NOTA[[#This Row],[DISC]])</f>
        <v/>
      </c>
      <c r="AD531" s="37"/>
      <c r="AE5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1" s="37" t="str">
        <f>IF(OR(NOTA[[#This Row],[QTY]]="",NOTA[[#This Row],[HARGA SATUAN]]="",),"",NOTA[[#This Row],[QTY]]*NOTA[[#This Row],[HARGA SATUAN]])</f>
        <v/>
      </c>
      <c r="AI531" s="26" t="str">
        <f ca="1">IF(NOTA[[#This Row],[ID_H]]="","",INDEX(NOTA[TANGGAL],MATCH(,INDIRECT(ADDRESS(ROW(NOTA[TANGGAL]),COLUMN(NOTA[TANGGAL]))&amp;":"&amp;ADDRESS(ROW(),COLUMN(NOTA[TANGGAL]))),-1)))</f>
        <v/>
      </c>
      <c r="AJ531" s="26" t="str">
        <f ca="1">IF(NOTA[[#This Row],[ID_H]]="","",INDEX(NOTA[TGL.NOTA],MATCH(,INDIRECT(ADDRESS(ROW(NOTA[TGL.NOTA]),COLUMN(NOTA[TGL.NOTA]))&amp;":"&amp;ADDRESS(ROW(),COLUMN(NOTA[TGL.NOTA]))),-1)))</f>
        <v/>
      </c>
      <c r="AK531" s="26" t="str">
        <f ca="1">IF(NOTA[[#This Row],[ID_H]]="","",INDEX(NOTA[NO.NOTA],MATCH(NOTA[[#This Row],[ID_H]],NOTA[ID_H],0)))</f>
        <v/>
      </c>
      <c r="AL531" s="28" t="str">
        <f ca="1">IF(NOTA[[#This Row],[NAMA BARANG]]="","",INDEX(NOTA[SUPPLIER],MATCH(,INDIRECT(ADDRESS(ROW(NOTA[ID]),COLUMN(NOTA[ID]))&amp;":"&amp;ADDRESS(ROW(),COLUMN(NOTA[ID]))),-1)))</f>
        <v/>
      </c>
      <c r="AM531" s="28" t="str">
        <f ca="1">IF(NOTA[[#This Row],[ID_H]]="","",IF(NOTA[[#This Row],[FAKTUR]]="",INDIRECT(ADDRESS(ROW()-1,COLUMN())),NOTA[[#This Row],[FAKTUR]]))</f>
        <v/>
      </c>
      <c r="AN531" s="25" t="str">
        <f ca="1">IF(NOTA[[#This Row],[ID]]="","",COUNTIF(NOTA[ID_H],NOTA[[#This Row],[ID_H]]))</f>
        <v/>
      </c>
      <c r="AO531" s="25" t="str">
        <f ca="1">IF(NOTA[[#This Row],[TGL.NOTA]]="",IF(NOTA[[#This Row],[SUPPLIER_H]]="","",AO530),MONTH(NOTA[[#This Row],[TGL.NOTA]]))</f>
        <v/>
      </c>
      <c r="AP5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1" s="25"/>
      <c r="AU531" s="25" t="str">
        <f>IF(NOTA[[#This Row],[CONCAT1]]="","",MATCH(NOTA[[#This Row],[CONCAT1]],[3]!db[NB NOTA_C],0))</f>
        <v/>
      </c>
      <c r="AV531" s="25" t="str">
        <f>IF(NOTA[[#This Row],[QTY/ CTN]]="","",TRUE)</f>
        <v/>
      </c>
      <c r="AW531" s="25" t="str">
        <f ca="1">IF(NOTA[[#This Row],[ID_H]]="","",IF(NOTA[[#This Row],[Column3]]=TRUE,NOTA[[#This Row],[QTY/ CTN]],INDEX([3]!db[QTY/ CTN],NOTA[[#This Row],[//DB]])))</f>
        <v/>
      </c>
      <c r="AX5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1" s="25" t="str">
        <f ca="1">IF(NOTA[[#This Row],[ID_H]]="","",MATCH(NOTA[[#This Row],[NB NOTA_C_QTY]],[3]!db[NB NOTA_C_QTY+F],0))</f>
        <v/>
      </c>
      <c r="AZ531" s="38" t="str">
        <f ca="1">IF(NOTA[[#This Row],[NB NOTA_C_QTY]]="","",ROW()-2)</f>
        <v/>
      </c>
    </row>
    <row r="532" spans="1:52" ht="20.100000000000001" customHeight="1">
      <c r="A5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2" s="25" t="str">
        <f ca="1">IF(NOTA[[#This Row],[NAMA BARANG]]="","",INDEX(NOTA[ID],MATCH(,INDIRECT(ADDRESS(ROW(NOTA[ID]),COLUMN(NOTA[ID]))&amp;":"&amp;ADDRESS(ROW(),COLUMN(NOTA[ID]))),-1)))</f>
        <v/>
      </c>
      <c r="E532" s="33"/>
      <c r="H532" s="34"/>
      <c r="Q532" s="29"/>
      <c r="R532" s="35"/>
      <c r="S532" s="36"/>
      <c r="V532" s="37"/>
      <c r="W532" s="32"/>
      <c r="X532" s="37" t="str">
        <f>IF(NOTA[[#This Row],[HARGA/ CTN]]="",NOTA[[#This Row],[JUMLAH_H]],NOTA[[#This Row],[HARGA/ CTN]]*IF(NOTA[[#This Row],[C]]="",0,NOTA[[#This Row],[C]]))</f>
        <v/>
      </c>
      <c r="Y532" s="37" t="str">
        <f>IF(NOTA[[#This Row],[JUMLAH]]="","",NOTA[[#This Row],[JUMLAH]]*NOTA[[#This Row],[DISC 1]])</f>
        <v/>
      </c>
      <c r="Z532" s="37" t="str">
        <f>IF(NOTA[[#This Row],[JUMLAH]]="","",(NOTA[[#This Row],[JUMLAH]]-NOTA[[#This Row],[DISC 1-]])*NOTA[[#This Row],[DISC 2]])</f>
        <v/>
      </c>
      <c r="AA532" s="37" t="str">
        <f>IF(NOTA[[#This Row],[JUMLAH]]="","",(NOTA[[#This Row],[JUMLAH]]-NOTA[[#This Row],[DISC 1-]]-NOTA[[#This Row],[DISC 2-]])*NOTA[[#This Row],[DISC 3]])</f>
        <v/>
      </c>
      <c r="AB532" s="37" t="str">
        <f>IF(NOTA[[#This Row],[JUMLAH]]="","",NOTA[[#This Row],[DISC 1-]]+NOTA[[#This Row],[DISC 2-]]+NOTA[[#This Row],[DISC 3-]])</f>
        <v/>
      </c>
      <c r="AC532" s="37" t="str">
        <f>IF(NOTA[[#This Row],[JUMLAH]]="","",NOTA[[#This Row],[JUMLAH]]-NOTA[[#This Row],[DISC]])</f>
        <v/>
      </c>
      <c r="AD532" s="37"/>
      <c r="AE5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2" s="37" t="str">
        <f>IF(OR(NOTA[[#This Row],[QTY]]="",NOTA[[#This Row],[HARGA SATUAN]]="",),"",NOTA[[#This Row],[QTY]]*NOTA[[#This Row],[HARGA SATUAN]])</f>
        <v/>
      </c>
      <c r="AI532" s="26" t="str">
        <f ca="1">IF(NOTA[[#This Row],[ID_H]]="","",INDEX(NOTA[TANGGAL],MATCH(,INDIRECT(ADDRESS(ROW(NOTA[TANGGAL]),COLUMN(NOTA[TANGGAL]))&amp;":"&amp;ADDRESS(ROW(),COLUMN(NOTA[TANGGAL]))),-1)))</f>
        <v/>
      </c>
      <c r="AJ532" s="26" t="str">
        <f ca="1">IF(NOTA[[#This Row],[ID_H]]="","",INDEX(NOTA[TGL.NOTA],MATCH(,INDIRECT(ADDRESS(ROW(NOTA[TGL.NOTA]),COLUMN(NOTA[TGL.NOTA]))&amp;":"&amp;ADDRESS(ROW(),COLUMN(NOTA[TGL.NOTA]))),-1)))</f>
        <v/>
      </c>
      <c r="AK532" s="26" t="str">
        <f ca="1">IF(NOTA[[#This Row],[ID_H]]="","",INDEX(NOTA[NO.NOTA],MATCH(NOTA[[#This Row],[ID_H]],NOTA[ID_H],0)))</f>
        <v/>
      </c>
      <c r="AL532" s="28" t="str">
        <f ca="1">IF(NOTA[[#This Row],[NAMA BARANG]]="","",INDEX(NOTA[SUPPLIER],MATCH(,INDIRECT(ADDRESS(ROW(NOTA[ID]),COLUMN(NOTA[ID]))&amp;":"&amp;ADDRESS(ROW(),COLUMN(NOTA[ID]))),-1)))</f>
        <v/>
      </c>
      <c r="AM532" s="28" t="str">
        <f ca="1">IF(NOTA[[#This Row],[ID_H]]="","",IF(NOTA[[#This Row],[FAKTUR]]="",INDIRECT(ADDRESS(ROW()-1,COLUMN())),NOTA[[#This Row],[FAKTUR]]))</f>
        <v/>
      </c>
      <c r="AN532" s="25" t="str">
        <f ca="1">IF(NOTA[[#This Row],[ID]]="","",COUNTIF(NOTA[ID_H],NOTA[[#This Row],[ID_H]]))</f>
        <v/>
      </c>
      <c r="AO532" s="25" t="str">
        <f ca="1">IF(NOTA[[#This Row],[TGL.NOTA]]="",IF(NOTA[[#This Row],[SUPPLIER_H]]="","",AO531),MONTH(NOTA[[#This Row],[TGL.NOTA]]))</f>
        <v/>
      </c>
      <c r="AP5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2" s="25"/>
      <c r="AU532" s="25" t="str">
        <f>IF(NOTA[[#This Row],[CONCAT1]]="","",MATCH(NOTA[[#This Row],[CONCAT1]],[3]!db[NB NOTA_C],0))</f>
        <v/>
      </c>
      <c r="AV532" s="25" t="str">
        <f>IF(NOTA[[#This Row],[QTY/ CTN]]="","",TRUE)</f>
        <v/>
      </c>
      <c r="AW532" s="25" t="str">
        <f ca="1">IF(NOTA[[#This Row],[ID_H]]="","",IF(NOTA[[#This Row],[Column3]]=TRUE,NOTA[[#This Row],[QTY/ CTN]],INDEX([3]!db[QTY/ CTN],NOTA[[#This Row],[//DB]])))</f>
        <v/>
      </c>
      <c r="AX5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2" s="25" t="str">
        <f ca="1">IF(NOTA[[#This Row],[ID_H]]="","",MATCH(NOTA[[#This Row],[NB NOTA_C_QTY]],[3]!db[NB NOTA_C_QTY+F],0))</f>
        <v/>
      </c>
      <c r="AZ532" s="38" t="str">
        <f ca="1">IF(NOTA[[#This Row],[NB NOTA_C_QTY]]="","",ROW()-2)</f>
        <v/>
      </c>
    </row>
    <row r="533" spans="1:52" ht="20.100000000000001" customHeight="1">
      <c r="A5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3" s="25" t="str">
        <f ca="1">IF(NOTA[[#This Row],[NAMA BARANG]]="","",INDEX(NOTA[ID],MATCH(,INDIRECT(ADDRESS(ROW(NOTA[ID]),COLUMN(NOTA[ID]))&amp;":"&amp;ADDRESS(ROW(),COLUMN(NOTA[ID]))),-1)))</f>
        <v/>
      </c>
      <c r="E533" s="33"/>
      <c r="H533" s="34"/>
      <c r="Q533" s="29"/>
      <c r="R533" s="35"/>
      <c r="S533" s="36"/>
      <c r="V533" s="37"/>
      <c r="W533" s="32"/>
      <c r="X533" s="37" t="str">
        <f>IF(NOTA[[#This Row],[HARGA/ CTN]]="",NOTA[[#This Row],[JUMLAH_H]],NOTA[[#This Row],[HARGA/ CTN]]*IF(NOTA[[#This Row],[C]]="",0,NOTA[[#This Row],[C]]))</f>
        <v/>
      </c>
      <c r="Y533" s="37" t="str">
        <f>IF(NOTA[[#This Row],[JUMLAH]]="","",NOTA[[#This Row],[JUMLAH]]*NOTA[[#This Row],[DISC 1]])</f>
        <v/>
      </c>
      <c r="Z533" s="37" t="str">
        <f>IF(NOTA[[#This Row],[JUMLAH]]="","",(NOTA[[#This Row],[JUMLAH]]-NOTA[[#This Row],[DISC 1-]])*NOTA[[#This Row],[DISC 2]])</f>
        <v/>
      </c>
      <c r="AA533" s="37" t="str">
        <f>IF(NOTA[[#This Row],[JUMLAH]]="","",(NOTA[[#This Row],[JUMLAH]]-NOTA[[#This Row],[DISC 1-]]-NOTA[[#This Row],[DISC 2-]])*NOTA[[#This Row],[DISC 3]])</f>
        <v/>
      </c>
      <c r="AB533" s="37" t="str">
        <f>IF(NOTA[[#This Row],[JUMLAH]]="","",NOTA[[#This Row],[DISC 1-]]+NOTA[[#This Row],[DISC 2-]]+NOTA[[#This Row],[DISC 3-]])</f>
        <v/>
      </c>
      <c r="AC533" s="37" t="str">
        <f>IF(NOTA[[#This Row],[JUMLAH]]="","",NOTA[[#This Row],[JUMLAH]]-NOTA[[#This Row],[DISC]])</f>
        <v/>
      </c>
      <c r="AD533" s="37"/>
      <c r="AE5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3" s="37" t="str">
        <f>IF(OR(NOTA[[#This Row],[QTY]]="",NOTA[[#This Row],[HARGA SATUAN]]="",),"",NOTA[[#This Row],[QTY]]*NOTA[[#This Row],[HARGA SATUAN]])</f>
        <v/>
      </c>
      <c r="AI533" s="26" t="str">
        <f ca="1">IF(NOTA[[#This Row],[ID_H]]="","",INDEX(NOTA[TANGGAL],MATCH(,INDIRECT(ADDRESS(ROW(NOTA[TANGGAL]),COLUMN(NOTA[TANGGAL]))&amp;":"&amp;ADDRESS(ROW(),COLUMN(NOTA[TANGGAL]))),-1)))</f>
        <v/>
      </c>
      <c r="AJ533" s="26" t="str">
        <f ca="1">IF(NOTA[[#This Row],[ID_H]]="","",INDEX(NOTA[TGL.NOTA],MATCH(,INDIRECT(ADDRESS(ROW(NOTA[TGL.NOTA]),COLUMN(NOTA[TGL.NOTA]))&amp;":"&amp;ADDRESS(ROW(),COLUMN(NOTA[TGL.NOTA]))),-1)))</f>
        <v/>
      </c>
      <c r="AK533" s="26" t="str">
        <f ca="1">IF(NOTA[[#This Row],[ID_H]]="","",INDEX(NOTA[NO.NOTA],MATCH(NOTA[[#This Row],[ID_H]],NOTA[ID_H],0)))</f>
        <v/>
      </c>
      <c r="AL533" s="28" t="str">
        <f ca="1">IF(NOTA[[#This Row],[NAMA BARANG]]="","",INDEX(NOTA[SUPPLIER],MATCH(,INDIRECT(ADDRESS(ROW(NOTA[ID]),COLUMN(NOTA[ID]))&amp;":"&amp;ADDRESS(ROW(),COLUMN(NOTA[ID]))),-1)))</f>
        <v/>
      </c>
      <c r="AM533" s="28" t="str">
        <f ca="1">IF(NOTA[[#This Row],[ID_H]]="","",IF(NOTA[[#This Row],[FAKTUR]]="",INDIRECT(ADDRESS(ROW()-1,COLUMN())),NOTA[[#This Row],[FAKTUR]]))</f>
        <v/>
      </c>
      <c r="AN533" s="25" t="str">
        <f ca="1">IF(NOTA[[#This Row],[ID]]="","",COUNTIF(NOTA[ID_H],NOTA[[#This Row],[ID_H]]))</f>
        <v/>
      </c>
      <c r="AO533" s="25" t="str">
        <f ca="1">IF(NOTA[[#This Row],[TGL.NOTA]]="",IF(NOTA[[#This Row],[SUPPLIER_H]]="","",AO532),MONTH(NOTA[[#This Row],[TGL.NOTA]]))</f>
        <v/>
      </c>
      <c r="AP5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3" s="25"/>
      <c r="AU533" s="25" t="str">
        <f>IF(NOTA[[#This Row],[CONCAT1]]="","",MATCH(NOTA[[#This Row],[CONCAT1]],[3]!db[NB NOTA_C],0))</f>
        <v/>
      </c>
      <c r="AV533" s="25" t="str">
        <f>IF(NOTA[[#This Row],[QTY/ CTN]]="","",TRUE)</f>
        <v/>
      </c>
      <c r="AW533" s="25" t="str">
        <f ca="1">IF(NOTA[[#This Row],[ID_H]]="","",IF(NOTA[[#This Row],[Column3]]=TRUE,NOTA[[#This Row],[QTY/ CTN]],INDEX([3]!db[QTY/ CTN],NOTA[[#This Row],[//DB]])))</f>
        <v/>
      </c>
      <c r="AX5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3" s="25" t="str">
        <f ca="1">IF(NOTA[[#This Row],[ID_H]]="","",MATCH(NOTA[[#This Row],[NB NOTA_C_QTY]],[3]!db[NB NOTA_C_QTY+F],0))</f>
        <v/>
      </c>
      <c r="AZ533" s="38" t="str">
        <f ca="1">IF(NOTA[[#This Row],[NB NOTA_C_QTY]]="","",ROW()-2)</f>
        <v/>
      </c>
    </row>
    <row r="534" spans="1:52" ht="20.100000000000001" customHeight="1">
      <c r="A5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4" s="25" t="str">
        <f ca="1">IF(NOTA[[#This Row],[NAMA BARANG]]="","",INDEX(NOTA[ID],MATCH(,INDIRECT(ADDRESS(ROW(NOTA[ID]),COLUMN(NOTA[ID]))&amp;":"&amp;ADDRESS(ROW(),COLUMN(NOTA[ID]))),-1)))</f>
        <v/>
      </c>
      <c r="E534" s="33"/>
      <c r="H534" s="34"/>
      <c r="Q534" s="29"/>
      <c r="R534" s="35"/>
      <c r="S534" s="36"/>
      <c r="V534" s="37"/>
      <c r="W534" s="32"/>
      <c r="X534" s="37" t="str">
        <f>IF(NOTA[[#This Row],[HARGA/ CTN]]="",NOTA[[#This Row],[JUMLAH_H]],NOTA[[#This Row],[HARGA/ CTN]]*IF(NOTA[[#This Row],[C]]="",0,NOTA[[#This Row],[C]]))</f>
        <v/>
      </c>
      <c r="Y534" s="37" t="str">
        <f>IF(NOTA[[#This Row],[JUMLAH]]="","",NOTA[[#This Row],[JUMLAH]]*NOTA[[#This Row],[DISC 1]])</f>
        <v/>
      </c>
      <c r="Z534" s="37" t="str">
        <f>IF(NOTA[[#This Row],[JUMLAH]]="","",(NOTA[[#This Row],[JUMLAH]]-NOTA[[#This Row],[DISC 1-]])*NOTA[[#This Row],[DISC 2]])</f>
        <v/>
      </c>
      <c r="AA534" s="37" t="str">
        <f>IF(NOTA[[#This Row],[JUMLAH]]="","",(NOTA[[#This Row],[JUMLAH]]-NOTA[[#This Row],[DISC 1-]]-NOTA[[#This Row],[DISC 2-]])*NOTA[[#This Row],[DISC 3]])</f>
        <v/>
      </c>
      <c r="AB534" s="37" t="str">
        <f>IF(NOTA[[#This Row],[JUMLAH]]="","",NOTA[[#This Row],[DISC 1-]]+NOTA[[#This Row],[DISC 2-]]+NOTA[[#This Row],[DISC 3-]])</f>
        <v/>
      </c>
      <c r="AC534" s="37" t="str">
        <f>IF(NOTA[[#This Row],[JUMLAH]]="","",NOTA[[#This Row],[JUMLAH]]-NOTA[[#This Row],[DISC]])</f>
        <v/>
      </c>
      <c r="AD534" s="37"/>
      <c r="AE5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4" s="37" t="str">
        <f>IF(OR(NOTA[[#This Row],[QTY]]="",NOTA[[#This Row],[HARGA SATUAN]]="",),"",NOTA[[#This Row],[QTY]]*NOTA[[#This Row],[HARGA SATUAN]])</f>
        <v/>
      </c>
      <c r="AI534" s="26" t="str">
        <f ca="1">IF(NOTA[[#This Row],[ID_H]]="","",INDEX(NOTA[TANGGAL],MATCH(,INDIRECT(ADDRESS(ROW(NOTA[TANGGAL]),COLUMN(NOTA[TANGGAL]))&amp;":"&amp;ADDRESS(ROW(),COLUMN(NOTA[TANGGAL]))),-1)))</f>
        <v/>
      </c>
      <c r="AJ534" s="26" t="str">
        <f ca="1">IF(NOTA[[#This Row],[ID_H]]="","",INDEX(NOTA[TGL.NOTA],MATCH(,INDIRECT(ADDRESS(ROW(NOTA[TGL.NOTA]),COLUMN(NOTA[TGL.NOTA]))&amp;":"&amp;ADDRESS(ROW(),COLUMN(NOTA[TGL.NOTA]))),-1)))</f>
        <v/>
      </c>
      <c r="AK534" s="26" t="str">
        <f ca="1">IF(NOTA[[#This Row],[ID_H]]="","",INDEX(NOTA[NO.NOTA],MATCH(NOTA[[#This Row],[ID_H]],NOTA[ID_H],0)))</f>
        <v/>
      </c>
      <c r="AL534" s="28" t="str">
        <f ca="1">IF(NOTA[[#This Row],[NAMA BARANG]]="","",INDEX(NOTA[SUPPLIER],MATCH(,INDIRECT(ADDRESS(ROW(NOTA[ID]),COLUMN(NOTA[ID]))&amp;":"&amp;ADDRESS(ROW(),COLUMN(NOTA[ID]))),-1)))</f>
        <v/>
      </c>
      <c r="AM534" s="28" t="str">
        <f ca="1">IF(NOTA[[#This Row],[ID_H]]="","",IF(NOTA[[#This Row],[FAKTUR]]="",INDIRECT(ADDRESS(ROW()-1,COLUMN())),NOTA[[#This Row],[FAKTUR]]))</f>
        <v/>
      </c>
      <c r="AN534" s="25" t="str">
        <f ca="1">IF(NOTA[[#This Row],[ID]]="","",COUNTIF(NOTA[ID_H],NOTA[[#This Row],[ID_H]]))</f>
        <v/>
      </c>
      <c r="AO534" s="25" t="str">
        <f ca="1">IF(NOTA[[#This Row],[TGL.NOTA]]="",IF(NOTA[[#This Row],[SUPPLIER_H]]="","",AO533),MONTH(NOTA[[#This Row],[TGL.NOTA]]))</f>
        <v/>
      </c>
      <c r="AP5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4" s="25"/>
      <c r="AU534" s="25" t="str">
        <f>IF(NOTA[[#This Row],[CONCAT1]]="","",MATCH(NOTA[[#This Row],[CONCAT1]],[3]!db[NB NOTA_C],0))</f>
        <v/>
      </c>
      <c r="AV534" s="25" t="str">
        <f>IF(NOTA[[#This Row],[QTY/ CTN]]="","",TRUE)</f>
        <v/>
      </c>
      <c r="AW534" s="25" t="str">
        <f ca="1">IF(NOTA[[#This Row],[ID_H]]="","",IF(NOTA[[#This Row],[Column3]]=TRUE,NOTA[[#This Row],[QTY/ CTN]],INDEX([3]!db[QTY/ CTN],NOTA[[#This Row],[//DB]])))</f>
        <v/>
      </c>
      <c r="AX5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4" s="25" t="str">
        <f ca="1">IF(NOTA[[#This Row],[ID_H]]="","",MATCH(NOTA[[#This Row],[NB NOTA_C_QTY]],[3]!db[NB NOTA_C_QTY+F],0))</f>
        <v/>
      </c>
      <c r="AZ534" s="38" t="str">
        <f ca="1">IF(NOTA[[#This Row],[NB NOTA_C_QTY]]="","",ROW()-2)</f>
        <v/>
      </c>
    </row>
    <row r="535" spans="1:52" ht="20.100000000000001" customHeight="1">
      <c r="A5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5" s="25" t="str">
        <f ca="1">IF(NOTA[[#This Row],[NAMA BARANG]]="","",INDEX(NOTA[ID],MATCH(,INDIRECT(ADDRESS(ROW(NOTA[ID]),COLUMN(NOTA[ID]))&amp;":"&amp;ADDRESS(ROW(),COLUMN(NOTA[ID]))),-1)))</f>
        <v/>
      </c>
      <c r="E535" s="33"/>
      <c r="H535" s="34"/>
      <c r="Q535" s="29"/>
      <c r="R535" s="35"/>
      <c r="S535" s="36"/>
      <c r="V535" s="37"/>
      <c r="W535" s="32"/>
      <c r="X535" s="37" t="str">
        <f>IF(NOTA[[#This Row],[HARGA/ CTN]]="",NOTA[[#This Row],[JUMLAH_H]],NOTA[[#This Row],[HARGA/ CTN]]*IF(NOTA[[#This Row],[C]]="",0,NOTA[[#This Row],[C]]))</f>
        <v/>
      </c>
      <c r="Y535" s="37" t="str">
        <f>IF(NOTA[[#This Row],[JUMLAH]]="","",NOTA[[#This Row],[JUMLAH]]*NOTA[[#This Row],[DISC 1]])</f>
        <v/>
      </c>
      <c r="Z535" s="37" t="str">
        <f>IF(NOTA[[#This Row],[JUMLAH]]="","",(NOTA[[#This Row],[JUMLAH]]-NOTA[[#This Row],[DISC 1-]])*NOTA[[#This Row],[DISC 2]])</f>
        <v/>
      </c>
      <c r="AA535" s="37" t="str">
        <f>IF(NOTA[[#This Row],[JUMLAH]]="","",(NOTA[[#This Row],[JUMLAH]]-NOTA[[#This Row],[DISC 1-]]-NOTA[[#This Row],[DISC 2-]])*NOTA[[#This Row],[DISC 3]])</f>
        <v/>
      </c>
      <c r="AB535" s="37" t="str">
        <f>IF(NOTA[[#This Row],[JUMLAH]]="","",NOTA[[#This Row],[DISC 1-]]+NOTA[[#This Row],[DISC 2-]]+NOTA[[#This Row],[DISC 3-]])</f>
        <v/>
      </c>
      <c r="AC535" s="37" t="str">
        <f>IF(NOTA[[#This Row],[JUMLAH]]="","",NOTA[[#This Row],[JUMLAH]]-NOTA[[#This Row],[DISC]])</f>
        <v/>
      </c>
      <c r="AD535" s="37"/>
      <c r="AE5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5" s="37" t="str">
        <f>IF(OR(NOTA[[#This Row],[QTY]]="",NOTA[[#This Row],[HARGA SATUAN]]="",),"",NOTA[[#This Row],[QTY]]*NOTA[[#This Row],[HARGA SATUAN]])</f>
        <v/>
      </c>
      <c r="AI535" s="26" t="str">
        <f ca="1">IF(NOTA[[#This Row],[ID_H]]="","",INDEX(NOTA[TANGGAL],MATCH(,INDIRECT(ADDRESS(ROW(NOTA[TANGGAL]),COLUMN(NOTA[TANGGAL]))&amp;":"&amp;ADDRESS(ROW(),COLUMN(NOTA[TANGGAL]))),-1)))</f>
        <v/>
      </c>
      <c r="AJ535" s="26" t="str">
        <f ca="1">IF(NOTA[[#This Row],[ID_H]]="","",INDEX(NOTA[TGL.NOTA],MATCH(,INDIRECT(ADDRESS(ROW(NOTA[TGL.NOTA]),COLUMN(NOTA[TGL.NOTA]))&amp;":"&amp;ADDRESS(ROW(),COLUMN(NOTA[TGL.NOTA]))),-1)))</f>
        <v/>
      </c>
      <c r="AK535" s="26" t="str">
        <f ca="1">IF(NOTA[[#This Row],[ID_H]]="","",INDEX(NOTA[NO.NOTA],MATCH(NOTA[[#This Row],[ID_H]],NOTA[ID_H],0)))</f>
        <v/>
      </c>
      <c r="AL535" s="28" t="str">
        <f ca="1">IF(NOTA[[#This Row],[NAMA BARANG]]="","",INDEX(NOTA[SUPPLIER],MATCH(,INDIRECT(ADDRESS(ROW(NOTA[ID]),COLUMN(NOTA[ID]))&amp;":"&amp;ADDRESS(ROW(),COLUMN(NOTA[ID]))),-1)))</f>
        <v/>
      </c>
      <c r="AM535" s="28" t="str">
        <f ca="1">IF(NOTA[[#This Row],[ID_H]]="","",IF(NOTA[[#This Row],[FAKTUR]]="",INDIRECT(ADDRESS(ROW()-1,COLUMN())),NOTA[[#This Row],[FAKTUR]]))</f>
        <v/>
      </c>
      <c r="AN535" s="25" t="str">
        <f ca="1">IF(NOTA[[#This Row],[ID]]="","",COUNTIF(NOTA[ID_H],NOTA[[#This Row],[ID_H]]))</f>
        <v/>
      </c>
      <c r="AO535" s="25" t="str">
        <f ca="1">IF(NOTA[[#This Row],[TGL.NOTA]]="",IF(NOTA[[#This Row],[SUPPLIER_H]]="","",AO534),MONTH(NOTA[[#This Row],[TGL.NOTA]]))</f>
        <v/>
      </c>
      <c r="AP5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5" s="25"/>
      <c r="AU535" s="25" t="str">
        <f>IF(NOTA[[#This Row],[CONCAT1]]="","",MATCH(NOTA[[#This Row],[CONCAT1]],[3]!db[NB NOTA_C],0))</f>
        <v/>
      </c>
      <c r="AV535" s="25" t="str">
        <f>IF(NOTA[[#This Row],[QTY/ CTN]]="","",TRUE)</f>
        <v/>
      </c>
      <c r="AW535" s="25" t="str">
        <f ca="1">IF(NOTA[[#This Row],[ID_H]]="","",IF(NOTA[[#This Row],[Column3]]=TRUE,NOTA[[#This Row],[QTY/ CTN]],INDEX([3]!db[QTY/ CTN],NOTA[[#This Row],[//DB]])))</f>
        <v/>
      </c>
      <c r="AX5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5" s="25" t="str">
        <f ca="1">IF(NOTA[[#This Row],[ID_H]]="","",MATCH(NOTA[[#This Row],[NB NOTA_C_QTY]],[3]!db[NB NOTA_C_QTY+F],0))</f>
        <v/>
      </c>
      <c r="AZ535" s="38" t="str">
        <f ca="1">IF(NOTA[[#This Row],[NB NOTA_C_QTY]]="","",ROW()-2)</f>
        <v/>
      </c>
    </row>
    <row r="536" spans="1:52" ht="20.100000000000001" customHeight="1">
      <c r="A5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6" s="25" t="str">
        <f ca="1">IF(NOTA[[#This Row],[NAMA BARANG]]="","",INDEX(NOTA[ID],MATCH(,INDIRECT(ADDRESS(ROW(NOTA[ID]),COLUMN(NOTA[ID]))&amp;":"&amp;ADDRESS(ROW(),COLUMN(NOTA[ID]))),-1)))</f>
        <v/>
      </c>
      <c r="E536" s="33"/>
      <c r="H536" s="34"/>
      <c r="Q536" s="29"/>
      <c r="R536" s="35"/>
      <c r="S536" s="36"/>
      <c r="V536" s="37"/>
      <c r="W536" s="32"/>
      <c r="X536" s="37" t="str">
        <f>IF(NOTA[[#This Row],[HARGA/ CTN]]="",NOTA[[#This Row],[JUMLAH_H]],NOTA[[#This Row],[HARGA/ CTN]]*IF(NOTA[[#This Row],[C]]="",0,NOTA[[#This Row],[C]]))</f>
        <v/>
      </c>
      <c r="Y536" s="37" t="str">
        <f>IF(NOTA[[#This Row],[JUMLAH]]="","",NOTA[[#This Row],[JUMLAH]]*NOTA[[#This Row],[DISC 1]])</f>
        <v/>
      </c>
      <c r="Z536" s="37" t="str">
        <f>IF(NOTA[[#This Row],[JUMLAH]]="","",(NOTA[[#This Row],[JUMLAH]]-NOTA[[#This Row],[DISC 1-]])*NOTA[[#This Row],[DISC 2]])</f>
        <v/>
      </c>
      <c r="AA536" s="37" t="str">
        <f>IF(NOTA[[#This Row],[JUMLAH]]="","",(NOTA[[#This Row],[JUMLAH]]-NOTA[[#This Row],[DISC 1-]]-NOTA[[#This Row],[DISC 2-]])*NOTA[[#This Row],[DISC 3]])</f>
        <v/>
      </c>
      <c r="AB536" s="37" t="str">
        <f>IF(NOTA[[#This Row],[JUMLAH]]="","",NOTA[[#This Row],[DISC 1-]]+NOTA[[#This Row],[DISC 2-]]+NOTA[[#This Row],[DISC 3-]])</f>
        <v/>
      </c>
      <c r="AC536" s="37" t="str">
        <f>IF(NOTA[[#This Row],[JUMLAH]]="","",NOTA[[#This Row],[JUMLAH]]-NOTA[[#This Row],[DISC]])</f>
        <v/>
      </c>
      <c r="AD536" s="37"/>
      <c r="AE5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6" s="37" t="str">
        <f>IF(OR(NOTA[[#This Row],[QTY]]="",NOTA[[#This Row],[HARGA SATUAN]]="",),"",NOTA[[#This Row],[QTY]]*NOTA[[#This Row],[HARGA SATUAN]])</f>
        <v/>
      </c>
      <c r="AI536" s="26" t="str">
        <f ca="1">IF(NOTA[[#This Row],[ID_H]]="","",INDEX(NOTA[TANGGAL],MATCH(,INDIRECT(ADDRESS(ROW(NOTA[TANGGAL]),COLUMN(NOTA[TANGGAL]))&amp;":"&amp;ADDRESS(ROW(),COLUMN(NOTA[TANGGAL]))),-1)))</f>
        <v/>
      </c>
      <c r="AJ536" s="26" t="str">
        <f ca="1">IF(NOTA[[#This Row],[ID_H]]="","",INDEX(NOTA[TGL.NOTA],MATCH(,INDIRECT(ADDRESS(ROW(NOTA[TGL.NOTA]),COLUMN(NOTA[TGL.NOTA]))&amp;":"&amp;ADDRESS(ROW(),COLUMN(NOTA[TGL.NOTA]))),-1)))</f>
        <v/>
      </c>
      <c r="AK536" s="26" t="str">
        <f ca="1">IF(NOTA[[#This Row],[ID_H]]="","",INDEX(NOTA[NO.NOTA],MATCH(NOTA[[#This Row],[ID_H]],NOTA[ID_H],0)))</f>
        <v/>
      </c>
      <c r="AL536" s="28" t="str">
        <f ca="1">IF(NOTA[[#This Row],[NAMA BARANG]]="","",INDEX(NOTA[SUPPLIER],MATCH(,INDIRECT(ADDRESS(ROW(NOTA[ID]),COLUMN(NOTA[ID]))&amp;":"&amp;ADDRESS(ROW(),COLUMN(NOTA[ID]))),-1)))</f>
        <v/>
      </c>
      <c r="AM536" s="28" t="str">
        <f ca="1">IF(NOTA[[#This Row],[ID_H]]="","",IF(NOTA[[#This Row],[FAKTUR]]="",INDIRECT(ADDRESS(ROW()-1,COLUMN())),NOTA[[#This Row],[FAKTUR]]))</f>
        <v/>
      </c>
      <c r="AN536" s="25" t="str">
        <f ca="1">IF(NOTA[[#This Row],[ID]]="","",COUNTIF(NOTA[ID_H],NOTA[[#This Row],[ID_H]]))</f>
        <v/>
      </c>
      <c r="AO536" s="25" t="str">
        <f ca="1">IF(NOTA[[#This Row],[TGL.NOTA]]="",IF(NOTA[[#This Row],[SUPPLIER_H]]="","",AO535),MONTH(NOTA[[#This Row],[TGL.NOTA]]))</f>
        <v/>
      </c>
      <c r="AP5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6" s="25"/>
      <c r="AU536" s="25" t="str">
        <f>IF(NOTA[[#This Row],[CONCAT1]]="","",MATCH(NOTA[[#This Row],[CONCAT1]],[3]!db[NB NOTA_C],0))</f>
        <v/>
      </c>
      <c r="AV536" s="25" t="str">
        <f>IF(NOTA[[#This Row],[QTY/ CTN]]="","",TRUE)</f>
        <v/>
      </c>
      <c r="AW536" s="25" t="str">
        <f ca="1">IF(NOTA[[#This Row],[ID_H]]="","",IF(NOTA[[#This Row],[Column3]]=TRUE,NOTA[[#This Row],[QTY/ CTN]],INDEX([3]!db[QTY/ CTN],NOTA[[#This Row],[//DB]])))</f>
        <v/>
      </c>
      <c r="AX5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6" s="25" t="str">
        <f ca="1">IF(NOTA[[#This Row],[ID_H]]="","",MATCH(NOTA[[#This Row],[NB NOTA_C_QTY]],[3]!db[NB NOTA_C_QTY+F],0))</f>
        <v/>
      </c>
      <c r="AZ536" s="38" t="str">
        <f ca="1">IF(NOTA[[#This Row],[NB NOTA_C_QTY]]="","",ROW()-2)</f>
        <v/>
      </c>
    </row>
    <row r="537" spans="1:52" ht="20.100000000000001" customHeight="1">
      <c r="A5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7" s="25" t="str">
        <f ca="1">IF(NOTA[[#This Row],[NAMA BARANG]]="","",INDEX(NOTA[ID],MATCH(,INDIRECT(ADDRESS(ROW(NOTA[ID]),COLUMN(NOTA[ID]))&amp;":"&amp;ADDRESS(ROW(),COLUMN(NOTA[ID]))),-1)))</f>
        <v/>
      </c>
      <c r="E537" s="33"/>
      <c r="H537" s="34"/>
      <c r="Q537" s="29"/>
      <c r="R537" s="35"/>
      <c r="S537" s="36"/>
      <c r="V537" s="37"/>
      <c r="W537" s="32"/>
      <c r="X537" s="37" t="str">
        <f>IF(NOTA[[#This Row],[HARGA/ CTN]]="",NOTA[[#This Row],[JUMLAH_H]],NOTA[[#This Row],[HARGA/ CTN]]*IF(NOTA[[#This Row],[C]]="",0,NOTA[[#This Row],[C]]))</f>
        <v/>
      </c>
      <c r="Y537" s="37" t="str">
        <f>IF(NOTA[[#This Row],[JUMLAH]]="","",NOTA[[#This Row],[JUMLAH]]*NOTA[[#This Row],[DISC 1]])</f>
        <v/>
      </c>
      <c r="Z537" s="37" t="str">
        <f>IF(NOTA[[#This Row],[JUMLAH]]="","",(NOTA[[#This Row],[JUMLAH]]-NOTA[[#This Row],[DISC 1-]])*NOTA[[#This Row],[DISC 2]])</f>
        <v/>
      </c>
      <c r="AA537" s="37" t="str">
        <f>IF(NOTA[[#This Row],[JUMLAH]]="","",(NOTA[[#This Row],[JUMLAH]]-NOTA[[#This Row],[DISC 1-]]-NOTA[[#This Row],[DISC 2-]])*NOTA[[#This Row],[DISC 3]])</f>
        <v/>
      </c>
      <c r="AB537" s="37" t="str">
        <f>IF(NOTA[[#This Row],[JUMLAH]]="","",NOTA[[#This Row],[DISC 1-]]+NOTA[[#This Row],[DISC 2-]]+NOTA[[#This Row],[DISC 3-]])</f>
        <v/>
      </c>
      <c r="AC537" s="37" t="str">
        <f>IF(NOTA[[#This Row],[JUMLAH]]="","",NOTA[[#This Row],[JUMLAH]]-NOTA[[#This Row],[DISC]])</f>
        <v/>
      </c>
      <c r="AD537" s="37"/>
      <c r="AE5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7" s="37" t="str">
        <f>IF(OR(NOTA[[#This Row],[QTY]]="",NOTA[[#This Row],[HARGA SATUAN]]="",),"",NOTA[[#This Row],[QTY]]*NOTA[[#This Row],[HARGA SATUAN]])</f>
        <v/>
      </c>
      <c r="AI537" s="26" t="str">
        <f ca="1">IF(NOTA[[#This Row],[ID_H]]="","",INDEX(NOTA[TANGGAL],MATCH(,INDIRECT(ADDRESS(ROW(NOTA[TANGGAL]),COLUMN(NOTA[TANGGAL]))&amp;":"&amp;ADDRESS(ROW(),COLUMN(NOTA[TANGGAL]))),-1)))</f>
        <v/>
      </c>
      <c r="AJ537" s="26" t="str">
        <f ca="1">IF(NOTA[[#This Row],[ID_H]]="","",INDEX(NOTA[TGL.NOTA],MATCH(,INDIRECT(ADDRESS(ROW(NOTA[TGL.NOTA]),COLUMN(NOTA[TGL.NOTA]))&amp;":"&amp;ADDRESS(ROW(),COLUMN(NOTA[TGL.NOTA]))),-1)))</f>
        <v/>
      </c>
      <c r="AK537" s="26" t="str">
        <f ca="1">IF(NOTA[[#This Row],[ID_H]]="","",INDEX(NOTA[NO.NOTA],MATCH(NOTA[[#This Row],[ID_H]],NOTA[ID_H],0)))</f>
        <v/>
      </c>
      <c r="AL537" s="28" t="str">
        <f ca="1">IF(NOTA[[#This Row],[NAMA BARANG]]="","",INDEX(NOTA[SUPPLIER],MATCH(,INDIRECT(ADDRESS(ROW(NOTA[ID]),COLUMN(NOTA[ID]))&amp;":"&amp;ADDRESS(ROW(),COLUMN(NOTA[ID]))),-1)))</f>
        <v/>
      </c>
      <c r="AM537" s="28" t="str">
        <f ca="1">IF(NOTA[[#This Row],[ID_H]]="","",IF(NOTA[[#This Row],[FAKTUR]]="",INDIRECT(ADDRESS(ROW()-1,COLUMN())),NOTA[[#This Row],[FAKTUR]]))</f>
        <v/>
      </c>
      <c r="AN537" s="25" t="str">
        <f ca="1">IF(NOTA[[#This Row],[ID]]="","",COUNTIF(NOTA[ID_H],NOTA[[#This Row],[ID_H]]))</f>
        <v/>
      </c>
      <c r="AO537" s="25" t="str">
        <f ca="1">IF(NOTA[[#This Row],[TGL.NOTA]]="",IF(NOTA[[#This Row],[SUPPLIER_H]]="","",AO536),MONTH(NOTA[[#This Row],[TGL.NOTA]]))</f>
        <v/>
      </c>
      <c r="AP5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7" s="25"/>
      <c r="AU537" s="25" t="str">
        <f>IF(NOTA[[#This Row],[CONCAT1]]="","",MATCH(NOTA[[#This Row],[CONCAT1]],[3]!db[NB NOTA_C],0))</f>
        <v/>
      </c>
      <c r="AV537" s="25" t="str">
        <f>IF(NOTA[[#This Row],[QTY/ CTN]]="","",TRUE)</f>
        <v/>
      </c>
      <c r="AW537" s="25" t="str">
        <f ca="1">IF(NOTA[[#This Row],[ID_H]]="","",IF(NOTA[[#This Row],[Column3]]=TRUE,NOTA[[#This Row],[QTY/ CTN]],INDEX([3]!db[QTY/ CTN],NOTA[[#This Row],[//DB]])))</f>
        <v/>
      </c>
      <c r="AX5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7" s="25" t="str">
        <f ca="1">IF(NOTA[[#This Row],[ID_H]]="","",MATCH(NOTA[[#This Row],[NB NOTA_C_QTY]],[3]!db[NB NOTA_C_QTY+F],0))</f>
        <v/>
      </c>
      <c r="AZ537" s="38" t="str">
        <f ca="1">IF(NOTA[[#This Row],[NB NOTA_C_QTY]]="","",ROW()-2)</f>
        <v/>
      </c>
    </row>
    <row r="538" spans="1:52" ht="20.100000000000001" customHeight="1">
      <c r="A5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8" s="25" t="str">
        <f ca="1">IF(NOTA[[#This Row],[NAMA BARANG]]="","",INDEX(NOTA[ID],MATCH(,INDIRECT(ADDRESS(ROW(NOTA[ID]),COLUMN(NOTA[ID]))&amp;":"&amp;ADDRESS(ROW(),COLUMN(NOTA[ID]))),-1)))</f>
        <v/>
      </c>
      <c r="E538" s="33"/>
      <c r="H538" s="34"/>
      <c r="Q538" s="29"/>
      <c r="R538" s="35"/>
      <c r="S538" s="36"/>
      <c r="V538" s="37"/>
      <c r="W538" s="32"/>
      <c r="X538" s="37" t="str">
        <f>IF(NOTA[[#This Row],[HARGA/ CTN]]="",NOTA[[#This Row],[JUMLAH_H]],NOTA[[#This Row],[HARGA/ CTN]]*IF(NOTA[[#This Row],[C]]="",0,NOTA[[#This Row],[C]]))</f>
        <v/>
      </c>
      <c r="Y538" s="37" t="str">
        <f>IF(NOTA[[#This Row],[JUMLAH]]="","",NOTA[[#This Row],[JUMLAH]]*NOTA[[#This Row],[DISC 1]])</f>
        <v/>
      </c>
      <c r="Z538" s="37" t="str">
        <f>IF(NOTA[[#This Row],[JUMLAH]]="","",(NOTA[[#This Row],[JUMLAH]]-NOTA[[#This Row],[DISC 1-]])*NOTA[[#This Row],[DISC 2]])</f>
        <v/>
      </c>
      <c r="AA538" s="37" t="str">
        <f>IF(NOTA[[#This Row],[JUMLAH]]="","",(NOTA[[#This Row],[JUMLAH]]-NOTA[[#This Row],[DISC 1-]]-NOTA[[#This Row],[DISC 2-]])*NOTA[[#This Row],[DISC 3]])</f>
        <v/>
      </c>
      <c r="AB538" s="37" t="str">
        <f>IF(NOTA[[#This Row],[JUMLAH]]="","",NOTA[[#This Row],[DISC 1-]]+NOTA[[#This Row],[DISC 2-]]+NOTA[[#This Row],[DISC 3-]])</f>
        <v/>
      </c>
      <c r="AC538" s="37" t="str">
        <f>IF(NOTA[[#This Row],[JUMLAH]]="","",NOTA[[#This Row],[JUMLAH]]-NOTA[[#This Row],[DISC]])</f>
        <v/>
      </c>
      <c r="AD538" s="37"/>
      <c r="AE5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8" s="37" t="str">
        <f>IF(OR(NOTA[[#This Row],[QTY]]="",NOTA[[#This Row],[HARGA SATUAN]]="",),"",NOTA[[#This Row],[QTY]]*NOTA[[#This Row],[HARGA SATUAN]])</f>
        <v/>
      </c>
      <c r="AI538" s="26" t="str">
        <f ca="1">IF(NOTA[[#This Row],[ID_H]]="","",INDEX(NOTA[TANGGAL],MATCH(,INDIRECT(ADDRESS(ROW(NOTA[TANGGAL]),COLUMN(NOTA[TANGGAL]))&amp;":"&amp;ADDRESS(ROW(),COLUMN(NOTA[TANGGAL]))),-1)))</f>
        <v/>
      </c>
      <c r="AJ538" s="26" t="str">
        <f ca="1">IF(NOTA[[#This Row],[ID_H]]="","",INDEX(NOTA[TGL.NOTA],MATCH(,INDIRECT(ADDRESS(ROW(NOTA[TGL.NOTA]),COLUMN(NOTA[TGL.NOTA]))&amp;":"&amp;ADDRESS(ROW(),COLUMN(NOTA[TGL.NOTA]))),-1)))</f>
        <v/>
      </c>
      <c r="AK538" s="26" t="str">
        <f ca="1">IF(NOTA[[#This Row],[ID_H]]="","",INDEX(NOTA[NO.NOTA],MATCH(NOTA[[#This Row],[ID_H]],NOTA[ID_H],0)))</f>
        <v/>
      </c>
      <c r="AL538" s="28" t="str">
        <f ca="1">IF(NOTA[[#This Row],[NAMA BARANG]]="","",INDEX(NOTA[SUPPLIER],MATCH(,INDIRECT(ADDRESS(ROW(NOTA[ID]),COLUMN(NOTA[ID]))&amp;":"&amp;ADDRESS(ROW(),COLUMN(NOTA[ID]))),-1)))</f>
        <v/>
      </c>
      <c r="AM538" s="28" t="str">
        <f ca="1">IF(NOTA[[#This Row],[ID_H]]="","",IF(NOTA[[#This Row],[FAKTUR]]="",INDIRECT(ADDRESS(ROW()-1,COLUMN())),NOTA[[#This Row],[FAKTUR]]))</f>
        <v/>
      </c>
      <c r="AN538" s="25" t="str">
        <f ca="1">IF(NOTA[[#This Row],[ID]]="","",COUNTIF(NOTA[ID_H],NOTA[[#This Row],[ID_H]]))</f>
        <v/>
      </c>
      <c r="AO538" s="25" t="str">
        <f ca="1">IF(NOTA[[#This Row],[TGL.NOTA]]="",IF(NOTA[[#This Row],[SUPPLIER_H]]="","",AO537),MONTH(NOTA[[#This Row],[TGL.NOTA]]))</f>
        <v/>
      </c>
      <c r="AP5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8" s="25"/>
      <c r="AU538" s="25" t="str">
        <f>IF(NOTA[[#This Row],[CONCAT1]]="","",MATCH(NOTA[[#This Row],[CONCAT1]],[3]!db[NB NOTA_C],0))</f>
        <v/>
      </c>
      <c r="AV538" s="25" t="str">
        <f>IF(NOTA[[#This Row],[QTY/ CTN]]="","",TRUE)</f>
        <v/>
      </c>
      <c r="AW538" s="25" t="str">
        <f ca="1">IF(NOTA[[#This Row],[ID_H]]="","",IF(NOTA[[#This Row],[Column3]]=TRUE,NOTA[[#This Row],[QTY/ CTN]],INDEX([3]!db[QTY/ CTN],NOTA[[#This Row],[//DB]])))</f>
        <v/>
      </c>
      <c r="AX5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8" s="25" t="str">
        <f ca="1">IF(NOTA[[#This Row],[ID_H]]="","",MATCH(NOTA[[#This Row],[NB NOTA_C_QTY]],[3]!db[NB NOTA_C_QTY+F],0))</f>
        <v/>
      </c>
      <c r="AZ538" s="38" t="str">
        <f ca="1">IF(NOTA[[#This Row],[NB NOTA_C_QTY]]="","",ROW()-2)</f>
        <v/>
      </c>
    </row>
    <row r="539" spans="1:52" ht="20.100000000000001" customHeight="1">
      <c r="A5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9" s="25" t="str">
        <f ca="1">IF(NOTA[[#This Row],[NAMA BARANG]]="","",INDEX(NOTA[ID],MATCH(,INDIRECT(ADDRESS(ROW(NOTA[ID]),COLUMN(NOTA[ID]))&amp;":"&amp;ADDRESS(ROW(),COLUMN(NOTA[ID]))),-1)))</f>
        <v/>
      </c>
      <c r="E539" s="33"/>
      <c r="H539" s="34"/>
      <c r="Q539" s="29"/>
      <c r="R539" s="35"/>
      <c r="S539" s="36"/>
      <c r="V539" s="37"/>
      <c r="W539" s="32"/>
      <c r="X539" s="37" t="str">
        <f>IF(NOTA[[#This Row],[HARGA/ CTN]]="",NOTA[[#This Row],[JUMLAH_H]],NOTA[[#This Row],[HARGA/ CTN]]*IF(NOTA[[#This Row],[C]]="",0,NOTA[[#This Row],[C]]))</f>
        <v/>
      </c>
      <c r="Y539" s="37" t="str">
        <f>IF(NOTA[[#This Row],[JUMLAH]]="","",NOTA[[#This Row],[JUMLAH]]*NOTA[[#This Row],[DISC 1]])</f>
        <v/>
      </c>
      <c r="Z539" s="37" t="str">
        <f>IF(NOTA[[#This Row],[JUMLAH]]="","",(NOTA[[#This Row],[JUMLAH]]-NOTA[[#This Row],[DISC 1-]])*NOTA[[#This Row],[DISC 2]])</f>
        <v/>
      </c>
      <c r="AA539" s="37" t="str">
        <f>IF(NOTA[[#This Row],[JUMLAH]]="","",(NOTA[[#This Row],[JUMLAH]]-NOTA[[#This Row],[DISC 1-]]-NOTA[[#This Row],[DISC 2-]])*NOTA[[#This Row],[DISC 3]])</f>
        <v/>
      </c>
      <c r="AB539" s="37" t="str">
        <f>IF(NOTA[[#This Row],[JUMLAH]]="","",NOTA[[#This Row],[DISC 1-]]+NOTA[[#This Row],[DISC 2-]]+NOTA[[#This Row],[DISC 3-]])</f>
        <v/>
      </c>
      <c r="AC539" s="37" t="str">
        <f>IF(NOTA[[#This Row],[JUMLAH]]="","",NOTA[[#This Row],[JUMLAH]]-NOTA[[#This Row],[DISC]])</f>
        <v/>
      </c>
      <c r="AD539" s="37"/>
      <c r="AE5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9" s="37" t="str">
        <f>IF(OR(NOTA[[#This Row],[QTY]]="",NOTA[[#This Row],[HARGA SATUAN]]="",),"",NOTA[[#This Row],[QTY]]*NOTA[[#This Row],[HARGA SATUAN]])</f>
        <v/>
      </c>
      <c r="AI539" s="26" t="str">
        <f ca="1">IF(NOTA[[#This Row],[ID_H]]="","",INDEX(NOTA[TANGGAL],MATCH(,INDIRECT(ADDRESS(ROW(NOTA[TANGGAL]),COLUMN(NOTA[TANGGAL]))&amp;":"&amp;ADDRESS(ROW(),COLUMN(NOTA[TANGGAL]))),-1)))</f>
        <v/>
      </c>
      <c r="AJ539" s="26" t="str">
        <f ca="1">IF(NOTA[[#This Row],[ID_H]]="","",INDEX(NOTA[TGL.NOTA],MATCH(,INDIRECT(ADDRESS(ROW(NOTA[TGL.NOTA]),COLUMN(NOTA[TGL.NOTA]))&amp;":"&amp;ADDRESS(ROW(),COLUMN(NOTA[TGL.NOTA]))),-1)))</f>
        <v/>
      </c>
      <c r="AK539" s="26" t="str">
        <f ca="1">IF(NOTA[[#This Row],[ID_H]]="","",INDEX(NOTA[NO.NOTA],MATCH(NOTA[[#This Row],[ID_H]],NOTA[ID_H],0)))</f>
        <v/>
      </c>
      <c r="AL539" s="28" t="str">
        <f ca="1">IF(NOTA[[#This Row],[NAMA BARANG]]="","",INDEX(NOTA[SUPPLIER],MATCH(,INDIRECT(ADDRESS(ROW(NOTA[ID]),COLUMN(NOTA[ID]))&amp;":"&amp;ADDRESS(ROW(),COLUMN(NOTA[ID]))),-1)))</f>
        <v/>
      </c>
      <c r="AM539" s="28" t="str">
        <f ca="1">IF(NOTA[[#This Row],[ID_H]]="","",IF(NOTA[[#This Row],[FAKTUR]]="",INDIRECT(ADDRESS(ROW()-1,COLUMN())),NOTA[[#This Row],[FAKTUR]]))</f>
        <v/>
      </c>
      <c r="AN539" s="25" t="str">
        <f ca="1">IF(NOTA[[#This Row],[ID]]="","",COUNTIF(NOTA[ID_H],NOTA[[#This Row],[ID_H]]))</f>
        <v/>
      </c>
      <c r="AO539" s="25" t="str">
        <f ca="1">IF(NOTA[[#This Row],[TGL.NOTA]]="",IF(NOTA[[#This Row],[SUPPLIER_H]]="","",AO538),MONTH(NOTA[[#This Row],[TGL.NOTA]]))</f>
        <v/>
      </c>
      <c r="AP5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9" s="25"/>
      <c r="AU539" s="25" t="str">
        <f>IF(NOTA[[#This Row],[CONCAT1]]="","",MATCH(NOTA[[#This Row],[CONCAT1]],[3]!db[NB NOTA_C],0))</f>
        <v/>
      </c>
      <c r="AV539" s="25" t="str">
        <f>IF(NOTA[[#This Row],[QTY/ CTN]]="","",TRUE)</f>
        <v/>
      </c>
      <c r="AW539" s="25" t="str">
        <f ca="1">IF(NOTA[[#This Row],[ID_H]]="","",IF(NOTA[[#This Row],[Column3]]=TRUE,NOTA[[#This Row],[QTY/ CTN]],INDEX([3]!db[QTY/ CTN],NOTA[[#This Row],[//DB]])))</f>
        <v/>
      </c>
      <c r="AX5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9" s="25" t="str">
        <f ca="1">IF(NOTA[[#This Row],[ID_H]]="","",MATCH(NOTA[[#This Row],[NB NOTA_C_QTY]],[3]!db[NB NOTA_C_QTY+F],0))</f>
        <v/>
      </c>
      <c r="AZ539" s="38" t="str">
        <f ca="1">IF(NOTA[[#This Row],[NB NOTA_C_QTY]]="","",ROW()-2)</f>
        <v/>
      </c>
    </row>
    <row r="540" spans="1:52" ht="20.100000000000001" customHeight="1">
      <c r="A5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0" s="25" t="str">
        <f ca="1">IF(NOTA[[#This Row],[NAMA BARANG]]="","",INDEX(NOTA[ID],MATCH(,INDIRECT(ADDRESS(ROW(NOTA[ID]),COLUMN(NOTA[ID]))&amp;":"&amp;ADDRESS(ROW(),COLUMN(NOTA[ID]))),-1)))</f>
        <v/>
      </c>
      <c r="E540" s="33"/>
      <c r="H540" s="34"/>
      <c r="Q540" s="29"/>
      <c r="R540" s="35"/>
      <c r="S540" s="36"/>
      <c r="V540" s="37"/>
      <c r="W540" s="32"/>
      <c r="X540" s="37" t="str">
        <f>IF(NOTA[[#This Row],[HARGA/ CTN]]="",NOTA[[#This Row],[JUMLAH_H]],NOTA[[#This Row],[HARGA/ CTN]]*IF(NOTA[[#This Row],[C]]="",0,NOTA[[#This Row],[C]]))</f>
        <v/>
      </c>
      <c r="Y540" s="37" t="str">
        <f>IF(NOTA[[#This Row],[JUMLAH]]="","",NOTA[[#This Row],[JUMLAH]]*NOTA[[#This Row],[DISC 1]])</f>
        <v/>
      </c>
      <c r="Z540" s="37" t="str">
        <f>IF(NOTA[[#This Row],[JUMLAH]]="","",(NOTA[[#This Row],[JUMLAH]]-NOTA[[#This Row],[DISC 1-]])*NOTA[[#This Row],[DISC 2]])</f>
        <v/>
      </c>
      <c r="AA540" s="37" t="str">
        <f>IF(NOTA[[#This Row],[JUMLAH]]="","",(NOTA[[#This Row],[JUMLAH]]-NOTA[[#This Row],[DISC 1-]]-NOTA[[#This Row],[DISC 2-]])*NOTA[[#This Row],[DISC 3]])</f>
        <v/>
      </c>
      <c r="AB540" s="37" t="str">
        <f>IF(NOTA[[#This Row],[JUMLAH]]="","",NOTA[[#This Row],[DISC 1-]]+NOTA[[#This Row],[DISC 2-]]+NOTA[[#This Row],[DISC 3-]])</f>
        <v/>
      </c>
      <c r="AC540" s="37" t="str">
        <f>IF(NOTA[[#This Row],[JUMLAH]]="","",NOTA[[#This Row],[JUMLAH]]-NOTA[[#This Row],[DISC]])</f>
        <v/>
      </c>
      <c r="AD540" s="37"/>
      <c r="AE5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0" s="37" t="str">
        <f>IF(OR(NOTA[[#This Row],[QTY]]="",NOTA[[#This Row],[HARGA SATUAN]]="",),"",NOTA[[#This Row],[QTY]]*NOTA[[#This Row],[HARGA SATUAN]])</f>
        <v/>
      </c>
      <c r="AI540" s="26" t="str">
        <f ca="1">IF(NOTA[[#This Row],[ID_H]]="","",INDEX(NOTA[TANGGAL],MATCH(,INDIRECT(ADDRESS(ROW(NOTA[TANGGAL]),COLUMN(NOTA[TANGGAL]))&amp;":"&amp;ADDRESS(ROW(),COLUMN(NOTA[TANGGAL]))),-1)))</f>
        <v/>
      </c>
      <c r="AJ540" s="26" t="str">
        <f ca="1">IF(NOTA[[#This Row],[ID_H]]="","",INDEX(NOTA[TGL.NOTA],MATCH(,INDIRECT(ADDRESS(ROW(NOTA[TGL.NOTA]),COLUMN(NOTA[TGL.NOTA]))&amp;":"&amp;ADDRESS(ROW(),COLUMN(NOTA[TGL.NOTA]))),-1)))</f>
        <v/>
      </c>
      <c r="AK540" s="26" t="str">
        <f ca="1">IF(NOTA[[#This Row],[ID_H]]="","",INDEX(NOTA[NO.NOTA],MATCH(NOTA[[#This Row],[ID_H]],NOTA[ID_H],0)))</f>
        <v/>
      </c>
      <c r="AL540" s="28" t="str">
        <f ca="1">IF(NOTA[[#This Row],[NAMA BARANG]]="","",INDEX(NOTA[SUPPLIER],MATCH(,INDIRECT(ADDRESS(ROW(NOTA[ID]),COLUMN(NOTA[ID]))&amp;":"&amp;ADDRESS(ROW(),COLUMN(NOTA[ID]))),-1)))</f>
        <v/>
      </c>
      <c r="AM540" s="28" t="str">
        <f ca="1">IF(NOTA[[#This Row],[ID_H]]="","",IF(NOTA[[#This Row],[FAKTUR]]="",INDIRECT(ADDRESS(ROW()-1,COLUMN())),NOTA[[#This Row],[FAKTUR]]))</f>
        <v/>
      </c>
      <c r="AN540" s="25" t="str">
        <f ca="1">IF(NOTA[[#This Row],[ID]]="","",COUNTIF(NOTA[ID_H],NOTA[[#This Row],[ID_H]]))</f>
        <v/>
      </c>
      <c r="AO540" s="25" t="str">
        <f ca="1">IF(NOTA[[#This Row],[TGL.NOTA]]="",IF(NOTA[[#This Row],[SUPPLIER_H]]="","",AO539),MONTH(NOTA[[#This Row],[TGL.NOTA]]))</f>
        <v/>
      </c>
      <c r="AP5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0" s="25"/>
      <c r="AU540" s="25" t="str">
        <f>IF(NOTA[[#This Row],[CONCAT1]]="","",MATCH(NOTA[[#This Row],[CONCAT1]],[3]!db[NB NOTA_C],0))</f>
        <v/>
      </c>
      <c r="AV540" s="25" t="str">
        <f>IF(NOTA[[#This Row],[QTY/ CTN]]="","",TRUE)</f>
        <v/>
      </c>
      <c r="AW540" s="25" t="str">
        <f ca="1">IF(NOTA[[#This Row],[ID_H]]="","",IF(NOTA[[#This Row],[Column3]]=TRUE,NOTA[[#This Row],[QTY/ CTN]],INDEX([3]!db[QTY/ CTN],NOTA[[#This Row],[//DB]])))</f>
        <v/>
      </c>
      <c r="AX5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0" s="25" t="str">
        <f ca="1">IF(NOTA[[#This Row],[ID_H]]="","",MATCH(NOTA[[#This Row],[NB NOTA_C_QTY]],[3]!db[NB NOTA_C_QTY+F],0))</f>
        <v/>
      </c>
      <c r="AZ540" s="38" t="str">
        <f ca="1">IF(NOTA[[#This Row],[NB NOTA_C_QTY]]="","",ROW()-2)</f>
        <v/>
      </c>
    </row>
    <row r="541" spans="1:52" ht="20.100000000000001" customHeight="1">
      <c r="A5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1" s="25" t="str">
        <f ca="1">IF(NOTA[[#This Row],[NAMA BARANG]]="","",INDEX(NOTA[ID],MATCH(,INDIRECT(ADDRESS(ROW(NOTA[ID]),COLUMN(NOTA[ID]))&amp;":"&amp;ADDRESS(ROW(),COLUMN(NOTA[ID]))),-1)))</f>
        <v/>
      </c>
      <c r="E541" s="33"/>
      <c r="H541" s="34"/>
      <c r="Q541" s="29"/>
      <c r="R541" s="35"/>
      <c r="S541" s="36"/>
      <c r="V541" s="37"/>
      <c r="W541" s="32"/>
      <c r="X541" s="37" t="str">
        <f>IF(NOTA[[#This Row],[HARGA/ CTN]]="",NOTA[[#This Row],[JUMLAH_H]],NOTA[[#This Row],[HARGA/ CTN]]*IF(NOTA[[#This Row],[C]]="",0,NOTA[[#This Row],[C]]))</f>
        <v/>
      </c>
      <c r="Y541" s="37" t="str">
        <f>IF(NOTA[[#This Row],[JUMLAH]]="","",NOTA[[#This Row],[JUMLAH]]*NOTA[[#This Row],[DISC 1]])</f>
        <v/>
      </c>
      <c r="Z541" s="37" t="str">
        <f>IF(NOTA[[#This Row],[JUMLAH]]="","",(NOTA[[#This Row],[JUMLAH]]-NOTA[[#This Row],[DISC 1-]])*NOTA[[#This Row],[DISC 2]])</f>
        <v/>
      </c>
      <c r="AA541" s="37" t="str">
        <f>IF(NOTA[[#This Row],[JUMLAH]]="","",(NOTA[[#This Row],[JUMLAH]]-NOTA[[#This Row],[DISC 1-]]-NOTA[[#This Row],[DISC 2-]])*NOTA[[#This Row],[DISC 3]])</f>
        <v/>
      </c>
      <c r="AB541" s="37" t="str">
        <f>IF(NOTA[[#This Row],[JUMLAH]]="","",NOTA[[#This Row],[DISC 1-]]+NOTA[[#This Row],[DISC 2-]]+NOTA[[#This Row],[DISC 3-]])</f>
        <v/>
      </c>
      <c r="AC541" s="37" t="str">
        <f>IF(NOTA[[#This Row],[JUMLAH]]="","",NOTA[[#This Row],[JUMLAH]]-NOTA[[#This Row],[DISC]])</f>
        <v/>
      </c>
      <c r="AD541" s="37"/>
      <c r="AE5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1" s="37" t="str">
        <f>IF(OR(NOTA[[#This Row],[QTY]]="",NOTA[[#This Row],[HARGA SATUAN]]="",),"",NOTA[[#This Row],[QTY]]*NOTA[[#This Row],[HARGA SATUAN]])</f>
        <v/>
      </c>
      <c r="AI541" s="26" t="str">
        <f ca="1">IF(NOTA[[#This Row],[ID_H]]="","",INDEX(NOTA[TANGGAL],MATCH(,INDIRECT(ADDRESS(ROW(NOTA[TANGGAL]),COLUMN(NOTA[TANGGAL]))&amp;":"&amp;ADDRESS(ROW(),COLUMN(NOTA[TANGGAL]))),-1)))</f>
        <v/>
      </c>
      <c r="AJ541" s="26" t="str">
        <f ca="1">IF(NOTA[[#This Row],[ID_H]]="","",INDEX(NOTA[TGL.NOTA],MATCH(,INDIRECT(ADDRESS(ROW(NOTA[TGL.NOTA]),COLUMN(NOTA[TGL.NOTA]))&amp;":"&amp;ADDRESS(ROW(),COLUMN(NOTA[TGL.NOTA]))),-1)))</f>
        <v/>
      </c>
      <c r="AK541" s="26" t="str">
        <f ca="1">IF(NOTA[[#This Row],[ID_H]]="","",INDEX(NOTA[NO.NOTA],MATCH(NOTA[[#This Row],[ID_H]],NOTA[ID_H],0)))</f>
        <v/>
      </c>
      <c r="AL541" s="28" t="str">
        <f ca="1">IF(NOTA[[#This Row],[NAMA BARANG]]="","",INDEX(NOTA[SUPPLIER],MATCH(,INDIRECT(ADDRESS(ROW(NOTA[ID]),COLUMN(NOTA[ID]))&amp;":"&amp;ADDRESS(ROW(),COLUMN(NOTA[ID]))),-1)))</f>
        <v/>
      </c>
      <c r="AM541" s="28" t="str">
        <f ca="1">IF(NOTA[[#This Row],[ID_H]]="","",IF(NOTA[[#This Row],[FAKTUR]]="",INDIRECT(ADDRESS(ROW()-1,COLUMN())),NOTA[[#This Row],[FAKTUR]]))</f>
        <v/>
      </c>
      <c r="AN541" s="25" t="str">
        <f ca="1">IF(NOTA[[#This Row],[ID]]="","",COUNTIF(NOTA[ID_H],NOTA[[#This Row],[ID_H]]))</f>
        <v/>
      </c>
      <c r="AO541" s="25" t="str">
        <f ca="1">IF(NOTA[[#This Row],[TGL.NOTA]]="",IF(NOTA[[#This Row],[SUPPLIER_H]]="","",AO540),MONTH(NOTA[[#This Row],[TGL.NOTA]]))</f>
        <v/>
      </c>
      <c r="AP5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1" s="25"/>
      <c r="AU541" s="25" t="str">
        <f>IF(NOTA[[#This Row],[CONCAT1]]="","",MATCH(NOTA[[#This Row],[CONCAT1]],[3]!db[NB NOTA_C],0))</f>
        <v/>
      </c>
      <c r="AV541" s="25" t="str">
        <f>IF(NOTA[[#This Row],[QTY/ CTN]]="","",TRUE)</f>
        <v/>
      </c>
      <c r="AW541" s="25" t="str">
        <f ca="1">IF(NOTA[[#This Row],[ID_H]]="","",IF(NOTA[[#This Row],[Column3]]=TRUE,NOTA[[#This Row],[QTY/ CTN]],INDEX([3]!db[QTY/ CTN],NOTA[[#This Row],[//DB]])))</f>
        <v/>
      </c>
      <c r="AX5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1" s="25" t="str">
        <f ca="1">IF(NOTA[[#This Row],[ID_H]]="","",MATCH(NOTA[[#This Row],[NB NOTA_C_QTY]],[3]!db[NB NOTA_C_QTY+F],0))</f>
        <v/>
      </c>
      <c r="AZ541" s="38" t="str">
        <f ca="1">IF(NOTA[[#This Row],[NB NOTA_C_QTY]]="","",ROW()-2)</f>
        <v/>
      </c>
    </row>
    <row r="542" spans="1:52" ht="20.100000000000001" customHeight="1">
      <c r="A5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2" s="25" t="str">
        <f ca="1">IF(NOTA[[#This Row],[NAMA BARANG]]="","",INDEX(NOTA[ID],MATCH(,INDIRECT(ADDRESS(ROW(NOTA[ID]),COLUMN(NOTA[ID]))&amp;":"&amp;ADDRESS(ROW(),COLUMN(NOTA[ID]))),-1)))</f>
        <v/>
      </c>
      <c r="E542" s="33"/>
      <c r="H542" s="34"/>
      <c r="Q542" s="29"/>
      <c r="R542" s="35"/>
      <c r="S542" s="36"/>
      <c r="V542" s="37"/>
      <c r="W542" s="32"/>
      <c r="X542" s="37" t="str">
        <f>IF(NOTA[[#This Row],[HARGA/ CTN]]="",NOTA[[#This Row],[JUMLAH_H]],NOTA[[#This Row],[HARGA/ CTN]]*IF(NOTA[[#This Row],[C]]="",0,NOTA[[#This Row],[C]]))</f>
        <v/>
      </c>
      <c r="Y542" s="37" t="str">
        <f>IF(NOTA[[#This Row],[JUMLAH]]="","",NOTA[[#This Row],[JUMLAH]]*NOTA[[#This Row],[DISC 1]])</f>
        <v/>
      </c>
      <c r="Z542" s="37" t="str">
        <f>IF(NOTA[[#This Row],[JUMLAH]]="","",(NOTA[[#This Row],[JUMLAH]]-NOTA[[#This Row],[DISC 1-]])*NOTA[[#This Row],[DISC 2]])</f>
        <v/>
      </c>
      <c r="AA542" s="37" t="str">
        <f>IF(NOTA[[#This Row],[JUMLAH]]="","",(NOTA[[#This Row],[JUMLAH]]-NOTA[[#This Row],[DISC 1-]]-NOTA[[#This Row],[DISC 2-]])*NOTA[[#This Row],[DISC 3]])</f>
        <v/>
      </c>
      <c r="AB542" s="37" t="str">
        <f>IF(NOTA[[#This Row],[JUMLAH]]="","",NOTA[[#This Row],[DISC 1-]]+NOTA[[#This Row],[DISC 2-]]+NOTA[[#This Row],[DISC 3-]])</f>
        <v/>
      </c>
      <c r="AC542" s="37" t="str">
        <f>IF(NOTA[[#This Row],[JUMLAH]]="","",NOTA[[#This Row],[JUMLAH]]-NOTA[[#This Row],[DISC]])</f>
        <v/>
      </c>
      <c r="AD542" s="37"/>
      <c r="AE5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2" s="37" t="str">
        <f>IF(OR(NOTA[[#This Row],[QTY]]="",NOTA[[#This Row],[HARGA SATUAN]]="",),"",NOTA[[#This Row],[QTY]]*NOTA[[#This Row],[HARGA SATUAN]])</f>
        <v/>
      </c>
      <c r="AI542" s="26" t="str">
        <f ca="1">IF(NOTA[[#This Row],[ID_H]]="","",INDEX(NOTA[TANGGAL],MATCH(,INDIRECT(ADDRESS(ROW(NOTA[TANGGAL]),COLUMN(NOTA[TANGGAL]))&amp;":"&amp;ADDRESS(ROW(),COLUMN(NOTA[TANGGAL]))),-1)))</f>
        <v/>
      </c>
      <c r="AJ542" s="26" t="str">
        <f ca="1">IF(NOTA[[#This Row],[ID_H]]="","",INDEX(NOTA[TGL.NOTA],MATCH(,INDIRECT(ADDRESS(ROW(NOTA[TGL.NOTA]),COLUMN(NOTA[TGL.NOTA]))&amp;":"&amp;ADDRESS(ROW(),COLUMN(NOTA[TGL.NOTA]))),-1)))</f>
        <v/>
      </c>
      <c r="AK542" s="26" t="str">
        <f ca="1">IF(NOTA[[#This Row],[ID_H]]="","",INDEX(NOTA[NO.NOTA],MATCH(NOTA[[#This Row],[ID_H]],NOTA[ID_H],0)))</f>
        <v/>
      </c>
      <c r="AL542" s="28" t="str">
        <f ca="1">IF(NOTA[[#This Row],[NAMA BARANG]]="","",INDEX(NOTA[SUPPLIER],MATCH(,INDIRECT(ADDRESS(ROW(NOTA[ID]),COLUMN(NOTA[ID]))&amp;":"&amp;ADDRESS(ROW(),COLUMN(NOTA[ID]))),-1)))</f>
        <v/>
      </c>
      <c r="AM542" s="28" t="str">
        <f ca="1">IF(NOTA[[#This Row],[ID_H]]="","",IF(NOTA[[#This Row],[FAKTUR]]="",INDIRECT(ADDRESS(ROW()-1,COLUMN())),NOTA[[#This Row],[FAKTUR]]))</f>
        <v/>
      </c>
      <c r="AN542" s="25" t="str">
        <f ca="1">IF(NOTA[[#This Row],[ID]]="","",COUNTIF(NOTA[ID_H],NOTA[[#This Row],[ID_H]]))</f>
        <v/>
      </c>
      <c r="AO542" s="25" t="str">
        <f ca="1">IF(NOTA[[#This Row],[TGL.NOTA]]="",IF(NOTA[[#This Row],[SUPPLIER_H]]="","",AO541),MONTH(NOTA[[#This Row],[TGL.NOTA]]))</f>
        <v/>
      </c>
      <c r="AP5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2" s="25"/>
      <c r="AU542" s="25" t="str">
        <f>IF(NOTA[[#This Row],[CONCAT1]]="","",MATCH(NOTA[[#This Row],[CONCAT1]],[3]!db[NB NOTA_C],0))</f>
        <v/>
      </c>
      <c r="AV542" s="25" t="str">
        <f>IF(NOTA[[#This Row],[QTY/ CTN]]="","",TRUE)</f>
        <v/>
      </c>
      <c r="AW542" s="25" t="str">
        <f ca="1">IF(NOTA[[#This Row],[ID_H]]="","",IF(NOTA[[#This Row],[Column3]]=TRUE,NOTA[[#This Row],[QTY/ CTN]],INDEX([3]!db[QTY/ CTN],NOTA[[#This Row],[//DB]])))</f>
        <v/>
      </c>
      <c r="AX5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2" s="25" t="str">
        <f ca="1">IF(NOTA[[#This Row],[ID_H]]="","",MATCH(NOTA[[#This Row],[NB NOTA_C_QTY]],[3]!db[NB NOTA_C_QTY+F],0))</f>
        <v/>
      </c>
      <c r="AZ542" s="38" t="str">
        <f ca="1">IF(NOTA[[#This Row],[NB NOTA_C_QTY]]="","",ROW()-2)</f>
        <v/>
      </c>
    </row>
    <row r="543" spans="1:52" ht="20.100000000000001" customHeight="1">
      <c r="A5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3" s="25" t="str">
        <f ca="1">IF(NOTA[[#This Row],[NAMA BARANG]]="","",INDEX(NOTA[ID],MATCH(,INDIRECT(ADDRESS(ROW(NOTA[ID]),COLUMN(NOTA[ID]))&amp;":"&amp;ADDRESS(ROW(),COLUMN(NOTA[ID]))),-1)))</f>
        <v/>
      </c>
      <c r="E543" s="33"/>
      <c r="H543" s="34"/>
      <c r="Q543" s="29"/>
      <c r="R543" s="35"/>
      <c r="S543" s="36"/>
      <c r="V543" s="37"/>
      <c r="W543" s="32"/>
      <c r="X543" s="37" t="str">
        <f>IF(NOTA[[#This Row],[HARGA/ CTN]]="",NOTA[[#This Row],[JUMLAH_H]],NOTA[[#This Row],[HARGA/ CTN]]*IF(NOTA[[#This Row],[C]]="",0,NOTA[[#This Row],[C]]))</f>
        <v/>
      </c>
      <c r="Y543" s="37" t="str">
        <f>IF(NOTA[[#This Row],[JUMLAH]]="","",NOTA[[#This Row],[JUMLAH]]*NOTA[[#This Row],[DISC 1]])</f>
        <v/>
      </c>
      <c r="Z543" s="37" t="str">
        <f>IF(NOTA[[#This Row],[JUMLAH]]="","",(NOTA[[#This Row],[JUMLAH]]-NOTA[[#This Row],[DISC 1-]])*NOTA[[#This Row],[DISC 2]])</f>
        <v/>
      </c>
      <c r="AA543" s="37" t="str">
        <f>IF(NOTA[[#This Row],[JUMLAH]]="","",(NOTA[[#This Row],[JUMLAH]]-NOTA[[#This Row],[DISC 1-]]-NOTA[[#This Row],[DISC 2-]])*NOTA[[#This Row],[DISC 3]])</f>
        <v/>
      </c>
      <c r="AB543" s="37" t="str">
        <f>IF(NOTA[[#This Row],[JUMLAH]]="","",NOTA[[#This Row],[DISC 1-]]+NOTA[[#This Row],[DISC 2-]]+NOTA[[#This Row],[DISC 3-]])</f>
        <v/>
      </c>
      <c r="AC543" s="37" t="str">
        <f>IF(NOTA[[#This Row],[JUMLAH]]="","",NOTA[[#This Row],[JUMLAH]]-NOTA[[#This Row],[DISC]])</f>
        <v/>
      </c>
      <c r="AD543" s="37"/>
      <c r="AE5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3" s="37" t="str">
        <f>IF(OR(NOTA[[#This Row],[QTY]]="",NOTA[[#This Row],[HARGA SATUAN]]="",),"",NOTA[[#This Row],[QTY]]*NOTA[[#This Row],[HARGA SATUAN]])</f>
        <v/>
      </c>
      <c r="AI543" s="26" t="str">
        <f ca="1">IF(NOTA[[#This Row],[ID_H]]="","",INDEX(NOTA[TANGGAL],MATCH(,INDIRECT(ADDRESS(ROW(NOTA[TANGGAL]),COLUMN(NOTA[TANGGAL]))&amp;":"&amp;ADDRESS(ROW(),COLUMN(NOTA[TANGGAL]))),-1)))</f>
        <v/>
      </c>
      <c r="AJ543" s="26" t="str">
        <f ca="1">IF(NOTA[[#This Row],[ID_H]]="","",INDEX(NOTA[TGL.NOTA],MATCH(,INDIRECT(ADDRESS(ROW(NOTA[TGL.NOTA]),COLUMN(NOTA[TGL.NOTA]))&amp;":"&amp;ADDRESS(ROW(),COLUMN(NOTA[TGL.NOTA]))),-1)))</f>
        <v/>
      </c>
      <c r="AK543" s="26" t="str">
        <f ca="1">IF(NOTA[[#This Row],[ID_H]]="","",INDEX(NOTA[NO.NOTA],MATCH(NOTA[[#This Row],[ID_H]],NOTA[ID_H],0)))</f>
        <v/>
      </c>
      <c r="AL543" s="28" t="str">
        <f ca="1">IF(NOTA[[#This Row],[NAMA BARANG]]="","",INDEX(NOTA[SUPPLIER],MATCH(,INDIRECT(ADDRESS(ROW(NOTA[ID]),COLUMN(NOTA[ID]))&amp;":"&amp;ADDRESS(ROW(),COLUMN(NOTA[ID]))),-1)))</f>
        <v/>
      </c>
      <c r="AM543" s="28" t="str">
        <f ca="1">IF(NOTA[[#This Row],[ID_H]]="","",IF(NOTA[[#This Row],[FAKTUR]]="",INDIRECT(ADDRESS(ROW()-1,COLUMN())),NOTA[[#This Row],[FAKTUR]]))</f>
        <v/>
      </c>
      <c r="AN543" s="25" t="str">
        <f ca="1">IF(NOTA[[#This Row],[ID]]="","",COUNTIF(NOTA[ID_H],NOTA[[#This Row],[ID_H]]))</f>
        <v/>
      </c>
      <c r="AO543" s="25" t="str">
        <f ca="1">IF(NOTA[[#This Row],[TGL.NOTA]]="",IF(NOTA[[#This Row],[SUPPLIER_H]]="","",AO542),MONTH(NOTA[[#This Row],[TGL.NOTA]]))</f>
        <v/>
      </c>
      <c r="AP5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3" s="25"/>
      <c r="AU543" s="25" t="str">
        <f>IF(NOTA[[#This Row],[CONCAT1]]="","",MATCH(NOTA[[#This Row],[CONCAT1]],[3]!db[NB NOTA_C],0))</f>
        <v/>
      </c>
      <c r="AV543" s="25" t="str">
        <f>IF(NOTA[[#This Row],[QTY/ CTN]]="","",TRUE)</f>
        <v/>
      </c>
      <c r="AW543" s="25" t="str">
        <f ca="1">IF(NOTA[[#This Row],[ID_H]]="","",IF(NOTA[[#This Row],[Column3]]=TRUE,NOTA[[#This Row],[QTY/ CTN]],INDEX([3]!db[QTY/ CTN],NOTA[[#This Row],[//DB]])))</f>
        <v/>
      </c>
      <c r="AX5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3" s="25" t="str">
        <f ca="1">IF(NOTA[[#This Row],[ID_H]]="","",MATCH(NOTA[[#This Row],[NB NOTA_C_QTY]],[3]!db[NB NOTA_C_QTY+F],0))</f>
        <v/>
      </c>
      <c r="AZ543" s="38" t="str">
        <f ca="1">IF(NOTA[[#This Row],[NB NOTA_C_QTY]]="","",ROW()-2)</f>
        <v/>
      </c>
    </row>
    <row r="544" spans="1:52" ht="20.100000000000001" customHeight="1">
      <c r="A5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4" s="25" t="str">
        <f ca="1">IF(NOTA[[#This Row],[NAMA BARANG]]="","",INDEX(NOTA[ID],MATCH(,INDIRECT(ADDRESS(ROW(NOTA[ID]),COLUMN(NOTA[ID]))&amp;":"&amp;ADDRESS(ROW(),COLUMN(NOTA[ID]))),-1)))</f>
        <v/>
      </c>
      <c r="E544" s="33"/>
      <c r="H544" s="34"/>
      <c r="Q544" s="29"/>
      <c r="R544" s="35"/>
      <c r="S544" s="36"/>
      <c r="V544" s="37"/>
      <c r="W544" s="32"/>
      <c r="X544" s="37" t="str">
        <f>IF(NOTA[[#This Row],[HARGA/ CTN]]="",NOTA[[#This Row],[JUMLAH_H]],NOTA[[#This Row],[HARGA/ CTN]]*IF(NOTA[[#This Row],[C]]="",0,NOTA[[#This Row],[C]]))</f>
        <v/>
      </c>
      <c r="Y544" s="37" t="str">
        <f>IF(NOTA[[#This Row],[JUMLAH]]="","",NOTA[[#This Row],[JUMLAH]]*NOTA[[#This Row],[DISC 1]])</f>
        <v/>
      </c>
      <c r="Z544" s="37" t="str">
        <f>IF(NOTA[[#This Row],[JUMLAH]]="","",(NOTA[[#This Row],[JUMLAH]]-NOTA[[#This Row],[DISC 1-]])*NOTA[[#This Row],[DISC 2]])</f>
        <v/>
      </c>
      <c r="AA544" s="37" t="str">
        <f>IF(NOTA[[#This Row],[JUMLAH]]="","",(NOTA[[#This Row],[JUMLAH]]-NOTA[[#This Row],[DISC 1-]]-NOTA[[#This Row],[DISC 2-]])*NOTA[[#This Row],[DISC 3]])</f>
        <v/>
      </c>
      <c r="AB544" s="37" t="str">
        <f>IF(NOTA[[#This Row],[JUMLAH]]="","",NOTA[[#This Row],[DISC 1-]]+NOTA[[#This Row],[DISC 2-]]+NOTA[[#This Row],[DISC 3-]])</f>
        <v/>
      </c>
      <c r="AC544" s="37" t="str">
        <f>IF(NOTA[[#This Row],[JUMLAH]]="","",NOTA[[#This Row],[JUMLAH]]-NOTA[[#This Row],[DISC]])</f>
        <v/>
      </c>
      <c r="AD544" s="37"/>
      <c r="AE5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4" s="37" t="str">
        <f>IF(OR(NOTA[[#This Row],[QTY]]="",NOTA[[#This Row],[HARGA SATUAN]]="",),"",NOTA[[#This Row],[QTY]]*NOTA[[#This Row],[HARGA SATUAN]])</f>
        <v/>
      </c>
      <c r="AI544" s="26" t="str">
        <f ca="1">IF(NOTA[[#This Row],[ID_H]]="","",INDEX(NOTA[TANGGAL],MATCH(,INDIRECT(ADDRESS(ROW(NOTA[TANGGAL]),COLUMN(NOTA[TANGGAL]))&amp;":"&amp;ADDRESS(ROW(),COLUMN(NOTA[TANGGAL]))),-1)))</f>
        <v/>
      </c>
      <c r="AJ544" s="26" t="str">
        <f ca="1">IF(NOTA[[#This Row],[ID_H]]="","",INDEX(NOTA[TGL.NOTA],MATCH(,INDIRECT(ADDRESS(ROW(NOTA[TGL.NOTA]),COLUMN(NOTA[TGL.NOTA]))&amp;":"&amp;ADDRESS(ROW(),COLUMN(NOTA[TGL.NOTA]))),-1)))</f>
        <v/>
      </c>
      <c r="AK544" s="26" t="str">
        <f ca="1">IF(NOTA[[#This Row],[ID_H]]="","",INDEX(NOTA[NO.NOTA],MATCH(NOTA[[#This Row],[ID_H]],NOTA[ID_H],0)))</f>
        <v/>
      </c>
      <c r="AL544" s="28" t="str">
        <f ca="1">IF(NOTA[[#This Row],[NAMA BARANG]]="","",INDEX(NOTA[SUPPLIER],MATCH(,INDIRECT(ADDRESS(ROW(NOTA[ID]),COLUMN(NOTA[ID]))&amp;":"&amp;ADDRESS(ROW(),COLUMN(NOTA[ID]))),-1)))</f>
        <v/>
      </c>
      <c r="AM544" s="28" t="str">
        <f ca="1">IF(NOTA[[#This Row],[ID_H]]="","",IF(NOTA[[#This Row],[FAKTUR]]="",INDIRECT(ADDRESS(ROW()-1,COLUMN())),NOTA[[#This Row],[FAKTUR]]))</f>
        <v/>
      </c>
      <c r="AN544" s="25" t="str">
        <f ca="1">IF(NOTA[[#This Row],[ID]]="","",COUNTIF(NOTA[ID_H],NOTA[[#This Row],[ID_H]]))</f>
        <v/>
      </c>
      <c r="AO544" s="25" t="str">
        <f ca="1">IF(NOTA[[#This Row],[TGL.NOTA]]="",IF(NOTA[[#This Row],[SUPPLIER_H]]="","",AO543),MONTH(NOTA[[#This Row],[TGL.NOTA]]))</f>
        <v/>
      </c>
      <c r="AP5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4" s="25"/>
      <c r="AU544" s="25" t="str">
        <f>IF(NOTA[[#This Row],[CONCAT1]]="","",MATCH(NOTA[[#This Row],[CONCAT1]],[3]!db[NB NOTA_C],0))</f>
        <v/>
      </c>
      <c r="AV544" s="25" t="str">
        <f>IF(NOTA[[#This Row],[QTY/ CTN]]="","",TRUE)</f>
        <v/>
      </c>
      <c r="AW544" s="25" t="str">
        <f ca="1">IF(NOTA[[#This Row],[ID_H]]="","",IF(NOTA[[#This Row],[Column3]]=TRUE,NOTA[[#This Row],[QTY/ CTN]],INDEX([3]!db[QTY/ CTN],NOTA[[#This Row],[//DB]])))</f>
        <v/>
      </c>
      <c r="AX5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4" s="25" t="str">
        <f ca="1">IF(NOTA[[#This Row],[ID_H]]="","",MATCH(NOTA[[#This Row],[NB NOTA_C_QTY]],[3]!db[NB NOTA_C_QTY+F],0))</f>
        <v/>
      </c>
      <c r="AZ544" s="38" t="str">
        <f ca="1">IF(NOTA[[#This Row],[NB NOTA_C_QTY]]="","",ROW()-2)</f>
        <v/>
      </c>
    </row>
    <row r="545" spans="1:52" ht="20.100000000000001" customHeight="1">
      <c r="A5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5" s="25" t="str">
        <f ca="1">IF(NOTA[[#This Row],[NAMA BARANG]]="","",INDEX(NOTA[ID],MATCH(,INDIRECT(ADDRESS(ROW(NOTA[ID]),COLUMN(NOTA[ID]))&amp;":"&amp;ADDRESS(ROW(),COLUMN(NOTA[ID]))),-1)))</f>
        <v/>
      </c>
      <c r="E545" s="33"/>
      <c r="H545" s="34"/>
      <c r="Q545" s="29"/>
      <c r="R545" s="35"/>
      <c r="S545" s="36"/>
      <c r="V545" s="37"/>
      <c r="W545" s="32"/>
      <c r="X545" s="37" t="str">
        <f>IF(NOTA[[#This Row],[HARGA/ CTN]]="",NOTA[[#This Row],[JUMLAH_H]],NOTA[[#This Row],[HARGA/ CTN]]*IF(NOTA[[#This Row],[C]]="",0,NOTA[[#This Row],[C]]))</f>
        <v/>
      </c>
      <c r="Y545" s="37" t="str">
        <f>IF(NOTA[[#This Row],[JUMLAH]]="","",NOTA[[#This Row],[JUMLAH]]*NOTA[[#This Row],[DISC 1]])</f>
        <v/>
      </c>
      <c r="Z545" s="37" t="str">
        <f>IF(NOTA[[#This Row],[JUMLAH]]="","",(NOTA[[#This Row],[JUMLAH]]-NOTA[[#This Row],[DISC 1-]])*NOTA[[#This Row],[DISC 2]])</f>
        <v/>
      </c>
      <c r="AA545" s="37" t="str">
        <f>IF(NOTA[[#This Row],[JUMLAH]]="","",(NOTA[[#This Row],[JUMLAH]]-NOTA[[#This Row],[DISC 1-]]-NOTA[[#This Row],[DISC 2-]])*NOTA[[#This Row],[DISC 3]])</f>
        <v/>
      </c>
      <c r="AB545" s="37" t="str">
        <f>IF(NOTA[[#This Row],[JUMLAH]]="","",NOTA[[#This Row],[DISC 1-]]+NOTA[[#This Row],[DISC 2-]]+NOTA[[#This Row],[DISC 3-]])</f>
        <v/>
      </c>
      <c r="AC545" s="37" t="str">
        <f>IF(NOTA[[#This Row],[JUMLAH]]="","",NOTA[[#This Row],[JUMLAH]]-NOTA[[#This Row],[DISC]])</f>
        <v/>
      </c>
      <c r="AD545" s="37"/>
      <c r="AE5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5" s="37" t="str">
        <f>IF(OR(NOTA[[#This Row],[QTY]]="",NOTA[[#This Row],[HARGA SATUAN]]="",),"",NOTA[[#This Row],[QTY]]*NOTA[[#This Row],[HARGA SATUAN]])</f>
        <v/>
      </c>
      <c r="AI545" s="26" t="str">
        <f ca="1">IF(NOTA[[#This Row],[ID_H]]="","",INDEX(NOTA[TANGGAL],MATCH(,INDIRECT(ADDRESS(ROW(NOTA[TANGGAL]),COLUMN(NOTA[TANGGAL]))&amp;":"&amp;ADDRESS(ROW(),COLUMN(NOTA[TANGGAL]))),-1)))</f>
        <v/>
      </c>
      <c r="AJ545" s="26" t="str">
        <f ca="1">IF(NOTA[[#This Row],[ID_H]]="","",INDEX(NOTA[TGL.NOTA],MATCH(,INDIRECT(ADDRESS(ROW(NOTA[TGL.NOTA]),COLUMN(NOTA[TGL.NOTA]))&amp;":"&amp;ADDRESS(ROW(),COLUMN(NOTA[TGL.NOTA]))),-1)))</f>
        <v/>
      </c>
      <c r="AK545" s="26" t="str">
        <f ca="1">IF(NOTA[[#This Row],[ID_H]]="","",INDEX(NOTA[NO.NOTA],MATCH(NOTA[[#This Row],[ID_H]],NOTA[ID_H],0)))</f>
        <v/>
      </c>
      <c r="AL545" s="28" t="str">
        <f ca="1">IF(NOTA[[#This Row],[NAMA BARANG]]="","",INDEX(NOTA[SUPPLIER],MATCH(,INDIRECT(ADDRESS(ROW(NOTA[ID]),COLUMN(NOTA[ID]))&amp;":"&amp;ADDRESS(ROW(),COLUMN(NOTA[ID]))),-1)))</f>
        <v/>
      </c>
      <c r="AM545" s="28" t="str">
        <f ca="1">IF(NOTA[[#This Row],[ID_H]]="","",IF(NOTA[[#This Row],[FAKTUR]]="",INDIRECT(ADDRESS(ROW()-1,COLUMN())),NOTA[[#This Row],[FAKTUR]]))</f>
        <v/>
      </c>
      <c r="AN545" s="25" t="str">
        <f ca="1">IF(NOTA[[#This Row],[ID]]="","",COUNTIF(NOTA[ID_H],NOTA[[#This Row],[ID_H]]))</f>
        <v/>
      </c>
      <c r="AO545" s="25" t="str">
        <f ca="1">IF(NOTA[[#This Row],[TGL.NOTA]]="",IF(NOTA[[#This Row],[SUPPLIER_H]]="","",AO544),MONTH(NOTA[[#This Row],[TGL.NOTA]]))</f>
        <v/>
      </c>
      <c r="AP5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5" s="25"/>
      <c r="AU545" s="25" t="str">
        <f>IF(NOTA[[#This Row],[CONCAT1]]="","",MATCH(NOTA[[#This Row],[CONCAT1]],[3]!db[NB NOTA_C],0))</f>
        <v/>
      </c>
      <c r="AV545" s="25" t="str">
        <f>IF(NOTA[[#This Row],[QTY/ CTN]]="","",TRUE)</f>
        <v/>
      </c>
      <c r="AW545" s="25" t="str">
        <f ca="1">IF(NOTA[[#This Row],[ID_H]]="","",IF(NOTA[[#This Row],[Column3]]=TRUE,NOTA[[#This Row],[QTY/ CTN]],INDEX([3]!db[QTY/ CTN],NOTA[[#This Row],[//DB]])))</f>
        <v/>
      </c>
      <c r="AX5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5" s="25" t="str">
        <f ca="1">IF(NOTA[[#This Row],[ID_H]]="","",MATCH(NOTA[[#This Row],[NB NOTA_C_QTY]],[3]!db[NB NOTA_C_QTY+F],0))</f>
        <v/>
      </c>
      <c r="AZ545" s="38" t="str">
        <f ca="1">IF(NOTA[[#This Row],[NB NOTA_C_QTY]]="","",ROW()-2)</f>
        <v/>
      </c>
    </row>
    <row r="546" spans="1:52" ht="20.100000000000001" customHeight="1">
      <c r="A5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6" s="25" t="str">
        <f ca="1">IF(NOTA[[#This Row],[NAMA BARANG]]="","",INDEX(NOTA[ID],MATCH(,INDIRECT(ADDRESS(ROW(NOTA[ID]),COLUMN(NOTA[ID]))&amp;":"&amp;ADDRESS(ROW(),COLUMN(NOTA[ID]))),-1)))</f>
        <v/>
      </c>
      <c r="E546" s="33"/>
      <c r="H546" s="34"/>
      <c r="Q546" s="29"/>
      <c r="R546" s="35"/>
      <c r="S546" s="36"/>
      <c r="V546" s="37"/>
      <c r="W546" s="32"/>
      <c r="X546" s="37" t="str">
        <f>IF(NOTA[[#This Row],[HARGA/ CTN]]="",NOTA[[#This Row],[JUMLAH_H]],NOTA[[#This Row],[HARGA/ CTN]]*IF(NOTA[[#This Row],[C]]="",0,NOTA[[#This Row],[C]]))</f>
        <v/>
      </c>
      <c r="Y546" s="37" t="str">
        <f>IF(NOTA[[#This Row],[JUMLAH]]="","",NOTA[[#This Row],[JUMLAH]]*NOTA[[#This Row],[DISC 1]])</f>
        <v/>
      </c>
      <c r="Z546" s="37" t="str">
        <f>IF(NOTA[[#This Row],[JUMLAH]]="","",(NOTA[[#This Row],[JUMLAH]]-NOTA[[#This Row],[DISC 1-]])*NOTA[[#This Row],[DISC 2]])</f>
        <v/>
      </c>
      <c r="AA546" s="37" t="str">
        <f>IF(NOTA[[#This Row],[JUMLAH]]="","",(NOTA[[#This Row],[JUMLAH]]-NOTA[[#This Row],[DISC 1-]]-NOTA[[#This Row],[DISC 2-]])*NOTA[[#This Row],[DISC 3]])</f>
        <v/>
      </c>
      <c r="AB546" s="37" t="str">
        <f>IF(NOTA[[#This Row],[JUMLAH]]="","",NOTA[[#This Row],[DISC 1-]]+NOTA[[#This Row],[DISC 2-]]+NOTA[[#This Row],[DISC 3-]])</f>
        <v/>
      </c>
      <c r="AC546" s="37" t="str">
        <f>IF(NOTA[[#This Row],[JUMLAH]]="","",NOTA[[#This Row],[JUMLAH]]-NOTA[[#This Row],[DISC]])</f>
        <v/>
      </c>
      <c r="AD546" s="37"/>
      <c r="AE5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6" s="37" t="str">
        <f>IF(OR(NOTA[[#This Row],[QTY]]="",NOTA[[#This Row],[HARGA SATUAN]]="",),"",NOTA[[#This Row],[QTY]]*NOTA[[#This Row],[HARGA SATUAN]])</f>
        <v/>
      </c>
      <c r="AI546" s="26" t="str">
        <f ca="1">IF(NOTA[[#This Row],[ID_H]]="","",INDEX(NOTA[TANGGAL],MATCH(,INDIRECT(ADDRESS(ROW(NOTA[TANGGAL]),COLUMN(NOTA[TANGGAL]))&amp;":"&amp;ADDRESS(ROW(),COLUMN(NOTA[TANGGAL]))),-1)))</f>
        <v/>
      </c>
      <c r="AJ546" s="26" t="str">
        <f ca="1">IF(NOTA[[#This Row],[ID_H]]="","",INDEX(NOTA[TGL.NOTA],MATCH(,INDIRECT(ADDRESS(ROW(NOTA[TGL.NOTA]),COLUMN(NOTA[TGL.NOTA]))&amp;":"&amp;ADDRESS(ROW(),COLUMN(NOTA[TGL.NOTA]))),-1)))</f>
        <v/>
      </c>
      <c r="AK546" s="26" t="str">
        <f ca="1">IF(NOTA[[#This Row],[ID_H]]="","",INDEX(NOTA[NO.NOTA],MATCH(NOTA[[#This Row],[ID_H]],NOTA[ID_H],0)))</f>
        <v/>
      </c>
      <c r="AL546" s="28" t="str">
        <f ca="1">IF(NOTA[[#This Row],[NAMA BARANG]]="","",INDEX(NOTA[SUPPLIER],MATCH(,INDIRECT(ADDRESS(ROW(NOTA[ID]),COLUMN(NOTA[ID]))&amp;":"&amp;ADDRESS(ROW(),COLUMN(NOTA[ID]))),-1)))</f>
        <v/>
      </c>
      <c r="AM546" s="28" t="str">
        <f ca="1">IF(NOTA[[#This Row],[ID_H]]="","",IF(NOTA[[#This Row],[FAKTUR]]="",INDIRECT(ADDRESS(ROW()-1,COLUMN())),NOTA[[#This Row],[FAKTUR]]))</f>
        <v/>
      </c>
      <c r="AN546" s="25" t="str">
        <f ca="1">IF(NOTA[[#This Row],[ID]]="","",COUNTIF(NOTA[ID_H],NOTA[[#This Row],[ID_H]]))</f>
        <v/>
      </c>
      <c r="AO546" s="25" t="str">
        <f ca="1">IF(NOTA[[#This Row],[TGL.NOTA]]="",IF(NOTA[[#This Row],[SUPPLIER_H]]="","",AO545),MONTH(NOTA[[#This Row],[TGL.NOTA]]))</f>
        <v/>
      </c>
      <c r="AP5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6" s="25"/>
      <c r="AU546" s="25" t="str">
        <f>IF(NOTA[[#This Row],[CONCAT1]]="","",MATCH(NOTA[[#This Row],[CONCAT1]],[3]!db[NB NOTA_C],0))</f>
        <v/>
      </c>
      <c r="AV546" s="25" t="str">
        <f>IF(NOTA[[#This Row],[QTY/ CTN]]="","",TRUE)</f>
        <v/>
      </c>
      <c r="AW546" s="25" t="str">
        <f ca="1">IF(NOTA[[#This Row],[ID_H]]="","",IF(NOTA[[#This Row],[Column3]]=TRUE,NOTA[[#This Row],[QTY/ CTN]],INDEX([3]!db[QTY/ CTN],NOTA[[#This Row],[//DB]])))</f>
        <v/>
      </c>
      <c r="AX5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6" s="25" t="str">
        <f ca="1">IF(NOTA[[#This Row],[ID_H]]="","",MATCH(NOTA[[#This Row],[NB NOTA_C_QTY]],[3]!db[NB NOTA_C_QTY+F],0))</f>
        <v/>
      </c>
      <c r="AZ546" s="38" t="str">
        <f ca="1">IF(NOTA[[#This Row],[NB NOTA_C_QTY]]="","",ROW()-2)</f>
        <v/>
      </c>
    </row>
    <row r="547" spans="1:52" ht="20.100000000000001" customHeight="1">
      <c r="A5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7" s="25" t="str">
        <f ca="1">IF(NOTA[[#This Row],[NAMA BARANG]]="","",INDEX(NOTA[ID],MATCH(,INDIRECT(ADDRESS(ROW(NOTA[ID]),COLUMN(NOTA[ID]))&amp;":"&amp;ADDRESS(ROW(),COLUMN(NOTA[ID]))),-1)))</f>
        <v/>
      </c>
      <c r="E547" s="33"/>
      <c r="H547" s="34"/>
      <c r="Q547" s="29"/>
      <c r="R547" s="35"/>
      <c r="S547" s="36"/>
      <c r="V547" s="37"/>
      <c r="W547" s="32"/>
      <c r="X547" s="37" t="str">
        <f>IF(NOTA[[#This Row],[HARGA/ CTN]]="",NOTA[[#This Row],[JUMLAH_H]],NOTA[[#This Row],[HARGA/ CTN]]*IF(NOTA[[#This Row],[C]]="",0,NOTA[[#This Row],[C]]))</f>
        <v/>
      </c>
      <c r="Y547" s="37" t="str">
        <f>IF(NOTA[[#This Row],[JUMLAH]]="","",NOTA[[#This Row],[JUMLAH]]*NOTA[[#This Row],[DISC 1]])</f>
        <v/>
      </c>
      <c r="Z547" s="37" t="str">
        <f>IF(NOTA[[#This Row],[JUMLAH]]="","",(NOTA[[#This Row],[JUMLAH]]-NOTA[[#This Row],[DISC 1-]])*NOTA[[#This Row],[DISC 2]])</f>
        <v/>
      </c>
      <c r="AA547" s="37" t="str">
        <f>IF(NOTA[[#This Row],[JUMLAH]]="","",(NOTA[[#This Row],[JUMLAH]]-NOTA[[#This Row],[DISC 1-]]-NOTA[[#This Row],[DISC 2-]])*NOTA[[#This Row],[DISC 3]])</f>
        <v/>
      </c>
      <c r="AB547" s="37" t="str">
        <f>IF(NOTA[[#This Row],[JUMLAH]]="","",NOTA[[#This Row],[DISC 1-]]+NOTA[[#This Row],[DISC 2-]]+NOTA[[#This Row],[DISC 3-]])</f>
        <v/>
      </c>
      <c r="AC547" s="37" t="str">
        <f>IF(NOTA[[#This Row],[JUMLAH]]="","",NOTA[[#This Row],[JUMLAH]]-NOTA[[#This Row],[DISC]])</f>
        <v/>
      </c>
      <c r="AD547" s="37"/>
      <c r="AE5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7" s="37" t="str">
        <f>IF(OR(NOTA[[#This Row],[QTY]]="",NOTA[[#This Row],[HARGA SATUAN]]="",),"",NOTA[[#This Row],[QTY]]*NOTA[[#This Row],[HARGA SATUAN]])</f>
        <v/>
      </c>
      <c r="AI547" s="26" t="str">
        <f ca="1">IF(NOTA[[#This Row],[ID_H]]="","",INDEX(NOTA[TANGGAL],MATCH(,INDIRECT(ADDRESS(ROW(NOTA[TANGGAL]),COLUMN(NOTA[TANGGAL]))&amp;":"&amp;ADDRESS(ROW(),COLUMN(NOTA[TANGGAL]))),-1)))</f>
        <v/>
      </c>
      <c r="AJ547" s="26" t="str">
        <f ca="1">IF(NOTA[[#This Row],[ID_H]]="","",INDEX(NOTA[TGL.NOTA],MATCH(,INDIRECT(ADDRESS(ROW(NOTA[TGL.NOTA]),COLUMN(NOTA[TGL.NOTA]))&amp;":"&amp;ADDRESS(ROW(),COLUMN(NOTA[TGL.NOTA]))),-1)))</f>
        <v/>
      </c>
      <c r="AK547" s="26" t="str">
        <f ca="1">IF(NOTA[[#This Row],[ID_H]]="","",INDEX(NOTA[NO.NOTA],MATCH(NOTA[[#This Row],[ID_H]],NOTA[ID_H],0)))</f>
        <v/>
      </c>
      <c r="AL547" s="28" t="str">
        <f ca="1">IF(NOTA[[#This Row],[NAMA BARANG]]="","",INDEX(NOTA[SUPPLIER],MATCH(,INDIRECT(ADDRESS(ROW(NOTA[ID]),COLUMN(NOTA[ID]))&amp;":"&amp;ADDRESS(ROW(),COLUMN(NOTA[ID]))),-1)))</f>
        <v/>
      </c>
      <c r="AM547" s="28" t="str">
        <f ca="1">IF(NOTA[[#This Row],[ID_H]]="","",IF(NOTA[[#This Row],[FAKTUR]]="",INDIRECT(ADDRESS(ROW()-1,COLUMN())),NOTA[[#This Row],[FAKTUR]]))</f>
        <v/>
      </c>
      <c r="AN547" s="25" t="str">
        <f ca="1">IF(NOTA[[#This Row],[ID]]="","",COUNTIF(NOTA[ID_H],NOTA[[#This Row],[ID_H]]))</f>
        <v/>
      </c>
      <c r="AO547" s="25" t="str">
        <f ca="1">IF(NOTA[[#This Row],[TGL.NOTA]]="",IF(NOTA[[#This Row],[SUPPLIER_H]]="","",AO546),MONTH(NOTA[[#This Row],[TGL.NOTA]]))</f>
        <v/>
      </c>
      <c r="AP5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7" s="25"/>
      <c r="AU547" s="25" t="str">
        <f>IF(NOTA[[#This Row],[CONCAT1]]="","",MATCH(NOTA[[#This Row],[CONCAT1]],[3]!db[NB NOTA_C],0))</f>
        <v/>
      </c>
      <c r="AV547" s="25" t="str">
        <f>IF(NOTA[[#This Row],[QTY/ CTN]]="","",TRUE)</f>
        <v/>
      </c>
      <c r="AW547" s="25" t="str">
        <f ca="1">IF(NOTA[[#This Row],[ID_H]]="","",IF(NOTA[[#This Row],[Column3]]=TRUE,NOTA[[#This Row],[QTY/ CTN]],INDEX([3]!db[QTY/ CTN],NOTA[[#This Row],[//DB]])))</f>
        <v/>
      </c>
      <c r="AX5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7" s="25" t="str">
        <f ca="1">IF(NOTA[[#This Row],[ID_H]]="","",MATCH(NOTA[[#This Row],[NB NOTA_C_QTY]],[3]!db[NB NOTA_C_QTY+F],0))</f>
        <v/>
      </c>
      <c r="AZ547" s="38" t="str">
        <f ca="1">IF(NOTA[[#This Row],[NB NOTA_C_QTY]]="","",ROW()-2)</f>
        <v/>
      </c>
    </row>
    <row r="548" spans="1:52" ht="20.100000000000001" customHeight="1">
      <c r="A5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8" s="25" t="str">
        <f ca="1">IF(NOTA[[#This Row],[NAMA BARANG]]="","",INDEX(NOTA[ID],MATCH(,INDIRECT(ADDRESS(ROW(NOTA[ID]),COLUMN(NOTA[ID]))&amp;":"&amp;ADDRESS(ROW(),COLUMN(NOTA[ID]))),-1)))</f>
        <v/>
      </c>
      <c r="E548" s="33"/>
      <c r="H548" s="34"/>
      <c r="Q548" s="29"/>
      <c r="R548" s="35"/>
      <c r="S548" s="36"/>
      <c r="V548" s="37"/>
      <c r="W548" s="32"/>
      <c r="X548" s="37" t="str">
        <f>IF(NOTA[[#This Row],[HARGA/ CTN]]="",NOTA[[#This Row],[JUMLAH_H]],NOTA[[#This Row],[HARGA/ CTN]]*IF(NOTA[[#This Row],[C]]="",0,NOTA[[#This Row],[C]]))</f>
        <v/>
      </c>
      <c r="Y548" s="37" t="str">
        <f>IF(NOTA[[#This Row],[JUMLAH]]="","",NOTA[[#This Row],[JUMLAH]]*NOTA[[#This Row],[DISC 1]])</f>
        <v/>
      </c>
      <c r="Z548" s="37" t="str">
        <f>IF(NOTA[[#This Row],[JUMLAH]]="","",(NOTA[[#This Row],[JUMLAH]]-NOTA[[#This Row],[DISC 1-]])*NOTA[[#This Row],[DISC 2]])</f>
        <v/>
      </c>
      <c r="AA548" s="37" t="str">
        <f>IF(NOTA[[#This Row],[JUMLAH]]="","",(NOTA[[#This Row],[JUMLAH]]-NOTA[[#This Row],[DISC 1-]]-NOTA[[#This Row],[DISC 2-]])*NOTA[[#This Row],[DISC 3]])</f>
        <v/>
      </c>
      <c r="AB548" s="37" t="str">
        <f>IF(NOTA[[#This Row],[JUMLAH]]="","",NOTA[[#This Row],[DISC 1-]]+NOTA[[#This Row],[DISC 2-]]+NOTA[[#This Row],[DISC 3-]])</f>
        <v/>
      </c>
      <c r="AC548" s="37" t="str">
        <f>IF(NOTA[[#This Row],[JUMLAH]]="","",NOTA[[#This Row],[JUMLAH]]-NOTA[[#This Row],[DISC]])</f>
        <v/>
      </c>
      <c r="AD548" s="37"/>
      <c r="AE5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8" s="37" t="str">
        <f>IF(OR(NOTA[[#This Row],[QTY]]="",NOTA[[#This Row],[HARGA SATUAN]]="",),"",NOTA[[#This Row],[QTY]]*NOTA[[#This Row],[HARGA SATUAN]])</f>
        <v/>
      </c>
      <c r="AI548" s="26" t="str">
        <f ca="1">IF(NOTA[[#This Row],[ID_H]]="","",INDEX(NOTA[TANGGAL],MATCH(,INDIRECT(ADDRESS(ROW(NOTA[TANGGAL]),COLUMN(NOTA[TANGGAL]))&amp;":"&amp;ADDRESS(ROW(),COLUMN(NOTA[TANGGAL]))),-1)))</f>
        <v/>
      </c>
      <c r="AJ548" s="26" t="str">
        <f ca="1">IF(NOTA[[#This Row],[ID_H]]="","",INDEX(NOTA[TGL.NOTA],MATCH(,INDIRECT(ADDRESS(ROW(NOTA[TGL.NOTA]),COLUMN(NOTA[TGL.NOTA]))&amp;":"&amp;ADDRESS(ROW(),COLUMN(NOTA[TGL.NOTA]))),-1)))</f>
        <v/>
      </c>
      <c r="AK548" s="26" t="str">
        <f ca="1">IF(NOTA[[#This Row],[ID_H]]="","",INDEX(NOTA[NO.NOTA],MATCH(NOTA[[#This Row],[ID_H]],NOTA[ID_H],0)))</f>
        <v/>
      </c>
      <c r="AL548" s="28" t="str">
        <f ca="1">IF(NOTA[[#This Row],[NAMA BARANG]]="","",INDEX(NOTA[SUPPLIER],MATCH(,INDIRECT(ADDRESS(ROW(NOTA[ID]),COLUMN(NOTA[ID]))&amp;":"&amp;ADDRESS(ROW(),COLUMN(NOTA[ID]))),-1)))</f>
        <v/>
      </c>
      <c r="AM548" s="28" t="str">
        <f ca="1">IF(NOTA[[#This Row],[ID_H]]="","",IF(NOTA[[#This Row],[FAKTUR]]="",INDIRECT(ADDRESS(ROW()-1,COLUMN())),NOTA[[#This Row],[FAKTUR]]))</f>
        <v/>
      </c>
      <c r="AN548" s="25" t="str">
        <f ca="1">IF(NOTA[[#This Row],[ID]]="","",COUNTIF(NOTA[ID_H],NOTA[[#This Row],[ID_H]]))</f>
        <v/>
      </c>
      <c r="AO548" s="25" t="str">
        <f ca="1">IF(NOTA[[#This Row],[TGL.NOTA]]="",IF(NOTA[[#This Row],[SUPPLIER_H]]="","",AO547),MONTH(NOTA[[#This Row],[TGL.NOTA]]))</f>
        <v/>
      </c>
      <c r="AP5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8" s="25"/>
      <c r="AU548" s="25" t="str">
        <f>IF(NOTA[[#This Row],[CONCAT1]]="","",MATCH(NOTA[[#This Row],[CONCAT1]],[3]!db[NB NOTA_C],0))</f>
        <v/>
      </c>
      <c r="AV548" s="25" t="str">
        <f>IF(NOTA[[#This Row],[QTY/ CTN]]="","",TRUE)</f>
        <v/>
      </c>
      <c r="AW548" s="25" t="str">
        <f ca="1">IF(NOTA[[#This Row],[ID_H]]="","",IF(NOTA[[#This Row],[Column3]]=TRUE,NOTA[[#This Row],[QTY/ CTN]],INDEX([3]!db[QTY/ CTN],NOTA[[#This Row],[//DB]])))</f>
        <v/>
      </c>
      <c r="AX5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8" s="25" t="str">
        <f ca="1">IF(NOTA[[#This Row],[ID_H]]="","",MATCH(NOTA[[#This Row],[NB NOTA_C_QTY]],[3]!db[NB NOTA_C_QTY+F],0))</f>
        <v/>
      </c>
      <c r="AZ548" s="38" t="str">
        <f ca="1">IF(NOTA[[#This Row],[NB NOTA_C_QTY]]="","",ROW()-2)</f>
        <v/>
      </c>
    </row>
    <row r="549" spans="1:52" ht="20.100000000000001" customHeight="1">
      <c r="A5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9" s="25" t="str">
        <f ca="1">IF(NOTA[[#This Row],[NAMA BARANG]]="","",INDEX(NOTA[ID],MATCH(,INDIRECT(ADDRESS(ROW(NOTA[ID]),COLUMN(NOTA[ID]))&amp;":"&amp;ADDRESS(ROW(),COLUMN(NOTA[ID]))),-1)))</f>
        <v/>
      </c>
      <c r="E549" s="33"/>
      <c r="H549" s="34"/>
      <c r="Q549" s="29"/>
      <c r="R549" s="35"/>
      <c r="S549" s="36"/>
      <c r="V549" s="37"/>
      <c r="W549" s="32"/>
      <c r="X549" s="37" t="str">
        <f>IF(NOTA[[#This Row],[HARGA/ CTN]]="",NOTA[[#This Row],[JUMLAH_H]],NOTA[[#This Row],[HARGA/ CTN]]*IF(NOTA[[#This Row],[C]]="",0,NOTA[[#This Row],[C]]))</f>
        <v/>
      </c>
      <c r="Y549" s="37" t="str">
        <f>IF(NOTA[[#This Row],[JUMLAH]]="","",NOTA[[#This Row],[JUMLAH]]*NOTA[[#This Row],[DISC 1]])</f>
        <v/>
      </c>
      <c r="Z549" s="37" t="str">
        <f>IF(NOTA[[#This Row],[JUMLAH]]="","",(NOTA[[#This Row],[JUMLAH]]-NOTA[[#This Row],[DISC 1-]])*NOTA[[#This Row],[DISC 2]])</f>
        <v/>
      </c>
      <c r="AA549" s="37" t="str">
        <f>IF(NOTA[[#This Row],[JUMLAH]]="","",(NOTA[[#This Row],[JUMLAH]]-NOTA[[#This Row],[DISC 1-]]-NOTA[[#This Row],[DISC 2-]])*NOTA[[#This Row],[DISC 3]])</f>
        <v/>
      </c>
      <c r="AB549" s="37" t="str">
        <f>IF(NOTA[[#This Row],[JUMLAH]]="","",NOTA[[#This Row],[DISC 1-]]+NOTA[[#This Row],[DISC 2-]]+NOTA[[#This Row],[DISC 3-]])</f>
        <v/>
      </c>
      <c r="AC549" s="37" t="str">
        <f>IF(NOTA[[#This Row],[JUMLAH]]="","",NOTA[[#This Row],[JUMLAH]]-NOTA[[#This Row],[DISC]])</f>
        <v/>
      </c>
      <c r="AD549" s="37"/>
      <c r="AE5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9" s="37" t="str">
        <f>IF(OR(NOTA[[#This Row],[QTY]]="",NOTA[[#This Row],[HARGA SATUAN]]="",),"",NOTA[[#This Row],[QTY]]*NOTA[[#This Row],[HARGA SATUAN]])</f>
        <v/>
      </c>
      <c r="AI549" s="26" t="str">
        <f ca="1">IF(NOTA[[#This Row],[ID_H]]="","",INDEX(NOTA[TANGGAL],MATCH(,INDIRECT(ADDRESS(ROW(NOTA[TANGGAL]),COLUMN(NOTA[TANGGAL]))&amp;":"&amp;ADDRESS(ROW(),COLUMN(NOTA[TANGGAL]))),-1)))</f>
        <v/>
      </c>
      <c r="AJ549" s="26" t="str">
        <f ca="1">IF(NOTA[[#This Row],[ID_H]]="","",INDEX(NOTA[TGL.NOTA],MATCH(,INDIRECT(ADDRESS(ROW(NOTA[TGL.NOTA]),COLUMN(NOTA[TGL.NOTA]))&amp;":"&amp;ADDRESS(ROW(),COLUMN(NOTA[TGL.NOTA]))),-1)))</f>
        <v/>
      </c>
      <c r="AK549" s="26" t="str">
        <f ca="1">IF(NOTA[[#This Row],[ID_H]]="","",INDEX(NOTA[NO.NOTA],MATCH(NOTA[[#This Row],[ID_H]],NOTA[ID_H],0)))</f>
        <v/>
      </c>
      <c r="AL549" s="28" t="str">
        <f ca="1">IF(NOTA[[#This Row],[NAMA BARANG]]="","",INDEX(NOTA[SUPPLIER],MATCH(,INDIRECT(ADDRESS(ROW(NOTA[ID]),COLUMN(NOTA[ID]))&amp;":"&amp;ADDRESS(ROW(),COLUMN(NOTA[ID]))),-1)))</f>
        <v/>
      </c>
      <c r="AM549" s="28" t="str">
        <f ca="1">IF(NOTA[[#This Row],[ID_H]]="","",IF(NOTA[[#This Row],[FAKTUR]]="",INDIRECT(ADDRESS(ROW()-1,COLUMN())),NOTA[[#This Row],[FAKTUR]]))</f>
        <v/>
      </c>
      <c r="AN549" s="25" t="str">
        <f ca="1">IF(NOTA[[#This Row],[ID]]="","",COUNTIF(NOTA[ID_H],NOTA[[#This Row],[ID_H]]))</f>
        <v/>
      </c>
      <c r="AO549" s="25" t="str">
        <f ca="1">IF(NOTA[[#This Row],[TGL.NOTA]]="",IF(NOTA[[#This Row],[SUPPLIER_H]]="","",AO548),MONTH(NOTA[[#This Row],[TGL.NOTA]]))</f>
        <v/>
      </c>
      <c r="AP5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9" s="25"/>
      <c r="AU549" s="25" t="str">
        <f>IF(NOTA[[#This Row],[CONCAT1]]="","",MATCH(NOTA[[#This Row],[CONCAT1]],[3]!db[NB NOTA_C],0))</f>
        <v/>
      </c>
      <c r="AV549" s="25" t="str">
        <f>IF(NOTA[[#This Row],[QTY/ CTN]]="","",TRUE)</f>
        <v/>
      </c>
      <c r="AW549" s="25" t="str">
        <f ca="1">IF(NOTA[[#This Row],[ID_H]]="","",IF(NOTA[[#This Row],[Column3]]=TRUE,NOTA[[#This Row],[QTY/ CTN]],INDEX([3]!db[QTY/ CTN],NOTA[[#This Row],[//DB]])))</f>
        <v/>
      </c>
      <c r="AX5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9" s="25" t="str">
        <f ca="1">IF(NOTA[[#This Row],[ID_H]]="","",MATCH(NOTA[[#This Row],[NB NOTA_C_QTY]],[3]!db[NB NOTA_C_QTY+F],0))</f>
        <v/>
      </c>
      <c r="AZ549" s="38" t="str">
        <f ca="1">IF(NOTA[[#This Row],[NB NOTA_C_QTY]]="","",ROW()-2)</f>
        <v/>
      </c>
    </row>
    <row r="550" spans="1:52" ht="20.100000000000001" customHeight="1">
      <c r="A5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0" s="25" t="str">
        <f ca="1">IF(NOTA[[#This Row],[NAMA BARANG]]="","",INDEX(NOTA[ID],MATCH(,INDIRECT(ADDRESS(ROW(NOTA[ID]),COLUMN(NOTA[ID]))&amp;":"&amp;ADDRESS(ROW(),COLUMN(NOTA[ID]))),-1)))</f>
        <v/>
      </c>
      <c r="E550" s="33"/>
      <c r="H550" s="34"/>
      <c r="Q550" s="29"/>
      <c r="R550" s="35"/>
      <c r="S550" s="36"/>
      <c r="V550" s="37"/>
      <c r="W550" s="32"/>
      <c r="X550" s="37" t="str">
        <f>IF(NOTA[[#This Row],[HARGA/ CTN]]="",NOTA[[#This Row],[JUMLAH_H]],NOTA[[#This Row],[HARGA/ CTN]]*IF(NOTA[[#This Row],[C]]="",0,NOTA[[#This Row],[C]]))</f>
        <v/>
      </c>
      <c r="Y550" s="37" t="str">
        <f>IF(NOTA[[#This Row],[JUMLAH]]="","",NOTA[[#This Row],[JUMLAH]]*NOTA[[#This Row],[DISC 1]])</f>
        <v/>
      </c>
      <c r="Z550" s="37" t="str">
        <f>IF(NOTA[[#This Row],[JUMLAH]]="","",(NOTA[[#This Row],[JUMLAH]]-NOTA[[#This Row],[DISC 1-]])*NOTA[[#This Row],[DISC 2]])</f>
        <v/>
      </c>
      <c r="AA550" s="37" t="str">
        <f>IF(NOTA[[#This Row],[JUMLAH]]="","",(NOTA[[#This Row],[JUMLAH]]-NOTA[[#This Row],[DISC 1-]]-NOTA[[#This Row],[DISC 2-]])*NOTA[[#This Row],[DISC 3]])</f>
        <v/>
      </c>
      <c r="AB550" s="37" t="str">
        <f>IF(NOTA[[#This Row],[JUMLAH]]="","",NOTA[[#This Row],[DISC 1-]]+NOTA[[#This Row],[DISC 2-]]+NOTA[[#This Row],[DISC 3-]])</f>
        <v/>
      </c>
      <c r="AC550" s="37" t="str">
        <f>IF(NOTA[[#This Row],[JUMLAH]]="","",NOTA[[#This Row],[JUMLAH]]-NOTA[[#This Row],[DISC]])</f>
        <v/>
      </c>
      <c r="AD550" s="37"/>
      <c r="AE5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0" s="37" t="str">
        <f>IF(OR(NOTA[[#This Row],[QTY]]="",NOTA[[#This Row],[HARGA SATUAN]]="",),"",NOTA[[#This Row],[QTY]]*NOTA[[#This Row],[HARGA SATUAN]])</f>
        <v/>
      </c>
      <c r="AI550" s="26" t="str">
        <f ca="1">IF(NOTA[[#This Row],[ID_H]]="","",INDEX(NOTA[TANGGAL],MATCH(,INDIRECT(ADDRESS(ROW(NOTA[TANGGAL]),COLUMN(NOTA[TANGGAL]))&amp;":"&amp;ADDRESS(ROW(),COLUMN(NOTA[TANGGAL]))),-1)))</f>
        <v/>
      </c>
      <c r="AJ550" s="26" t="str">
        <f ca="1">IF(NOTA[[#This Row],[ID_H]]="","",INDEX(NOTA[TGL.NOTA],MATCH(,INDIRECT(ADDRESS(ROW(NOTA[TGL.NOTA]),COLUMN(NOTA[TGL.NOTA]))&amp;":"&amp;ADDRESS(ROW(),COLUMN(NOTA[TGL.NOTA]))),-1)))</f>
        <v/>
      </c>
      <c r="AK550" s="26" t="str">
        <f ca="1">IF(NOTA[[#This Row],[ID_H]]="","",INDEX(NOTA[NO.NOTA],MATCH(NOTA[[#This Row],[ID_H]],NOTA[ID_H],0)))</f>
        <v/>
      </c>
      <c r="AL550" s="28" t="str">
        <f ca="1">IF(NOTA[[#This Row],[NAMA BARANG]]="","",INDEX(NOTA[SUPPLIER],MATCH(,INDIRECT(ADDRESS(ROW(NOTA[ID]),COLUMN(NOTA[ID]))&amp;":"&amp;ADDRESS(ROW(),COLUMN(NOTA[ID]))),-1)))</f>
        <v/>
      </c>
      <c r="AM550" s="28" t="str">
        <f ca="1">IF(NOTA[[#This Row],[ID_H]]="","",IF(NOTA[[#This Row],[FAKTUR]]="",INDIRECT(ADDRESS(ROW()-1,COLUMN())),NOTA[[#This Row],[FAKTUR]]))</f>
        <v/>
      </c>
      <c r="AN550" s="25" t="str">
        <f ca="1">IF(NOTA[[#This Row],[ID]]="","",COUNTIF(NOTA[ID_H],NOTA[[#This Row],[ID_H]]))</f>
        <v/>
      </c>
      <c r="AO550" s="25" t="str">
        <f ca="1">IF(NOTA[[#This Row],[TGL.NOTA]]="",IF(NOTA[[#This Row],[SUPPLIER_H]]="","",AO549),MONTH(NOTA[[#This Row],[TGL.NOTA]]))</f>
        <v/>
      </c>
      <c r="AP5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0" s="25"/>
      <c r="AU550" s="25" t="str">
        <f>IF(NOTA[[#This Row],[CONCAT1]]="","",MATCH(NOTA[[#This Row],[CONCAT1]],[3]!db[NB NOTA_C],0))</f>
        <v/>
      </c>
      <c r="AV550" s="25" t="str">
        <f>IF(NOTA[[#This Row],[QTY/ CTN]]="","",TRUE)</f>
        <v/>
      </c>
      <c r="AW550" s="25" t="str">
        <f ca="1">IF(NOTA[[#This Row],[ID_H]]="","",IF(NOTA[[#This Row],[Column3]]=TRUE,NOTA[[#This Row],[QTY/ CTN]],INDEX([3]!db[QTY/ CTN],NOTA[[#This Row],[//DB]])))</f>
        <v/>
      </c>
      <c r="AX5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0" s="25" t="str">
        <f ca="1">IF(NOTA[[#This Row],[ID_H]]="","",MATCH(NOTA[[#This Row],[NB NOTA_C_QTY]],[3]!db[NB NOTA_C_QTY+F],0))</f>
        <v/>
      </c>
      <c r="AZ550" s="38" t="str">
        <f ca="1">IF(NOTA[[#This Row],[NB NOTA_C_QTY]]="","",ROW()-2)</f>
        <v/>
      </c>
    </row>
    <row r="551" spans="1:52" ht="20.100000000000001" customHeight="1">
      <c r="A5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1" s="25" t="str">
        <f ca="1">IF(NOTA[[#This Row],[NAMA BARANG]]="","",INDEX(NOTA[ID],MATCH(,INDIRECT(ADDRESS(ROW(NOTA[ID]),COLUMN(NOTA[ID]))&amp;":"&amp;ADDRESS(ROW(),COLUMN(NOTA[ID]))),-1)))</f>
        <v/>
      </c>
      <c r="E551" s="33"/>
      <c r="H551" s="34"/>
      <c r="Q551" s="29"/>
      <c r="R551" s="35"/>
      <c r="S551" s="36"/>
      <c r="V551" s="37"/>
      <c r="W551" s="32"/>
      <c r="X551" s="37" t="str">
        <f>IF(NOTA[[#This Row],[HARGA/ CTN]]="",NOTA[[#This Row],[JUMLAH_H]],NOTA[[#This Row],[HARGA/ CTN]]*IF(NOTA[[#This Row],[C]]="",0,NOTA[[#This Row],[C]]))</f>
        <v/>
      </c>
      <c r="Y551" s="37" t="str">
        <f>IF(NOTA[[#This Row],[JUMLAH]]="","",NOTA[[#This Row],[JUMLAH]]*NOTA[[#This Row],[DISC 1]])</f>
        <v/>
      </c>
      <c r="Z551" s="37" t="str">
        <f>IF(NOTA[[#This Row],[JUMLAH]]="","",(NOTA[[#This Row],[JUMLAH]]-NOTA[[#This Row],[DISC 1-]])*NOTA[[#This Row],[DISC 2]])</f>
        <v/>
      </c>
      <c r="AA551" s="37" t="str">
        <f>IF(NOTA[[#This Row],[JUMLAH]]="","",(NOTA[[#This Row],[JUMLAH]]-NOTA[[#This Row],[DISC 1-]]-NOTA[[#This Row],[DISC 2-]])*NOTA[[#This Row],[DISC 3]])</f>
        <v/>
      </c>
      <c r="AB551" s="37" t="str">
        <f>IF(NOTA[[#This Row],[JUMLAH]]="","",NOTA[[#This Row],[DISC 1-]]+NOTA[[#This Row],[DISC 2-]]+NOTA[[#This Row],[DISC 3-]])</f>
        <v/>
      </c>
      <c r="AC551" s="37" t="str">
        <f>IF(NOTA[[#This Row],[JUMLAH]]="","",NOTA[[#This Row],[JUMLAH]]-NOTA[[#This Row],[DISC]])</f>
        <v/>
      </c>
      <c r="AD551" s="37"/>
      <c r="AE5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1" s="37" t="str">
        <f>IF(OR(NOTA[[#This Row],[QTY]]="",NOTA[[#This Row],[HARGA SATUAN]]="",),"",NOTA[[#This Row],[QTY]]*NOTA[[#This Row],[HARGA SATUAN]])</f>
        <v/>
      </c>
      <c r="AI551" s="26" t="str">
        <f ca="1">IF(NOTA[[#This Row],[ID_H]]="","",INDEX(NOTA[TANGGAL],MATCH(,INDIRECT(ADDRESS(ROW(NOTA[TANGGAL]),COLUMN(NOTA[TANGGAL]))&amp;":"&amp;ADDRESS(ROW(),COLUMN(NOTA[TANGGAL]))),-1)))</f>
        <v/>
      </c>
      <c r="AJ551" s="26" t="str">
        <f ca="1">IF(NOTA[[#This Row],[ID_H]]="","",INDEX(NOTA[TGL.NOTA],MATCH(,INDIRECT(ADDRESS(ROW(NOTA[TGL.NOTA]),COLUMN(NOTA[TGL.NOTA]))&amp;":"&amp;ADDRESS(ROW(),COLUMN(NOTA[TGL.NOTA]))),-1)))</f>
        <v/>
      </c>
      <c r="AK551" s="26" t="str">
        <f ca="1">IF(NOTA[[#This Row],[ID_H]]="","",INDEX(NOTA[NO.NOTA],MATCH(NOTA[[#This Row],[ID_H]],NOTA[ID_H],0)))</f>
        <v/>
      </c>
      <c r="AL551" s="28" t="str">
        <f ca="1">IF(NOTA[[#This Row],[NAMA BARANG]]="","",INDEX(NOTA[SUPPLIER],MATCH(,INDIRECT(ADDRESS(ROW(NOTA[ID]),COLUMN(NOTA[ID]))&amp;":"&amp;ADDRESS(ROW(),COLUMN(NOTA[ID]))),-1)))</f>
        <v/>
      </c>
      <c r="AM551" s="28" t="str">
        <f ca="1">IF(NOTA[[#This Row],[ID_H]]="","",IF(NOTA[[#This Row],[FAKTUR]]="",INDIRECT(ADDRESS(ROW()-1,COLUMN())),NOTA[[#This Row],[FAKTUR]]))</f>
        <v/>
      </c>
      <c r="AN551" s="25" t="str">
        <f ca="1">IF(NOTA[[#This Row],[ID]]="","",COUNTIF(NOTA[ID_H],NOTA[[#This Row],[ID_H]]))</f>
        <v/>
      </c>
      <c r="AO551" s="25" t="str">
        <f ca="1">IF(NOTA[[#This Row],[TGL.NOTA]]="",IF(NOTA[[#This Row],[SUPPLIER_H]]="","",AO550),MONTH(NOTA[[#This Row],[TGL.NOTA]]))</f>
        <v/>
      </c>
      <c r="AP5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1" s="25"/>
      <c r="AU551" s="25" t="str">
        <f>IF(NOTA[[#This Row],[CONCAT1]]="","",MATCH(NOTA[[#This Row],[CONCAT1]],[3]!db[NB NOTA_C],0))</f>
        <v/>
      </c>
      <c r="AV551" s="25" t="str">
        <f>IF(NOTA[[#This Row],[QTY/ CTN]]="","",TRUE)</f>
        <v/>
      </c>
      <c r="AW551" s="25" t="str">
        <f ca="1">IF(NOTA[[#This Row],[ID_H]]="","",IF(NOTA[[#This Row],[Column3]]=TRUE,NOTA[[#This Row],[QTY/ CTN]],INDEX([3]!db[QTY/ CTN],NOTA[[#This Row],[//DB]])))</f>
        <v/>
      </c>
      <c r="AX5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1" s="25" t="str">
        <f ca="1">IF(NOTA[[#This Row],[ID_H]]="","",MATCH(NOTA[[#This Row],[NB NOTA_C_QTY]],[3]!db[NB NOTA_C_QTY+F],0))</f>
        <v/>
      </c>
      <c r="AZ551" s="38" t="str">
        <f ca="1">IF(NOTA[[#This Row],[NB NOTA_C_QTY]]="","",ROW()-2)</f>
        <v/>
      </c>
    </row>
    <row r="552" spans="1:52" ht="20.100000000000001" customHeight="1">
      <c r="A5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2" s="25" t="str">
        <f ca="1">IF(NOTA[[#This Row],[NAMA BARANG]]="","",INDEX(NOTA[ID],MATCH(,INDIRECT(ADDRESS(ROW(NOTA[ID]),COLUMN(NOTA[ID]))&amp;":"&amp;ADDRESS(ROW(),COLUMN(NOTA[ID]))),-1)))</f>
        <v/>
      </c>
      <c r="E552" s="33"/>
      <c r="H552" s="34"/>
      <c r="Q552" s="29"/>
      <c r="R552" s="35"/>
      <c r="S552" s="36"/>
      <c r="V552" s="37"/>
      <c r="W552" s="32"/>
      <c r="X552" s="37" t="str">
        <f>IF(NOTA[[#This Row],[HARGA/ CTN]]="",NOTA[[#This Row],[JUMLAH_H]],NOTA[[#This Row],[HARGA/ CTN]]*IF(NOTA[[#This Row],[C]]="",0,NOTA[[#This Row],[C]]))</f>
        <v/>
      </c>
      <c r="Y552" s="37" t="str">
        <f>IF(NOTA[[#This Row],[JUMLAH]]="","",NOTA[[#This Row],[JUMLAH]]*NOTA[[#This Row],[DISC 1]])</f>
        <v/>
      </c>
      <c r="Z552" s="37" t="str">
        <f>IF(NOTA[[#This Row],[JUMLAH]]="","",(NOTA[[#This Row],[JUMLAH]]-NOTA[[#This Row],[DISC 1-]])*NOTA[[#This Row],[DISC 2]])</f>
        <v/>
      </c>
      <c r="AA552" s="37" t="str">
        <f>IF(NOTA[[#This Row],[JUMLAH]]="","",(NOTA[[#This Row],[JUMLAH]]-NOTA[[#This Row],[DISC 1-]]-NOTA[[#This Row],[DISC 2-]])*NOTA[[#This Row],[DISC 3]])</f>
        <v/>
      </c>
      <c r="AB552" s="37" t="str">
        <f>IF(NOTA[[#This Row],[JUMLAH]]="","",NOTA[[#This Row],[DISC 1-]]+NOTA[[#This Row],[DISC 2-]]+NOTA[[#This Row],[DISC 3-]])</f>
        <v/>
      </c>
      <c r="AC552" s="37" t="str">
        <f>IF(NOTA[[#This Row],[JUMLAH]]="","",NOTA[[#This Row],[JUMLAH]]-NOTA[[#This Row],[DISC]])</f>
        <v/>
      </c>
      <c r="AD552" s="37"/>
      <c r="AE5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2" s="37" t="str">
        <f>IF(OR(NOTA[[#This Row],[QTY]]="",NOTA[[#This Row],[HARGA SATUAN]]="",),"",NOTA[[#This Row],[QTY]]*NOTA[[#This Row],[HARGA SATUAN]])</f>
        <v/>
      </c>
      <c r="AI552" s="26" t="str">
        <f ca="1">IF(NOTA[[#This Row],[ID_H]]="","",INDEX(NOTA[TANGGAL],MATCH(,INDIRECT(ADDRESS(ROW(NOTA[TANGGAL]),COLUMN(NOTA[TANGGAL]))&amp;":"&amp;ADDRESS(ROW(),COLUMN(NOTA[TANGGAL]))),-1)))</f>
        <v/>
      </c>
      <c r="AJ552" s="26" t="str">
        <f ca="1">IF(NOTA[[#This Row],[ID_H]]="","",INDEX(NOTA[TGL.NOTA],MATCH(,INDIRECT(ADDRESS(ROW(NOTA[TGL.NOTA]),COLUMN(NOTA[TGL.NOTA]))&amp;":"&amp;ADDRESS(ROW(),COLUMN(NOTA[TGL.NOTA]))),-1)))</f>
        <v/>
      </c>
      <c r="AK552" s="26" t="str">
        <f ca="1">IF(NOTA[[#This Row],[ID_H]]="","",INDEX(NOTA[NO.NOTA],MATCH(NOTA[[#This Row],[ID_H]],NOTA[ID_H],0)))</f>
        <v/>
      </c>
      <c r="AL552" s="28" t="str">
        <f ca="1">IF(NOTA[[#This Row],[NAMA BARANG]]="","",INDEX(NOTA[SUPPLIER],MATCH(,INDIRECT(ADDRESS(ROW(NOTA[ID]),COLUMN(NOTA[ID]))&amp;":"&amp;ADDRESS(ROW(),COLUMN(NOTA[ID]))),-1)))</f>
        <v/>
      </c>
      <c r="AM552" s="28" t="str">
        <f ca="1">IF(NOTA[[#This Row],[ID_H]]="","",IF(NOTA[[#This Row],[FAKTUR]]="",INDIRECT(ADDRESS(ROW()-1,COLUMN())),NOTA[[#This Row],[FAKTUR]]))</f>
        <v/>
      </c>
      <c r="AN552" s="25" t="str">
        <f ca="1">IF(NOTA[[#This Row],[ID]]="","",COUNTIF(NOTA[ID_H],NOTA[[#This Row],[ID_H]]))</f>
        <v/>
      </c>
      <c r="AO552" s="25" t="str">
        <f ca="1">IF(NOTA[[#This Row],[TGL.NOTA]]="",IF(NOTA[[#This Row],[SUPPLIER_H]]="","",AO551),MONTH(NOTA[[#This Row],[TGL.NOTA]]))</f>
        <v/>
      </c>
      <c r="AP5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2" s="25"/>
      <c r="AU552" s="25" t="str">
        <f>IF(NOTA[[#This Row],[CONCAT1]]="","",MATCH(NOTA[[#This Row],[CONCAT1]],[3]!db[NB NOTA_C],0))</f>
        <v/>
      </c>
      <c r="AV552" s="25" t="str">
        <f>IF(NOTA[[#This Row],[QTY/ CTN]]="","",TRUE)</f>
        <v/>
      </c>
      <c r="AW552" s="25" t="str">
        <f ca="1">IF(NOTA[[#This Row],[ID_H]]="","",IF(NOTA[[#This Row],[Column3]]=TRUE,NOTA[[#This Row],[QTY/ CTN]],INDEX([3]!db[QTY/ CTN],NOTA[[#This Row],[//DB]])))</f>
        <v/>
      </c>
      <c r="AX5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2" s="25" t="str">
        <f ca="1">IF(NOTA[[#This Row],[ID_H]]="","",MATCH(NOTA[[#This Row],[NB NOTA_C_QTY]],[3]!db[NB NOTA_C_QTY+F],0))</f>
        <v/>
      </c>
      <c r="AZ552" s="38" t="str">
        <f ca="1">IF(NOTA[[#This Row],[NB NOTA_C_QTY]]="","",ROW()-2)</f>
        <v/>
      </c>
    </row>
    <row r="553" spans="1:52" ht="20.100000000000001" customHeight="1">
      <c r="A5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3" s="25" t="str">
        <f ca="1">IF(NOTA[[#This Row],[NAMA BARANG]]="","",INDEX(NOTA[ID],MATCH(,INDIRECT(ADDRESS(ROW(NOTA[ID]),COLUMN(NOTA[ID]))&amp;":"&amp;ADDRESS(ROW(),COLUMN(NOTA[ID]))),-1)))</f>
        <v/>
      </c>
      <c r="E553" s="33"/>
      <c r="H553" s="34"/>
      <c r="Q553" s="29"/>
      <c r="R553" s="35"/>
      <c r="S553" s="36"/>
      <c r="V553" s="37"/>
      <c r="W553" s="32"/>
      <c r="X553" s="37" t="str">
        <f>IF(NOTA[[#This Row],[HARGA/ CTN]]="",NOTA[[#This Row],[JUMLAH_H]],NOTA[[#This Row],[HARGA/ CTN]]*IF(NOTA[[#This Row],[C]]="",0,NOTA[[#This Row],[C]]))</f>
        <v/>
      </c>
      <c r="Y553" s="37" t="str">
        <f>IF(NOTA[[#This Row],[JUMLAH]]="","",NOTA[[#This Row],[JUMLAH]]*NOTA[[#This Row],[DISC 1]])</f>
        <v/>
      </c>
      <c r="Z553" s="37" t="str">
        <f>IF(NOTA[[#This Row],[JUMLAH]]="","",(NOTA[[#This Row],[JUMLAH]]-NOTA[[#This Row],[DISC 1-]])*NOTA[[#This Row],[DISC 2]])</f>
        <v/>
      </c>
      <c r="AA553" s="37" t="str">
        <f>IF(NOTA[[#This Row],[JUMLAH]]="","",(NOTA[[#This Row],[JUMLAH]]-NOTA[[#This Row],[DISC 1-]]-NOTA[[#This Row],[DISC 2-]])*NOTA[[#This Row],[DISC 3]])</f>
        <v/>
      </c>
      <c r="AB553" s="37" t="str">
        <f>IF(NOTA[[#This Row],[JUMLAH]]="","",NOTA[[#This Row],[DISC 1-]]+NOTA[[#This Row],[DISC 2-]]+NOTA[[#This Row],[DISC 3-]])</f>
        <v/>
      </c>
      <c r="AC553" s="37" t="str">
        <f>IF(NOTA[[#This Row],[JUMLAH]]="","",NOTA[[#This Row],[JUMLAH]]-NOTA[[#This Row],[DISC]])</f>
        <v/>
      </c>
      <c r="AD553" s="37"/>
      <c r="AE5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3" s="37" t="str">
        <f>IF(OR(NOTA[[#This Row],[QTY]]="",NOTA[[#This Row],[HARGA SATUAN]]="",),"",NOTA[[#This Row],[QTY]]*NOTA[[#This Row],[HARGA SATUAN]])</f>
        <v/>
      </c>
      <c r="AI553" s="26" t="str">
        <f ca="1">IF(NOTA[[#This Row],[ID_H]]="","",INDEX(NOTA[TANGGAL],MATCH(,INDIRECT(ADDRESS(ROW(NOTA[TANGGAL]),COLUMN(NOTA[TANGGAL]))&amp;":"&amp;ADDRESS(ROW(),COLUMN(NOTA[TANGGAL]))),-1)))</f>
        <v/>
      </c>
      <c r="AJ553" s="26" t="str">
        <f ca="1">IF(NOTA[[#This Row],[ID_H]]="","",INDEX(NOTA[TGL.NOTA],MATCH(,INDIRECT(ADDRESS(ROW(NOTA[TGL.NOTA]),COLUMN(NOTA[TGL.NOTA]))&amp;":"&amp;ADDRESS(ROW(),COLUMN(NOTA[TGL.NOTA]))),-1)))</f>
        <v/>
      </c>
      <c r="AK553" s="26" t="str">
        <f ca="1">IF(NOTA[[#This Row],[ID_H]]="","",INDEX(NOTA[NO.NOTA],MATCH(NOTA[[#This Row],[ID_H]],NOTA[ID_H],0)))</f>
        <v/>
      </c>
      <c r="AL553" s="28" t="str">
        <f ca="1">IF(NOTA[[#This Row],[NAMA BARANG]]="","",INDEX(NOTA[SUPPLIER],MATCH(,INDIRECT(ADDRESS(ROW(NOTA[ID]),COLUMN(NOTA[ID]))&amp;":"&amp;ADDRESS(ROW(),COLUMN(NOTA[ID]))),-1)))</f>
        <v/>
      </c>
      <c r="AM553" s="28" t="str">
        <f ca="1">IF(NOTA[[#This Row],[ID_H]]="","",IF(NOTA[[#This Row],[FAKTUR]]="",INDIRECT(ADDRESS(ROW()-1,COLUMN())),NOTA[[#This Row],[FAKTUR]]))</f>
        <v/>
      </c>
      <c r="AN553" s="25" t="str">
        <f ca="1">IF(NOTA[[#This Row],[ID]]="","",COUNTIF(NOTA[ID_H],NOTA[[#This Row],[ID_H]]))</f>
        <v/>
      </c>
      <c r="AO553" s="25" t="str">
        <f ca="1">IF(NOTA[[#This Row],[TGL.NOTA]]="",IF(NOTA[[#This Row],[SUPPLIER_H]]="","",AO552),MONTH(NOTA[[#This Row],[TGL.NOTA]]))</f>
        <v/>
      </c>
      <c r="AP5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3" s="25"/>
      <c r="AU553" s="25" t="str">
        <f>IF(NOTA[[#This Row],[CONCAT1]]="","",MATCH(NOTA[[#This Row],[CONCAT1]],[3]!db[NB NOTA_C],0))</f>
        <v/>
      </c>
      <c r="AV553" s="25" t="str">
        <f>IF(NOTA[[#This Row],[QTY/ CTN]]="","",TRUE)</f>
        <v/>
      </c>
      <c r="AW553" s="25" t="str">
        <f ca="1">IF(NOTA[[#This Row],[ID_H]]="","",IF(NOTA[[#This Row],[Column3]]=TRUE,NOTA[[#This Row],[QTY/ CTN]],INDEX([3]!db[QTY/ CTN],NOTA[[#This Row],[//DB]])))</f>
        <v/>
      </c>
      <c r="AX5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3" s="25" t="str">
        <f ca="1">IF(NOTA[[#This Row],[ID_H]]="","",MATCH(NOTA[[#This Row],[NB NOTA_C_QTY]],[3]!db[NB NOTA_C_QTY+F],0))</f>
        <v/>
      </c>
      <c r="AZ553" s="38" t="str">
        <f ca="1">IF(NOTA[[#This Row],[NB NOTA_C_QTY]]="","",ROW()-2)</f>
        <v/>
      </c>
    </row>
    <row r="554" spans="1:52" ht="20.100000000000001" customHeight="1">
      <c r="A5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4" s="25" t="str">
        <f ca="1">IF(NOTA[[#This Row],[NAMA BARANG]]="","",INDEX(NOTA[ID],MATCH(,INDIRECT(ADDRESS(ROW(NOTA[ID]),COLUMN(NOTA[ID]))&amp;":"&amp;ADDRESS(ROW(),COLUMN(NOTA[ID]))),-1)))</f>
        <v/>
      </c>
      <c r="E554" s="33"/>
      <c r="H554" s="34"/>
      <c r="Q554" s="29"/>
      <c r="R554" s="35"/>
      <c r="S554" s="36"/>
      <c r="V554" s="37"/>
      <c r="W554" s="32"/>
      <c r="X554" s="37" t="str">
        <f>IF(NOTA[[#This Row],[HARGA/ CTN]]="",NOTA[[#This Row],[JUMLAH_H]],NOTA[[#This Row],[HARGA/ CTN]]*IF(NOTA[[#This Row],[C]]="",0,NOTA[[#This Row],[C]]))</f>
        <v/>
      </c>
      <c r="Y554" s="37" t="str">
        <f>IF(NOTA[[#This Row],[JUMLAH]]="","",NOTA[[#This Row],[JUMLAH]]*NOTA[[#This Row],[DISC 1]])</f>
        <v/>
      </c>
      <c r="Z554" s="37" t="str">
        <f>IF(NOTA[[#This Row],[JUMLAH]]="","",(NOTA[[#This Row],[JUMLAH]]-NOTA[[#This Row],[DISC 1-]])*NOTA[[#This Row],[DISC 2]])</f>
        <v/>
      </c>
      <c r="AA554" s="37" t="str">
        <f>IF(NOTA[[#This Row],[JUMLAH]]="","",(NOTA[[#This Row],[JUMLAH]]-NOTA[[#This Row],[DISC 1-]]-NOTA[[#This Row],[DISC 2-]])*NOTA[[#This Row],[DISC 3]])</f>
        <v/>
      </c>
      <c r="AB554" s="37" t="str">
        <f>IF(NOTA[[#This Row],[JUMLAH]]="","",NOTA[[#This Row],[DISC 1-]]+NOTA[[#This Row],[DISC 2-]]+NOTA[[#This Row],[DISC 3-]])</f>
        <v/>
      </c>
      <c r="AC554" s="37" t="str">
        <f>IF(NOTA[[#This Row],[JUMLAH]]="","",NOTA[[#This Row],[JUMLAH]]-NOTA[[#This Row],[DISC]])</f>
        <v/>
      </c>
      <c r="AD554" s="37"/>
      <c r="AE5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4" s="37" t="str">
        <f>IF(OR(NOTA[[#This Row],[QTY]]="",NOTA[[#This Row],[HARGA SATUAN]]="",),"",NOTA[[#This Row],[QTY]]*NOTA[[#This Row],[HARGA SATUAN]])</f>
        <v/>
      </c>
      <c r="AI554" s="26" t="str">
        <f ca="1">IF(NOTA[[#This Row],[ID_H]]="","",INDEX(NOTA[TANGGAL],MATCH(,INDIRECT(ADDRESS(ROW(NOTA[TANGGAL]),COLUMN(NOTA[TANGGAL]))&amp;":"&amp;ADDRESS(ROW(),COLUMN(NOTA[TANGGAL]))),-1)))</f>
        <v/>
      </c>
      <c r="AJ554" s="26" t="str">
        <f ca="1">IF(NOTA[[#This Row],[ID_H]]="","",INDEX(NOTA[TGL.NOTA],MATCH(,INDIRECT(ADDRESS(ROW(NOTA[TGL.NOTA]),COLUMN(NOTA[TGL.NOTA]))&amp;":"&amp;ADDRESS(ROW(),COLUMN(NOTA[TGL.NOTA]))),-1)))</f>
        <v/>
      </c>
      <c r="AK554" s="26" t="str">
        <f ca="1">IF(NOTA[[#This Row],[ID_H]]="","",INDEX(NOTA[NO.NOTA],MATCH(NOTA[[#This Row],[ID_H]],NOTA[ID_H],0)))</f>
        <v/>
      </c>
      <c r="AL554" s="28" t="str">
        <f ca="1">IF(NOTA[[#This Row],[NAMA BARANG]]="","",INDEX(NOTA[SUPPLIER],MATCH(,INDIRECT(ADDRESS(ROW(NOTA[ID]),COLUMN(NOTA[ID]))&amp;":"&amp;ADDRESS(ROW(),COLUMN(NOTA[ID]))),-1)))</f>
        <v/>
      </c>
      <c r="AM554" s="28" t="str">
        <f ca="1">IF(NOTA[[#This Row],[ID_H]]="","",IF(NOTA[[#This Row],[FAKTUR]]="",INDIRECT(ADDRESS(ROW()-1,COLUMN())),NOTA[[#This Row],[FAKTUR]]))</f>
        <v/>
      </c>
      <c r="AN554" s="25" t="str">
        <f ca="1">IF(NOTA[[#This Row],[ID]]="","",COUNTIF(NOTA[ID_H],NOTA[[#This Row],[ID_H]]))</f>
        <v/>
      </c>
      <c r="AO554" s="25" t="str">
        <f ca="1">IF(NOTA[[#This Row],[TGL.NOTA]]="",IF(NOTA[[#This Row],[SUPPLIER_H]]="","",AO553),MONTH(NOTA[[#This Row],[TGL.NOTA]]))</f>
        <v/>
      </c>
      <c r="AP5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4" s="25"/>
      <c r="AU554" s="25" t="str">
        <f>IF(NOTA[[#This Row],[CONCAT1]]="","",MATCH(NOTA[[#This Row],[CONCAT1]],[3]!db[NB NOTA_C],0))</f>
        <v/>
      </c>
      <c r="AV554" s="25" t="str">
        <f>IF(NOTA[[#This Row],[QTY/ CTN]]="","",TRUE)</f>
        <v/>
      </c>
      <c r="AW554" s="25" t="str">
        <f ca="1">IF(NOTA[[#This Row],[ID_H]]="","",IF(NOTA[[#This Row],[Column3]]=TRUE,NOTA[[#This Row],[QTY/ CTN]],INDEX([3]!db[QTY/ CTN],NOTA[[#This Row],[//DB]])))</f>
        <v/>
      </c>
      <c r="AX5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4" s="25" t="str">
        <f ca="1">IF(NOTA[[#This Row],[ID_H]]="","",MATCH(NOTA[[#This Row],[NB NOTA_C_QTY]],[3]!db[NB NOTA_C_QTY+F],0))</f>
        <v/>
      </c>
      <c r="AZ554" s="38" t="str">
        <f ca="1">IF(NOTA[[#This Row],[NB NOTA_C_QTY]]="","",ROW()-2)</f>
        <v/>
      </c>
    </row>
    <row r="555" spans="1:52" ht="20.100000000000001" customHeight="1">
      <c r="A5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5" s="25" t="str">
        <f ca="1">IF(NOTA[[#This Row],[NAMA BARANG]]="","",INDEX(NOTA[ID],MATCH(,INDIRECT(ADDRESS(ROW(NOTA[ID]),COLUMN(NOTA[ID]))&amp;":"&amp;ADDRESS(ROW(),COLUMN(NOTA[ID]))),-1)))</f>
        <v/>
      </c>
      <c r="E555" s="33"/>
      <c r="H555" s="34"/>
      <c r="Q555" s="29"/>
      <c r="R555" s="35"/>
      <c r="S555" s="36"/>
      <c r="V555" s="37"/>
      <c r="W555" s="32"/>
      <c r="X555" s="37" t="str">
        <f>IF(NOTA[[#This Row],[HARGA/ CTN]]="",NOTA[[#This Row],[JUMLAH_H]],NOTA[[#This Row],[HARGA/ CTN]]*IF(NOTA[[#This Row],[C]]="",0,NOTA[[#This Row],[C]]))</f>
        <v/>
      </c>
      <c r="Y555" s="37" t="str">
        <f>IF(NOTA[[#This Row],[JUMLAH]]="","",NOTA[[#This Row],[JUMLAH]]*NOTA[[#This Row],[DISC 1]])</f>
        <v/>
      </c>
      <c r="Z555" s="37" t="str">
        <f>IF(NOTA[[#This Row],[JUMLAH]]="","",(NOTA[[#This Row],[JUMLAH]]-NOTA[[#This Row],[DISC 1-]])*NOTA[[#This Row],[DISC 2]])</f>
        <v/>
      </c>
      <c r="AA555" s="37" t="str">
        <f>IF(NOTA[[#This Row],[JUMLAH]]="","",(NOTA[[#This Row],[JUMLAH]]-NOTA[[#This Row],[DISC 1-]]-NOTA[[#This Row],[DISC 2-]])*NOTA[[#This Row],[DISC 3]])</f>
        <v/>
      </c>
      <c r="AB555" s="37" t="str">
        <f>IF(NOTA[[#This Row],[JUMLAH]]="","",NOTA[[#This Row],[DISC 1-]]+NOTA[[#This Row],[DISC 2-]]+NOTA[[#This Row],[DISC 3-]])</f>
        <v/>
      </c>
      <c r="AC555" s="37" t="str">
        <f>IF(NOTA[[#This Row],[JUMLAH]]="","",NOTA[[#This Row],[JUMLAH]]-NOTA[[#This Row],[DISC]])</f>
        <v/>
      </c>
      <c r="AD555" s="37"/>
      <c r="AE5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5" s="37" t="str">
        <f>IF(OR(NOTA[[#This Row],[QTY]]="",NOTA[[#This Row],[HARGA SATUAN]]="",),"",NOTA[[#This Row],[QTY]]*NOTA[[#This Row],[HARGA SATUAN]])</f>
        <v/>
      </c>
      <c r="AI555" s="26" t="str">
        <f ca="1">IF(NOTA[[#This Row],[ID_H]]="","",INDEX(NOTA[TANGGAL],MATCH(,INDIRECT(ADDRESS(ROW(NOTA[TANGGAL]),COLUMN(NOTA[TANGGAL]))&amp;":"&amp;ADDRESS(ROW(),COLUMN(NOTA[TANGGAL]))),-1)))</f>
        <v/>
      </c>
      <c r="AJ555" s="26" t="str">
        <f ca="1">IF(NOTA[[#This Row],[ID_H]]="","",INDEX(NOTA[TGL.NOTA],MATCH(,INDIRECT(ADDRESS(ROW(NOTA[TGL.NOTA]),COLUMN(NOTA[TGL.NOTA]))&amp;":"&amp;ADDRESS(ROW(),COLUMN(NOTA[TGL.NOTA]))),-1)))</f>
        <v/>
      </c>
      <c r="AK555" s="26" t="str">
        <f ca="1">IF(NOTA[[#This Row],[ID_H]]="","",INDEX(NOTA[NO.NOTA],MATCH(NOTA[[#This Row],[ID_H]],NOTA[ID_H],0)))</f>
        <v/>
      </c>
      <c r="AL555" s="28" t="str">
        <f ca="1">IF(NOTA[[#This Row],[NAMA BARANG]]="","",INDEX(NOTA[SUPPLIER],MATCH(,INDIRECT(ADDRESS(ROW(NOTA[ID]),COLUMN(NOTA[ID]))&amp;":"&amp;ADDRESS(ROW(),COLUMN(NOTA[ID]))),-1)))</f>
        <v/>
      </c>
      <c r="AM555" s="28" t="str">
        <f ca="1">IF(NOTA[[#This Row],[ID_H]]="","",IF(NOTA[[#This Row],[FAKTUR]]="",INDIRECT(ADDRESS(ROW()-1,COLUMN())),NOTA[[#This Row],[FAKTUR]]))</f>
        <v/>
      </c>
      <c r="AN555" s="25" t="str">
        <f ca="1">IF(NOTA[[#This Row],[ID]]="","",COUNTIF(NOTA[ID_H],NOTA[[#This Row],[ID_H]]))</f>
        <v/>
      </c>
      <c r="AO555" s="25" t="str">
        <f ca="1">IF(NOTA[[#This Row],[TGL.NOTA]]="",IF(NOTA[[#This Row],[SUPPLIER_H]]="","",AO554),MONTH(NOTA[[#This Row],[TGL.NOTA]]))</f>
        <v/>
      </c>
      <c r="AP5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5" s="25"/>
      <c r="AU555" s="25" t="str">
        <f>IF(NOTA[[#This Row],[CONCAT1]]="","",MATCH(NOTA[[#This Row],[CONCAT1]],[3]!db[NB NOTA_C],0))</f>
        <v/>
      </c>
      <c r="AV555" s="25" t="str">
        <f>IF(NOTA[[#This Row],[QTY/ CTN]]="","",TRUE)</f>
        <v/>
      </c>
      <c r="AW555" s="25" t="str">
        <f ca="1">IF(NOTA[[#This Row],[ID_H]]="","",IF(NOTA[[#This Row],[Column3]]=TRUE,NOTA[[#This Row],[QTY/ CTN]],INDEX([3]!db[QTY/ CTN],NOTA[[#This Row],[//DB]])))</f>
        <v/>
      </c>
      <c r="AX5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5" s="25" t="str">
        <f ca="1">IF(NOTA[[#This Row],[ID_H]]="","",MATCH(NOTA[[#This Row],[NB NOTA_C_QTY]],[3]!db[NB NOTA_C_QTY+F],0))</f>
        <v/>
      </c>
      <c r="AZ555" s="38" t="str">
        <f ca="1">IF(NOTA[[#This Row],[NB NOTA_C_QTY]]="","",ROW()-2)</f>
        <v/>
      </c>
    </row>
    <row r="556" spans="1:52" ht="20.100000000000001" customHeight="1">
      <c r="A5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6" s="25" t="str">
        <f ca="1">IF(NOTA[[#This Row],[NAMA BARANG]]="","",INDEX(NOTA[ID],MATCH(,INDIRECT(ADDRESS(ROW(NOTA[ID]),COLUMN(NOTA[ID]))&amp;":"&amp;ADDRESS(ROW(),COLUMN(NOTA[ID]))),-1)))</f>
        <v/>
      </c>
      <c r="E556" s="33"/>
      <c r="H556" s="34"/>
      <c r="Q556" s="29"/>
      <c r="R556" s="35"/>
      <c r="S556" s="36"/>
      <c r="V556" s="37"/>
      <c r="W556" s="32"/>
      <c r="X556" s="37" t="str">
        <f>IF(NOTA[[#This Row],[HARGA/ CTN]]="",NOTA[[#This Row],[JUMLAH_H]],NOTA[[#This Row],[HARGA/ CTN]]*IF(NOTA[[#This Row],[C]]="",0,NOTA[[#This Row],[C]]))</f>
        <v/>
      </c>
      <c r="Y556" s="37" t="str">
        <f>IF(NOTA[[#This Row],[JUMLAH]]="","",NOTA[[#This Row],[JUMLAH]]*NOTA[[#This Row],[DISC 1]])</f>
        <v/>
      </c>
      <c r="Z556" s="37" t="str">
        <f>IF(NOTA[[#This Row],[JUMLAH]]="","",(NOTA[[#This Row],[JUMLAH]]-NOTA[[#This Row],[DISC 1-]])*NOTA[[#This Row],[DISC 2]])</f>
        <v/>
      </c>
      <c r="AA556" s="37" t="str">
        <f>IF(NOTA[[#This Row],[JUMLAH]]="","",(NOTA[[#This Row],[JUMLAH]]-NOTA[[#This Row],[DISC 1-]]-NOTA[[#This Row],[DISC 2-]])*NOTA[[#This Row],[DISC 3]])</f>
        <v/>
      </c>
      <c r="AB556" s="37" t="str">
        <f>IF(NOTA[[#This Row],[JUMLAH]]="","",NOTA[[#This Row],[DISC 1-]]+NOTA[[#This Row],[DISC 2-]]+NOTA[[#This Row],[DISC 3-]])</f>
        <v/>
      </c>
      <c r="AC556" s="37" t="str">
        <f>IF(NOTA[[#This Row],[JUMLAH]]="","",NOTA[[#This Row],[JUMLAH]]-NOTA[[#This Row],[DISC]])</f>
        <v/>
      </c>
      <c r="AD556" s="37"/>
      <c r="AE5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6" s="37" t="str">
        <f>IF(OR(NOTA[[#This Row],[QTY]]="",NOTA[[#This Row],[HARGA SATUAN]]="",),"",NOTA[[#This Row],[QTY]]*NOTA[[#This Row],[HARGA SATUAN]])</f>
        <v/>
      </c>
      <c r="AI556" s="26" t="str">
        <f ca="1">IF(NOTA[[#This Row],[ID_H]]="","",INDEX(NOTA[TANGGAL],MATCH(,INDIRECT(ADDRESS(ROW(NOTA[TANGGAL]),COLUMN(NOTA[TANGGAL]))&amp;":"&amp;ADDRESS(ROW(),COLUMN(NOTA[TANGGAL]))),-1)))</f>
        <v/>
      </c>
      <c r="AJ556" s="26" t="str">
        <f ca="1">IF(NOTA[[#This Row],[ID_H]]="","",INDEX(NOTA[TGL.NOTA],MATCH(,INDIRECT(ADDRESS(ROW(NOTA[TGL.NOTA]),COLUMN(NOTA[TGL.NOTA]))&amp;":"&amp;ADDRESS(ROW(),COLUMN(NOTA[TGL.NOTA]))),-1)))</f>
        <v/>
      </c>
      <c r="AK556" s="26" t="str">
        <f ca="1">IF(NOTA[[#This Row],[ID_H]]="","",INDEX(NOTA[NO.NOTA],MATCH(NOTA[[#This Row],[ID_H]],NOTA[ID_H],0)))</f>
        <v/>
      </c>
      <c r="AL556" s="28" t="str">
        <f ca="1">IF(NOTA[[#This Row],[NAMA BARANG]]="","",INDEX(NOTA[SUPPLIER],MATCH(,INDIRECT(ADDRESS(ROW(NOTA[ID]),COLUMN(NOTA[ID]))&amp;":"&amp;ADDRESS(ROW(),COLUMN(NOTA[ID]))),-1)))</f>
        <v/>
      </c>
      <c r="AM556" s="28" t="str">
        <f ca="1">IF(NOTA[[#This Row],[ID_H]]="","",IF(NOTA[[#This Row],[FAKTUR]]="",INDIRECT(ADDRESS(ROW()-1,COLUMN())),NOTA[[#This Row],[FAKTUR]]))</f>
        <v/>
      </c>
      <c r="AN556" s="25" t="str">
        <f ca="1">IF(NOTA[[#This Row],[ID]]="","",COUNTIF(NOTA[ID_H],NOTA[[#This Row],[ID_H]]))</f>
        <v/>
      </c>
      <c r="AO556" s="25" t="str">
        <f ca="1">IF(NOTA[[#This Row],[TGL.NOTA]]="",IF(NOTA[[#This Row],[SUPPLIER_H]]="","",AO555),MONTH(NOTA[[#This Row],[TGL.NOTA]]))</f>
        <v/>
      </c>
      <c r="AP5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6" s="25"/>
      <c r="AU556" s="25" t="str">
        <f>IF(NOTA[[#This Row],[CONCAT1]]="","",MATCH(NOTA[[#This Row],[CONCAT1]],[3]!db[NB NOTA_C],0))</f>
        <v/>
      </c>
      <c r="AV556" s="25" t="str">
        <f>IF(NOTA[[#This Row],[QTY/ CTN]]="","",TRUE)</f>
        <v/>
      </c>
      <c r="AW556" s="25" t="str">
        <f ca="1">IF(NOTA[[#This Row],[ID_H]]="","",IF(NOTA[[#This Row],[Column3]]=TRUE,NOTA[[#This Row],[QTY/ CTN]],INDEX([3]!db[QTY/ CTN],NOTA[[#This Row],[//DB]])))</f>
        <v/>
      </c>
      <c r="AX5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6" s="25" t="str">
        <f ca="1">IF(NOTA[[#This Row],[ID_H]]="","",MATCH(NOTA[[#This Row],[NB NOTA_C_QTY]],[3]!db[NB NOTA_C_QTY+F],0))</f>
        <v/>
      </c>
      <c r="AZ556" s="38" t="str">
        <f ca="1">IF(NOTA[[#This Row],[NB NOTA_C_QTY]]="","",ROW()-2)</f>
        <v/>
      </c>
    </row>
    <row r="557" spans="1:52" ht="20.100000000000001" customHeight="1">
      <c r="A5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7" s="25" t="str">
        <f ca="1">IF(NOTA[[#This Row],[NAMA BARANG]]="","",INDEX(NOTA[ID],MATCH(,INDIRECT(ADDRESS(ROW(NOTA[ID]),COLUMN(NOTA[ID]))&amp;":"&amp;ADDRESS(ROW(),COLUMN(NOTA[ID]))),-1)))</f>
        <v/>
      </c>
      <c r="E557" s="33"/>
      <c r="H557" s="34"/>
      <c r="Q557" s="29"/>
      <c r="R557" s="35"/>
      <c r="S557" s="36"/>
      <c r="V557" s="37"/>
      <c r="W557" s="32"/>
      <c r="X557" s="37" t="str">
        <f>IF(NOTA[[#This Row],[HARGA/ CTN]]="",NOTA[[#This Row],[JUMLAH_H]],NOTA[[#This Row],[HARGA/ CTN]]*IF(NOTA[[#This Row],[C]]="",0,NOTA[[#This Row],[C]]))</f>
        <v/>
      </c>
      <c r="Y557" s="37" t="str">
        <f>IF(NOTA[[#This Row],[JUMLAH]]="","",NOTA[[#This Row],[JUMLAH]]*NOTA[[#This Row],[DISC 1]])</f>
        <v/>
      </c>
      <c r="Z557" s="37" t="str">
        <f>IF(NOTA[[#This Row],[JUMLAH]]="","",(NOTA[[#This Row],[JUMLAH]]-NOTA[[#This Row],[DISC 1-]])*NOTA[[#This Row],[DISC 2]])</f>
        <v/>
      </c>
      <c r="AA557" s="37" t="str">
        <f>IF(NOTA[[#This Row],[JUMLAH]]="","",(NOTA[[#This Row],[JUMLAH]]-NOTA[[#This Row],[DISC 1-]]-NOTA[[#This Row],[DISC 2-]])*NOTA[[#This Row],[DISC 3]])</f>
        <v/>
      </c>
      <c r="AB557" s="37" t="str">
        <f>IF(NOTA[[#This Row],[JUMLAH]]="","",NOTA[[#This Row],[DISC 1-]]+NOTA[[#This Row],[DISC 2-]]+NOTA[[#This Row],[DISC 3-]])</f>
        <v/>
      </c>
      <c r="AC557" s="37" t="str">
        <f>IF(NOTA[[#This Row],[JUMLAH]]="","",NOTA[[#This Row],[JUMLAH]]-NOTA[[#This Row],[DISC]])</f>
        <v/>
      </c>
      <c r="AD557" s="37"/>
      <c r="AE5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7" s="37" t="str">
        <f>IF(OR(NOTA[[#This Row],[QTY]]="",NOTA[[#This Row],[HARGA SATUAN]]="",),"",NOTA[[#This Row],[QTY]]*NOTA[[#This Row],[HARGA SATUAN]])</f>
        <v/>
      </c>
      <c r="AI557" s="26" t="str">
        <f ca="1">IF(NOTA[[#This Row],[ID_H]]="","",INDEX(NOTA[TANGGAL],MATCH(,INDIRECT(ADDRESS(ROW(NOTA[TANGGAL]),COLUMN(NOTA[TANGGAL]))&amp;":"&amp;ADDRESS(ROW(),COLUMN(NOTA[TANGGAL]))),-1)))</f>
        <v/>
      </c>
      <c r="AJ557" s="26" t="str">
        <f ca="1">IF(NOTA[[#This Row],[ID_H]]="","",INDEX(NOTA[TGL.NOTA],MATCH(,INDIRECT(ADDRESS(ROW(NOTA[TGL.NOTA]),COLUMN(NOTA[TGL.NOTA]))&amp;":"&amp;ADDRESS(ROW(),COLUMN(NOTA[TGL.NOTA]))),-1)))</f>
        <v/>
      </c>
      <c r="AK557" s="26" t="str">
        <f ca="1">IF(NOTA[[#This Row],[ID_H]]="","",INDEX(NOTA[NO.NOTA],MATCH(NOTA[[#This Row],[ID_H]],NOTA[ID_H],0)))</f>
        <v/>
      </c>
      <c r="AL557" s="28" t="str">
        <f ca="1">IF(NOTA[[#This Row],[NAMA BARANG]]="","",INDEX(NOTA[SUPPLIER],MATCH(,INDIRECT(ADDRESS(ROW(NOTA[ID]),COLUMN(NOTA[ID]))&amp;":"&amp;ADDRESS(ROW(),COLUMN(NOTA[ID]))),-1)))</f>
        <v/>
      </c>
      <c r="AM557" s="28" t="str">
        <f ca="1">IF(NOTA[[#This Row],[ID_H]]="","",IF(NOTA[[#This Row],[FAKTUR]]="",INDIRECT(ADDRESS(ROW()-1,COLUMN())),NOTA[[#This Row],[FAKTUR]]))</f>
        <v/>
      </c>
      <c r="AN557" s="25" t="str">
        <f ca="1">IF(NOTA[[#This Row],[ID]]="","",COUNTIF(NOTA[ID_H],NOTA[[#This Row],[ID_H]]))</f>
        <v/>
      </c>
      <c r="AO557" s="25" t="str">
        <f ca="1">IF(NOTA[[#This Row],[TGL.NOTA]]="",IF(NOTA[[#This Row],[SUPPLIER_H]]="","",AO556),MONTH(NOTA[[#This Row],[TGL.NOTA]]))</f>
        <v/>
      </c>
      <c r="AP5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7" s="25"/>
      <c r="AU557" s="25" t="str">
        <f>IF(NOTA[[#This Row],[CONCAT1]]="","",MATCH(NOTA[[#This Row],[CONCAT1]],[3]!db[NB NOTA_C],0))</f>
        <v/>
      </c>
      <c r="AV557" s="25" t="str">
        <f>IF(NOTA[[#This Row],[QTY/ CTN]]="","",TRUE)</f>
        <v/>
      </c>
      <c r="AW557" s="25" t="str">
        <f ca="1">IF(NOTA[[#This Row],[ID_H]]="","",IF(NOTA[[#This Row],[Column3]]=TRUE,NOTA[[#This Row],[QTY/ CTN]],INDEX([3]!db[QTY/ CTN],NOTA[[#This Row],[//DB]])))</f>
        <v/>
      </c>
      <c r="AX5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7" s="25" t="str">
        <f ca="1">IF(NOTA[[#This Row],[ID_H]]="","",MATCH(NOTA[[#This Row],[NB NOTA_C_QTY]],[3]!db[NB NOTA_C_QTY+F],0))</f>
        <v/>
      </c>
      <c r="AZ557" s="38" t="str">
        <f ca="1">IF(NOTA[[#This Row],[NB NOTA_C_QTY]]="","",ROW()-2)</f>
        <v/>
      </c>
    </row>
    <row r="558" spans="1:52" ht="20.100000000000001" customHeight="1">
      <c r="A5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8" s="25" t="str">
        <f ca="1">IF(NOTA[[#This Row],[NAMA BARANG]]="","",INDEX(NOTA[ID],MATCH(,INDIRECT(ADDRESS(ROW(NOTA[ID]),COLUMN(NOTA[ID]))&amp;":"&amp;ADDRESS(ROW(),COLUMN(NOTA[ID]))),-1)))</f>
        <v/>
      </c>
      <c r="E558" s="33"/>
      <c r="H558" s="34"/>
      <c r="Q558" s="29"/>
      <c r="R558" s="35"/>
      <c r="S558" s="36"/>
      <c r="V558" s="37"/>
      <c r="W558" s="32"/>
      <c r="X558" s="37" t="str">
        <f>IF(NOTA[[#This Row],[HARGA/ CTN]]="",NOTA[[#This Row],[JUMLAH_H]],NOTA[[#This Row],[HARGA/ CTN]]*IF(NOTA[[#This Row],[C]]="",0,NOTA[[#This Row],[C]]))</f>
        <v/>
      </c>
      <c r="Y558" s="37" t="str">
        <f>IF(NOTA[[#This Row],[JUMLAH]]="","",NOTA[[#This Row],[JUMLAH]]*NOTA[[#This Row],[DISC 1]])</f>
        <v/>
      </c>
      <c r="Z558" s="37" t="str">
        <f>IF(NOTA[[#This Row],[JUMLAH]]="","",(NOTA[[#This Row],[JUMLAH]]-NOTA[[#This Row],[DISC 1-]])*NOTA[[#This Row],[DISC 2]])</f>
        <v/>
      </c>
      <c r="AA558" s="37" t="str">
        <f>IF(NOTA[[#This Row],[JUMLAH]]="","",(NOTA[[#This Row],[JUMLAH]]-NOTA[[#This Row],[DISC 1-]]-NOTA[[#This Row],[DISC 2-]])*NOTA[[#This Row],[DISC 3]])</f>
        <v/>
      </c>
      <c r="AB558" s="37" t="str">
        <f>IF(NOTA[[#This Row],[JUMLAH]]="","",NOTA[[#This Row],[DISC 1-]]+NOTA[[#This Row],[DISC 2-]]+NOTA[[#This Row],[DISC 3-]])</f>
        <v/>
      </c>
      <c r="AC558" s="37" t="str">
        <f>IF(NOTA[[#This Row],[JUMLAH]]="","",NOTA[[#This Row],[JUMLAH]]-NOTA[[#This Row],[DISC]])</f>
        <v/>
      </c>
      <c r="AD558" s="37"/>
      <c r="AE5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8" s="37" t="str">
        <f>IF(OR(NOTA[[#This Row],[QTY]]="",NOTA[[#This Row],[HARGA SATUAN]]="",),"",NOTA[[#This Row],[QTY]]*NOTA[[#This Row],[HARGA SATUAN]])</f>
        <v/>
      </c>
      <c r="AI558" s="26" t="str">
        <f ca="1">IF(NOTA[[#This Row],[ID_H]]="","",INDEX(NOTA[TANGGAL],MATCH(,INDIRECT(ADDRESS(ROW(NOTA[TANGGAL]),COLUMN(NOTA[TANGGAL]))&amp;":"&amp;ADDRESS(ROW(),COLUMN(NOTA[TANGGAL]))),-1)))</f>
        <v/>
      </c>
      <c r="AJ558" s="26" t="str">
        <f ca="1">IF(NOTA[[#This Row],[ID_H]]="","",INDEX(NOTA[TGL.NOTA],MATCH(,INDIRECT(ADDRESS(ROW(NOTA[TGL.NOTA]),COLUMN(NOTA[TGL.NOTA]))&amp;":"&amp;ADDRESS(ROW(),COLUMN(NOTA[TGL.NOTA]))),-1)))</f>
        <v/>
      </c>
      <c r="AK558" s="26" t="str">
        <f ca="1">IF(NOTA[[#This Row],[ID_H]]="","",INDEX(NOTA[NO.NOTA],MATCH(NOTA[[#This Row],[ID_H]],NOTA[ID_H],0)))</f>
        <v/>
      </c>
      <c r="AL558" s="28" t="str">
        <f ca="1">IF(NOTA[[#This Row],[NAMA BARANG]]="","",INDEX(NOTA[SUPPLIER],MATCH(,INDIRECT(ADDRESS(ROW(NOTA[ID]),COLUMN(NOTA[ID]))&amp;":"&amp;ADDRESS(ROW(),COLUMN(NOTA[ID]))),-1)))</f>
        <v/>
      </c>
      <c r="AM558" s="28" t="str">
        <f ca="1">IF(NOTA[[#This Row],[ID_H]]="","",IF(NOTA[[#This Row],[FAKTUR]]="",INDIRECT(ADDRESS(ROW()-1,COLUMN())),NOTA[[#This Row],[FAKTUR]]))</f>
        <v/>
      </c>
      <c r="AN558" s="25" t="str">
        <f ca="1">IF(NOTA[[#This Row],[ID]]="","",COUNTIF(NOTA[ID_H],NOTA[[#This Row],[ID_H]]))</f>
        <v/>
      </c>
      <c r="AO558" s="25" t="str">
        <f ca="1">IF(NOTA[[#This Row],[TGL.NOTA]]="",IF(NOTA[[#This Row],[SUPPLIER_H]]="","",AO557),MONTH(NOTA[[#This Row],[TGL.NOTA]]))</f>
        <v/>
      </c>
      <c r="AP5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8" s="25"/>
      <c r="AU558" s="25" t="str">
        <f>IF(NOTA[[#This Row],[CONCAT1]]="","",MATCH(NOTA[[#This Row],[CONCAT1]],[3]!db[NB NOTA_C],0))</f>
        <v/>
      </c>
      <c r="AV558" s="25" t="str">
        <f>IF(NOTA[[#This Row],[QTY/ CTN]]="","",TRUE)</f>
        <v/>
      </c>
      <c r="AW558" s="25" t="str">
        <f ca="1">IF(NOTA[[#This Row],[ID_H]]="","",IF(NOTA[[#This Row],[Column3]]=TRUE,NOTA[[#This Row],[QTY/ CTN]],INDEX([3]!db[QTY/ CTN],NOTA[[#This Row],[//DB]])))</f>
        <v/>
      </c>
      <c r="AX5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8" s="25" t="str">
        <f ca="1">IF(NOTA[[#This Row],[ID_H]]="","",MATCH(NOTA[[#This Row],[NB NOTA_C_QTY]],[3]!db[NB NOTA_C_QTY+F],0))</f>
        <v/>
      </c>
      <c r="AZ558" s="38" t="str">
        <f ca="1">IF(NOTA[[#This Row],[NB NOTA_C_QTY]]="","",ROW()-2)</f>
        <v/>
      </c>
    </row>
    <row r="559" spans="1:52" ht="20.100000000000001" customHeight="1">
      <c r="A5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9" s="25" t="str">
        <f ca="1">IF(NOTA[[#This Row],[NAMA BARANG]]="","",INDEX(NOTA[ID],MATCH(,INDIRECT(ADDRESS(ROW(NOTA[ID]),COLUMN(NOTA[ID]))&amp;":"&amp;ADDRESS(ROW(),COLUMN(NOTA[ID]))),-1)))</f>
        <v/>
      </c>
      <c r="E559" s="33"/>
      <c r="H559" s="34"/>
      <c r="Q559" s="29"/>
      <c r="R559" s="35"/>
      <c r="S559" s="36"/>
      <c r="V559" s="37"/>
      <c r="W559" s="32"/>
      <c r="X559" s="37" t="str">
        <f>IF(NOTA[[#This Row],[HARGA/ CTN]]="",NOTA[[#This Row],[JUMLAH_H]],NOTA[[#This Row],[HARGA/ CTN]]*IF(NOTA[[#This Row],[C]]="",0,NOTA[[#This Row],[C]]))</f>
        <v/>
      </c>
      <c r="Y559" s="37" t="str">
        <f>IF(NOTA[[#This Row],[JUMLAH]]="","",NOTA[[#This Row],[JUMLAH]]*NOTA[[#This Row],[DISC 1]])</f>
        <v/>
      </c>
      <c r="Z559" s="37" t="str">
        <f>IF(NOTA[[#This Row],[JUMLAH]]="","",(NOTA[[#This Row],[JUMLAH]]-NOTA[[#This Row],[DISC 1-]])*NOTA[[#This Row],[DISC 2]])</f>
        <v/>
      </c>
      <c r="AA559" s="37" t="str">
        <f>IF(NOTA[[#This Row],[JUMLAH]]="","",(NOTA[[#This Row],[JUMLAH]]-NOTA[[#This Row],[DISC 1-]]-NOTA[[#This Row],[DISC 2-]])*NOTA[[#This Row],[DISC 3]])</f>
        <v/>
      </c>
      <c r="AB559" s="37" t="str">
        <f>IF(NOTA[[#This Row],[JUMLAH]]="","",NOTA[[#This Row],[DISC 1-]]+NOTA[[#This Row],[DISC 2-]]+NOTA[[#This Row],[DISC 3-]])</f>
        <v/>
      </c>
      <c r="AC559" s="37" t="str">
        <f>IF(NOTA[[#This Row],[JUMLAH]]="","",NOTA[[#This Row],[JUMLAH]]-NOTA[[#This Row],[DISC]])</f>
        <v/>
      </c>
      <c r="AD559" s="37"/>
      <c r="AE5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9" s="37" t="str">
        <f>IF(OR(NOTA[[#This Row],[QTY]]="",NOTA[[#This Row],[HARGA SATUAN]]="",),"",NOTA[[#This Row],[QTY]]*NOTA[[#This Row],[HARGA SATUAN]])</f>
        <v/>
      </c>
      <c r="AI559" s="26" t="str">
        <f ca="1">IF(NOTA[[#This Row],[ID_H]]="","",INDEX(NOTA[TANGGAL],MATCH(,INDIRECT(ADDRESS(ROW(NOTA[TANGGAL]),COLUMN(NOTA[TANGGAL]))&amp;":"&amp;ADDRESS(ROW(),COLUMN(NOTA[TANGGAL]))),-1)))</f>
        <v/>
      </c>
      <c r="AJ559" s="26" t="str">
        <f ca="1">IF(NOTA[[#This Row],[ID_H]]="","",INDEX(NOTA[TGL.NOTA],MATCH(,INDIRECT(ADDRESS(ROW(NOTA[TGL.NOTA]),COLUMN(NOTA[TGL.NOTA]))&amp;":"&amp;ADDRESS(ROW(),COLUMN(NOTA[TGL.NOTA]))),-1)))</f>
        <v/>
      </c>
      <c r="AK559" s="26" t="str">
        <f ca="1">IF(NOTA[[#This Row],[ID_H]]="","",INDEX(NOTA[NO.NOTA],MATCH(NOTA[[#This Row],[ID_H]],NOTA[ID_H],0)))</f>
        <v/>
      </c>
      <c r="AL559" s="28" t="str">
        <f ca="1">IF(NOTA[[#This Row],[NAMA BARANG]]="","",INDEX(NOTA[SUPPLIER],MATCH(,INDIRECT(ADDRESS(ROW(NOTA[ID]),COLUMN(NOTA[ID]))&amp;":"&amp;ADDRESS(ROW(),COLUMN(NOTA[ID]))),-1)))</f>
        <v/>
      </c>
      <c r="AM559" s="28" t="str">
        <f ca="1">IF(NOTA[[#This Row],[ID_H]]="","",IF(NOTA[[#This Row],[FAKTUR]]="",INDIRECT(ADDRESS(ROW()-1,COLUMN())),NOTA[[#This Row],[FAKTUR]]))</f>
        <v/>
      </c>
      <c r="AN559" s="25" t="str">
        <f ca="1">IF(NOTA[[#This Row],[ID]]="","",COUNTIF(NOTA[ID_H],NOTA[[#This Row],[ID_H]]))</f>
        <v/>
      </c>
      <c r="AO559" s="25" t="str">
        <f ca="1">IF(NOTA[[#This Row],[TGL.NOTA]]="",IF(NOTA[[#This Row],[SUPPLIER_H]]="","",AO558),MONTH(NOTA[[#This Row],[TGL.NOTA]]))</f>
        <v/>
      </c>
      <c r="AP5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9" s="25"/>
      <c r="AU559" s="25" t="str">
        <f>IF(NOTA[[#This Row],[CONCAT1]]="","",MATCH(NOTA[[#This Row],[CONCAT1]],[3]!db[NB NOTA_C],0))</f>
        <v/>
      </c>
      <c r="AV559" s="25" t="str">
        <f>IF(NOTA[[#This Row],[QTY/ CTN]]="","",TRUE)</f>
        <v/>
      </c>
      <c r="AW559" s="25" t="str">
        <f ca="1">IF(NOTA[[#This Row],[ID_H]]="","",IF(NOTA[[#This Row],[Column3]]=TRUE,NOTA[[#This Row],[QTY/ CTN]],INDEX([3]!db[QTY/ CTN],NOTA[[#This Row],[//DB]])))</f>
        <v/>
      </c>
      <c r="AX5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9" s="25" t="str">
        <f ca="1">IF(NOTA[[#This Row],[ID_H]]="","",MATCH(NOTA[[#This Row],[NB NOTA_C_QTY]],[3]!db[NB NOTA_C_QTY+F],0))</f>
        <v/>
      </c>
      <c r="AZ559" s="38" t="str">
        <f ca="1">IF(NOTA[[#This Row],[NB NOTA_C_QTY]]="","",ROW()-2)</f>
        <v/>
      </c>
    </row>
    <row r="560" spans="1:52" ht="20.100000000000001" customHeight="1">
      <c r="A5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0" s="25" t="str">
        <f ca="1">IF(NOTA[[#This Row],[NAMA BARANG]]="","",INDEX(NOTA[ID],MATCH(,INDIRECT(ADDRESS(ROW(NOTA[ID]),COLUMN(NOTA[ID]))&amp;":"&amp;ADDRESS(ROW(),COLUMN(NOTA[ID]))),-1)))</f>
        <v/>
      </c>
      <c r="E560" s="33"/>
      <c r="H560" s="34"/>
      <c r="Q560" s="29"/>
      <c r="R560" s="35"/>
      <c r="S560" s="36"/>
      <c r="V560" s="37"/>
      <c r="W560" s="32"/>
      <c r="X560" s="37" t="str">
        <f>IF(NOTA[[#This Row],[HARGA/ CTN]]="",NOTA[[#This Row],[JUMLAH_H]],NOTA[[#This Row],[HARGA/ CTN]]*IF(NOTA[[#This Row],[C]]="",0,NOTA[[#This Row],[C]]))</f>
        <v/>
      </c>
      <c r="Y560" s="37" t="str">
        <f>IF(NOTA[[#This Row],[JUMLAH]]="","",NOTA[[#This Row],[JUMLAH]]*NOTA[[#This Row],[DISC 1]])</f>
        <v/>
      </c>
      <c r="Z560" s="37" t="str">
        <f>IF(NOTA[[#This Row],[JUMLAH]]="","",(NOTA[[#This Row],[JUMLAH]]-NOTA[[#This Row],[DISC 1-]])*NOTA[[#This Row],[DISC 2]])</f>
        <v/>
      </c>
      <c r="AA560" s="37" t="str">
        <f>IF(NOTA[[#This Row],[JUMLAH]]="","",(NOTA[[#This Row],[JUMLAH]]-NOTA[[#This Row],[DISC 1-]]-NOTA[[#This Row],[DISC 2-]])*NOTA[[#This Row],[DISC 3]])</f>
        <v/>
      </c>
      <c r="AB560" s="37" t="str">
        <f>IF(NOTA[[#This Row],[JUMLAH]]="","",NOTA[[#This Row],[DISC 1-]]+NOTA[[#This Row],[DISC 2-]]+NOTA[[#This Row],[DISC 3-]])</f>
        <v/>
      </c>
      <c r="AC560" s="37" t="str">
        <f>IF(NOTA[[#This Row],[JUMLAH]]="","",NOTA[[#This Row],[JUMLAH]]-NOTA[[#This Row],[DISC]])</f>
        <v/>
      </c>
      <c r="AD560" s="37"/>
      <c r="AE5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0" s="37" t="str">
        <f>IF(OR(NOTA[[#This Row],[QTY]]="",NOTA[[#This Row],[HARGA SATUAN]]="",),"",NOTA[[#This Row],[QTY]]*NOTA[[#This Row],[HARGA SATUAN]])</f>
        <v/>
      </c>
      <c r="AI560" s="26" t="str">
        <f ca="1">IF(NOTA[[#This Row],[ID_H]]="","",INDEX(NOTA[TANGGAL],MATCH(,INDIRECT(ADDRESS(ROW(NOTA[TANGGAL]),COLUMN(NOTA[TANGGAL]))&amp;":"&amp;ADDRESS(ROW(),COLUMN(NOTA[TANGGAL]))),-1)))</f>
        <v/>
      </c>
      <c r="AJ560" s="26" t="str">
        <f ca="1">IF(NOTA[[#This Row],[ID_H]]="","",INDEX(NOTA[TGL.NOTA],MATCH(,INDIRECT(ADDRESS(ROW(NOTA[TGL.NOTA]),COLUMN(NOTA[TGL.NOTA]))&amp;":"&amp;ADDRESS(ROW(),COLUMN(NOTA[TGL.NOTA]))),-1)))</f>
        <v/>
      </c>
      <c r="AK560" s="26" t="str">
        <f ca="1">IF(NOTA[[#This Row],[ID_H]]="","",INDEX(NOTA[NO.NOTA],MATCH(NOTA[[#This Row],[ID_H]],NOTA[ID_H],0)))</f>
        <v/>
      </c>
      <c r="AL560" s="28" t="str">
        <f ca="1">IF(NOTA[[#This Row],[NAMA BARANG]]="","",INDEX(NOTA[SUPPLIER],MATCH(,INDIRECT(ADDRESS(ROW(NOTA[ID]),COLUMN(NOTA[ID]))&amp;":"&amp;ADDRESS(ROW(),COLUMN(NOTA[ID]))),-1)))</f>
        <v/>
      </c>
      <c r="AM560" s="28" t="str">
        <f ca="1">IF(NOTA[[#This Row],[ID_H]]="","",IF(NOTA[[#This Row],[FAKTUR]]="",INDIRECT(ADDRESS(ROW()-1,COLUMN())),NOTA[[#This Row],[FAKTUR]]))</f>
        <v/>
      </c>
      <c r="AN560" s="25" t="str">
        <f ca="1">IF(NOTA[[#This Row],[ID]]="","",COUNTIF(NOTA[ID_H],NOTA[[#This Row],[ID_H]]))</f>
        <v/>
      </c>
      <c r="AO560" s="25" t="str">
        <f ca="1">IF(NOTA[[#This Row],[TGL.NOTA]]="",IF(NOTA[[#This Row],[SUPPLIER_H]]="","",AO559),MONTH(NOTA[[#This Row],[TGL.NOTA]]))</f>
        <v/>
      </c>
      <c r="AP5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0" s="25"/>
      <c r="AU560" s="25" t="str">
        <f>IF(NOTA[[#This Row],[CONCAT1]]="","",MATCH(NOTA[[#This Row],[CONCAT1]],[3]!db[NB NOTA_C],0))</f>
        <v/>
      </c>
      <c r="AV560" s="25" t="str">
        <f>IF(NOTA[[#This Row],[QTY/ CTN]]="","",TRUE)</f>
        <v/>
      </c>
      <c r="AW560" s="25" t="str">
        <f ca="1">IF(NOTA[[#This Row],[ID_H]]="","",IF(NOTA[[#This Row],[Column3]]=TRUE,NOTA[[#This Row],[QTY/ CTN]],INDEX([3]!db[QTY/ CTN],NOTA[[#This Row],[//DB]])))</f>
        <v/>
      </c>
      <c r="AX5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0" s="25" t="str">
        <f ca="1">IF(NOTA[[#This Row],[ID_H]]="","",MATCH(NOTA[[#This Row],[NB NOTA_C_QTY]],[3]!db[NB NOTA_C_QTY+F],0))</f>
        <v/>
      </c>
      <c r="AZ560" s="38" t="str">
        <f ca="1">IF(NOTA[[#This Row],[NB NOTA_C_QTY]]="","",ROW()-2)</f>
        <v/>
      </c>
    </row>
    <row r="561" spans="1:52" ht="20.100000000000001" customHeight="1">
      <c r="A5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1" s="25" t="str">
        <f ca="1">IF(NOTA[[#This Row],[NAMA BARANG]]="","",INDEX(NOTA[ID],MATCH(,INDIRECT(ADDRESS(ROW(NOTA[ID]),COLUMN(NOTA[ID]))&amp;":"&amp;ADDRESS(ROW(),COLUMN(NOTA[ID]))),-1)))</f>
        <v/>
      </c>
      <c r="E561" s="33"/>
      <c r="H561" s="34"/>
      <c r="Q561" s="29"/>
      <c r="R561" s="35"/>
      <c r="S561" s="36"/>
      <c r="V561" s="37"/>
      <c r="W561" s="32"/>
      <c r="X561" s="37" t="str">
        <f>IF(NOTA[[#This Row],[HARGA/ CTN]]="",NOTA[[#This Row],[JUMLAH_H]],NOTA[[#This Row],[HARGA/ CTN]]*IF(NOTA[[#This Row],[C]]="",0,NOTA[[#This Row],[C]]))</f>
        <v/>
      </c>
      <c r="Y561" s="37" t="str">
        <f>IF(NOTA[[#This Row],[JUMLAH]]="","",NOTA[[#This Row],[JUMLAH]]*NOTA[[#This Row],[DISC 1]])</f>
        <v/>
      </c>
      <c r="Z561" s="37" t="str">
        <f>IF(NOTA[[#This Row],[JUMLAH]]="","",(NOTA[[#This Row],[JUMLAH]]-NOTA[[#This Row],[DISC 1-]])*NOTA[[#This Row],[DISC 2]])</f>
        <v/>
      </c>
      <c r="AA561" s="37" t="str">
        <f>IF(NOTA[[#This Row],[JUMLAH]]="","",(NOTA[[#This Row],[JUMLAH]]-NOTA[[#This Row],[DISC 1-]]-NOTA[[#This Row],[DISC 2-]])*NOTA[[#This Row],[DISC 3]])</f>
        <v/>
      </c>
      <c r="AB561" s="37" t="str">
        <f>IF(NOTA[[#This Row],[JUMLAH]]="","",NOTA[[#This Row],[DISC 1-]]+NOTA[[#This Row],[DISC 2-]]+NOTA[[#This Row],[DISC 3-]])</f>
        <v/>
      </c>
      <c r="AC561" s="37" t="str">
        <f>IF(NOTA[[#This Row],[JUMLAH]]="","",NOTA[[#This Row],[JUMLAH]]-NOTA[[#This Row],[DISC]])</f>
        <v/>
      </c>
      <c r="AD561" s="37"/>
      <c r="AE5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1" s="37" t="str">
        <f>IF(OR(NOTA[[#This Row],[QTY]]="",NOTA[[#This Row],[HARGA SATUAN]]="",),"",NOTA[[#This Row],[QTY]]*NOTA[[#This Row],[HARGA SATUAN]])</f>
        <v/>
      </c>
      <c r="AI561" s="26" t="str">
        <f ca="1">IF(NOTA[[#This Row],[ID_H]]="","",INDEX(NOTA[TANGGAL],MATCH(,INDIRECT(ADDRESS(ROW(NOTA[TANGGAL]),COLUMN(NOTA[TANGGAL]))&amp;":"&amp;ADDRESS(ROW(),COLUMN(NOTA[TANGGAL]))),-1)))</f>
        <v/>
      </c>
      <c r="AJ561" s="26" t="str">
        <f ca="1">IF(NOTA[[#This Row],[ID_H]]="","",INDEX(NOTA[TGL.NOTA],MATCH(,INDIRECT(ADDRESS(ROW(NOTA[TGL.NOTA]),COLUMN(NOTA[TGL.NOTA]))&amp;":"&amp;ADDRESS(ROW(),COLUMN(NOTA[TGL.NOTA]))),-1)))</f>
        <v/>
      </c>
      <c r="AK561" s="26" t="str">
        <f ca="1">IF(NOTA[[#This Row],[ID_H]]="","",INDEX(NOTA[NO.NOTA],MATCH(NOTA[[#This Row],[ID_H]],NOTA[ID_H],0)))</f>
        <v/>
      </c>
      <c r="AL561" s="28" t="str">
        <f ca="1">IF(NOTA[[#This Row],[NAMA BARANG]]="","",INDEX(NOTA[SUPPLIER],MATCH(,INDIRECT(ADDRESS(ROW(NOTA[ID]),COLUMN(NOTA[ID]))&amp;":"&amp;ADDRESS(ROW(),COLUMN(NOTA[ID]))),-1)))</f>
        <v/>
      </c>
      <c r="AM561" s="28" t="str">
        <f ca="1">IF(NOTA[[#This Row],[ID_H]]="","",IF(NOTA[[#This Row],[FAKTUR]]="",INDIRECT(ADDRESS(ROW()-1,COLUMN())),NOTA[[#This Row],[FAKTUR]]))</f>
        <v/>
      </c>
      <c r="AN561" s="25" t="str">
        <f ca="1">IF(NOTA[[#This Row],[ID]]="","",COUNTIF(NOTA[ID_H],NOTA[[#This Row],[ID_H]]))</f>
        <v/>
      </c>
      <c r="AO561" s="25" t="str">
        <f ca="1">IF(NOTA[[#This Row],[TGL.NOTA]]="",IF(NOTA[[#This Row],[SUPPLIER_H]]="","",AO560),MONTH(NOTA[[#This Row],[TGL.NOTA]]))</f>
        <v/>
      </c>
      <c r="AP5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1" s="25"/>
      <c r="AU561" s="25" t="str">
        <f>IF(NOTA[[#This Row],[CONCAT1]]="","",MATCH(NOTA[[#This Row],[CONCAT1]],[3]!db[NB NOTA_C],0))</f>
        <v/>
      </c>
      <c r="AV561" s="25" t="str">
        <f>IF(NOTA[[#This Row],[QTY/ CTN]]="","",TRUE)</f>
        <v/>
      </c>
      <c r="AW561" s="25" t="str">
        <f ca="1">IF(NOTA[[#This Row],[ID_H]]="","",IF(NOTA[[#This Row],[Column3]]=TRUE,NOTA[[#This Row],[QTY/ CTN]],INDEX([3]!db[QTY/ CTN],NOTA[[#This Row],[//DB]])))</f>
        <v/>
      </c>
      <c r="AX5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1" s="25" t="str">
        <f ca="1">IF(NOTA[[#This Row],[ID_H]]="","",MATCH(NOTA[[#This Row],[NB NOTA_C_QTY]],[3]!db[NB NOTA_C_QTY+F],0))</f>
        <v/>
      </c>
      <c r="AZ561" s="38" t="str">
        <f ca="1">IF(NOTA[[#This Row],[NB NOTA_C_QTY]]="","",ROW()-2)</f>
        <v/>
      </c>
    </row>
    <row r="562" spans="1:52" ht="20.100000000000001" customHeight="1">
      <c r="A5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2" s="25" t="str">
        <f ca="1">IF(NOTA[[#This Row],[NAMA BARANG]]="","",INDEX(NOTA[ID],MATCH(,INDIRECT(ADDRESS(ROW(NOTA[ID]),COLUMN(NOTA[ID]))&amp;":"&amp;ADDRESS(ROW(),COLUMN(NOTA[ID]))),-1)))</f>
        <v/>
      </c>
      <c r="E562" s="33"/>
      <c r="H562" s="34"/>
      <c r="Q562" s="29"/>
      <c r="R562" s="35"/>
      <c r="S562" s="36"/>
      <c r="V562" s="37"/>
      <c r="W562" s="32"/>
      <c r="X562" s="37" t="str">
        <f>IF(NOTA[[#This Row],[HARGA/ CTN]]="",NOTA[[#This Row],[JUMLAH_H]],NOTA[[#This Row],[HARGA/ CTN]]*IF(NOTA[[#This Row],[C]]="",0,NOTA[[#This Row],[C]]))</f>
        <v/>
      </c>
      <c r="Y562" s="37" t="str">
        <f>IF(NOTA[[#This Row],[JUMLAH]]="","",NOTA[[#This Row],[JUMLAH]]*NOTA[[#This Row],[DISC 1]])</f>
        <v/>
      </c>
      <c r="Z562" s="37" t="str">
        <f>IF(NOTA[[#This Row],[JUMLAH]]="","",(NOTA[[#This Row],[JUMLAH]]-NOTA[[#This Row],[DISC 1-]])*NOTA[[#This Row],[DISC 2]])</f>
        <v/>
      </c>
      <c r="AA562" s="37" t="str">
        <f>IF(NOTA[[#This Row],[JUMLAH]]="","",(NOTA[[#This Row],[JUMLAH]]-NOTA[[#This Row],[DISC 1-]]-NOTA[[#This Row],[DISC 2-]])*NOTA[[#This Row],[DISC 3]])</f>
        <v/>
      </c>
      <c r="AB562" s="37" t="str">
        <f>IF(NOTA[[#This Row],[JUMLAH]]="","",NOTA[[#This Row],[DISC 1-]]+NOTA[[#This Row],[DISC 2-]]+NOTA[[#This Row],[DISC 3-]])</f>
        <v/>
      </c>
      <c r="AC562" s="37" t="str">
        <f>IF(NOTA[[#This Row],[JUMLAH]]="","",NOTA[[#This Row],[JUMLAH]]-NOTA[[#This Row],[DISC]])</f>
        <v/>
      </c>
      <c r="AD562" s="37"/>
      <c r="AE5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2" s="37" t="str">
        <f>IF(OR(NOTA[[#This Row],[QTY]]="",NOTA[[#This Row],[HARGA SATUAN]]="",),"",NOTA[[#This Row],[QTY]]*NOTA[[#This Row],[HARGA SATUAN]])</f>
        <v/>
      </c>
      <c r="AI562" s="26" t="str">
        <f ca="1">IF(NOTA[[#This Row],[ID_H]]="","",INDEX(NOTA[TANGGAL],MATCH(,INDIRECT(ADDRESS(ROW(NOTA[TANGGAL]),COLUMN(NOTA[TANGGAL]))&amp;":"&amp;ADDRESS(ROW(),COLUMN(NOTA[TANGGAL]))),-1)))</f>
        <v/>
      </c>
      <c r="AJ562" s="26" t="str">
        <f ca="1">IF(NOTA[[#This Row],[ID_H]]="","",INDEX(NOTA[TGL.NOTA],MATCH(,INDIRECT(ADDRESS(ROW(NOTA[TGL.NOTA]),COLUMN(NOTA[TGL.NOTA]))&amp;":"&amp;ADDRESS(ROW(),COLUMN(NOTA[TGL.NOTA]))),-1)))</f>
        <v/>
      </c>
      <c r="AK562" s="26" t="str">
        <f ca="1">IF(NOTA[[#This Row],[ID_H]]="","",INDEX(NOTA[NO.NOTA],MATCH(NOTA[[#This Row],[ID_H]],NOTA[ID_H],0)))</f>
        <v/>
      </c>
      <c r="AL562" s="28" t="str">
        <f ca="1">IF(NOTA[[#This Row],[NAMA BARANG]]="","",INDEX(NOTA[SUPPLIER],MATCH(,INDIRECT(ADDRESS(ROW(NOTA[ID]),COLUMN(NOTA[ID]))&amp;":"&amp;ADDRESS(ROW(),COLUMN(NOTA[ID]))),-1)))</f>
        <v/>
      </c>
      <c r="AM562" s="28" t="str">
        <f ca="1">IF(NOTA[[#This Row],[ID_H]]="","",IF(NOTA[[#This Row],[FAKTUR]]="",INDIRECT(ADDRESS(ROW()-1,COLUMN())),NOTA[[#This Row],[FAKTUR]]))</f>
        <v/>
      </c>
      <c r="AN562" s="25" t="str">
        <f ca="1">IF(NOTA[[#This Row],[ID]]="","",COUNTIF(NOTA[ID_H],NOTA[[#This Row],[ID_H]]))</f>
        <v/>
      </c>
      <c r="AO562" s="25" t="str">
        <f ca="1">IF(NOTA[[#This Row],[TGL.NOTA]]="",IF(NOTA[[#This Row],[SUPPLIER_H]]="","",AO561),MONTH(NOTA[[#This Row],[TGL.NOTA]]))</f>
        <v/>
      </c>
      <c r="AP5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2" s="25"/>
      <c r="AU562" s="25" t="str">
        <f>IF(NOTA[[#This Row],[CONCAT1]]="","",MATCH(NOTA[[#This Row],[CONCAT1]],[3]!db[NB NOTA_C],0))</f>
        <v/>
      </c>
      <c r="AV562" s="25" t="str">
        <f>IF(NOTA[[#This Row],[QTY/ CTN]]="","",TRUE)</f>
        <v/>
      </c>
      <c r="AW562" s="25" t="str">
        <f ca="1">IF(NOTA[[#This Row],[ID_H]]="","",IF(NOTA[[#This Row],[Column3]]=TRUE,NOTA[[#This Row],[QTY/ CTN]],INDEX([3]!db[QTY/ CTN],NOTA[[#This Row],[//DB]])))</f>
        <v/>
      </c>
      <c r="AX5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2" s="25" t="str">
        <f ca="1">IF(NOTA[[#This Row],[ID_H]]="","",MATCH(NOTA[[#This Row],[NB NOTA_C_QTY]],[3]!db[NB NOTA_C_QTY+F],0))</f>
        <v/>
      </c>
      <c r="AZ562" s="38" t="str">
        <f ca="1">IF(NOTA[[#This Row],[NB NOTA_C_QTY]]="","",ROW()-2)</f>
        <v/>
      </c>
    </row>
    <row r="563" spans="1:52" ht="20.100000000000001" customHeight="1">
      <c r="A5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3" s="25" t="str">
        <f ca="1">IF(NOTA[[#This Row],[NAMA BARANG]]="","",INDEX(NOTA[ID],MATCH(,INDIRECT(ADDRESS(ROW(NOTA[ID]),COLUMN(NOTA[ID]))&amp;":"&amp;ADDRESS(ROW(),COLUMN(NOTA[ID]))),-1)))</f>
        <v/>
      </c>
      <c r="E563" s="33"/>
      <c r="H563" s="34"/>
      <c r="Q563" s="29"/>
      <c r="R563" s="35"/>
      <c r="S563" s="36"/>
      <c r="V563" s="37"/>
      <c r="W563" s="32"/>
      <c r="X563" s="37" t="str">
        <f>IF(NOTA[[#This Row],[HARGA/ CTN]]="",NOTA[[#This Row],[JUMLAH_H]],NOTA[[#This Row],[HARGA/ CTN]]*IF(NOTA[[#This Row],[C]]="",0,NOTA[[#This Row],[C]]))</f>
        <v/>
      </c>
      <c r="Y563" s="37" t="str">
        <f>IF(NOTA[[#This Row],[JUMLAH]]="","",NOTA[[#This Row],[JUMLAH]]*NOTA[[#This Row],[DISC 1]])</f>
        <v/>
      </c>
      <c r="Z563" s="37" t="str">
        <f>IF(NOTA[[#This Row],[JUMLAH]]="","",(NOTA[[#This Row],[JUMLAH]]-NOTA[[#This Row],[DISC 1-]])*NOTA[[#This Row],[DISC 2]])</f>
        <v/>
      </c>
      <c r="AA563" s="37" t="str">
        <f>IF(NOTA[[#This Row],[JUMLAH]]="","",(NOTA[[#This Row],[JUMLAH]]-NOTA[[#This Row],[DISC 1-]]-NOTA[[#This Row],[DISC 2-]])*NOTA[[#This Row],[DISC 3]])</f>
        <v/>
      </c>
      <c r="AB563" s="37" t="str">
        <f>IF(NOTA[[#This Row],[JUMLAH]]="","",NOTA[[#This Row],[DISC 1-]]+NOTA[[#This Row],[DISC 2-]]+NOTA[[#This Row],[DISC 3-]])</f>
        <v/>
      </c>
      <c r="AC563" s="37" t="str">
        <f>IF(NOTA[[#This Row],[JUMLAH]]="","",NOTA[[#This Row],[JUMLAH]]-NOTA[[#This Row],[DISC]])</f>
        <v/>
      </c>
      <c r="AD563" s="37"/>
      <c r="AE5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3" s="37" t="str">
        <f>IF(OR(NOTA[[#This Row],[QTY]]="",NOTA[[#This Row],[HARGA SATUAN]]="",),"",NOTA[[#This Row],[QTY]]*NOTA[[#This Row],[HARGA SATUAN]])</f>
        <v/>
      </c>
      <c r="AI563" s="26" t="str">
        <f ca="1">IF(NOTA[[#This Row],[ID_H]]="","",INDEX(NOTA[TANGGAL],MATCH(,INDIRECT(ADDRESS(ROW(NOTA[TANGGAL]),COLUMN(NOTA[TANGGAL]))&amp;":"&amp;ADDRESS(ROW(),COLUMN(NOTA[TANGGAL]))),-1)))</f>
        <v/>
      </c>
      <c r="AJ563" s="26" t="str">
        <f ca="1">IF(NOTA[[#This Row],[ID_H]]="","",INDEX(NOTA[TGL.NOTA],MATCH(,INDIRECT(ADDRESS(ROW(NOTA[TGL.NOTA]),COLUMN(NOTA[TGL.NOTA]))&amp;":"&amp;ADDRESS(ROW(),COLUMN(NOTA[TGL.NOTA]))),-1)))</f>
        <v/>
      </c>
      <c r="AK563" s="26" t="str">
        <f ca="1">IF(NOTA[[#This Row],[ID_H]]="","",INDEX(NOTA[NO.NOTA],MATCH(NOTA[[#This Row],[ID_H]],NOTA[ID_H],0)))</f>
        <v/>
      </c>
      <c r="AL563" s="28" t="str">
        <f ca="1">IF(NOTA[[#This Row],[NAMA BARANG]]="","",INDEX(NOTA[SUPPLIER],MATCH(,INDIRECT(ADDRESS(ROW(NOTA[ID]),COLUMN(NOTA[ID]))&amp;":"&amp;ADDRESS(ROW(),COLUMN(NOTA[ID]))),-1)))</f>
        <v/>
      </c>
      <c r="AM563" s="28" t="str">
        <f ca="1">IF(NOTA[[#This Row],[ID_H]]="","",IF(NOTA[[#This Row],[FAKTUR]]="",INDIRECT(ADDRESS(ROW()-1,COLUMN())),NOTA[[#This Row],[FAKTUR]]))</f>
        <v/>
      </c>
      <c r="AN563" s="25" t="str">
        <f ca="1">IF(NOTA[[#This Row],[ID]]="","",COUNTIF(NOTA[ID_H],NOTA[[#This Row],[ID_H]]))</f>
        <v/>
      </c>
      <c r="AO563" s="25" t="str">
        <f ca="1">IF(NOTA[[#This Row],[TGL.NOTA]]="",IF(NOTA[[#This Row],[SUPPLIER_H]]="","",AO562),MONTH(NOTA[[#This Row],[TGL.NOTA]]))</f>
        <v/>
      </c>
      <c r="AP5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3" s="25"/>
      <c r="AU563" s="25" t="str">
        <f>IF(NOTA[[#This Row],[CONCAT1]]="","",MATCH(NOTA[[#This Row],[CONCAT1]],[3]!db[NB NOTA_C],0))</f>
        <v/>
      </c>
      <c r="AV563" s="25" t="str">
        <f>IF(NOTA[[#This Row],[QTY/ CTN]]="","",TRUE)</f>
        <v/>
      </c>
      <c r="AW563" s="25" t="str">
        <f ca="1">IF(NOTA[[#This Row],[ID_H]]="","",IF(NOTA[[#This Row],[Column3]]=TRUE,NOTA[[#This Row],[QTY/ CTN]],INDEX([3]!db[QTY/ CTN],NOTA[[#This Row],[//DB]])))</f>
        <v/>
      </c>
      <c r="AX5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3" s="25" t="str">
        <f ca="1">IF(NOTA[[#This Row],[ID_H]]="","",MATCH(NOTA[[#This Row],[NB NOTA_C_QTY]],[3]!db[NB NOTA_C_QTY+F],0))</f>
        <v/>
      </c>
      <c r="AZ563" s="38" t="str">
        <f ca="1">IF(NOTA[[#This Row],[NB NOTA_C_QTY]]="","",ROW()-2)</f>
        <v/>
      </c>
    </row>
    <row r="564" spans="1:52" ht="20.100000000000001" customHeight="1">
      <c r="A5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4" s="25" t="str">
        <f ca="1">IF(NOTA[[#This Row],[NAMA BARANG]]="","",INDEX(NOTA[ID],MATCH(,INDIRECT(ADDRESS(ROW(NOTA[ID]),COLUMN(NOTA[ID]))&amp;":"&amp;ADDRESS(ROW(),COLUMN(NOTA[ID]))),-1)))</f>
        <v/>
      </c>
      <c r="E564" s="33"/>
      <c r="H564" s="34"/>
      <c r="Q564" s="29"/>
      <c r="R564" s="35"/>
      <c r="S564" s="36"/>
      <c r="V564" s="37"/>
      <c r="W564" s="32"/>
      <c r="X564" s="37" t="str">
        <f>IF(NOTA[[#This Row],[HARGA/ CTN]]="",NOTA[[#This Row],[JUMLAH_H]],NOTA[[#This Row],[HARGA/ CTN]]*IF(NOTA[[#This Row],[C]]="",0,NOTA[[#This Row],[C]]))</f>
        <v/>
      </c>
      <c r="Y564" s="37" t="str">
        <f>IF(NOTA[[#This Row],[JUMLAH]]="","",NOTA[[#This Row],[JUMLAH]]*NOTA[[#This Row],[DISC 1]])</f>
        <v/>
      </c>
      <c r="Z564" s="37" t="str">
        <f>IF(NOTA[[#This Row],[JUMLAH]]="","",(NOTA[[#This Row],[JUMLAH]]-NOTA[[#This Row],[DISC 1-]])*NOTA[[#This Row],[DISC 2]])</f>
        <v/>
      </c>
      <c r="AA564" s="37" t="str">
        <f>IF(NOTA[[#This Row],[JUMLAH]]="","",(NOTA[[#This Row],[JUMLAH]]-NOTA[[#This Row],[DISC 1-]]-NOTA[[#This Row],[DISC 2-]])*NOTA[[#This Row],[DISC 3]])</f>
        <v/>
      </c>
      <c r="AB564" s="37" t="str">
        <f>IF(NOTA[[#This Row],[JUMLAH]]="","",NOTA[[#This Row],[DISC 1-]]+NOTA[[#This Row],[DISC 2-]]+NOTA[[#This Row],[DISC 3-]])</f>
        <v/>
      </c>
      <c r="AC564" s="37" t="str">
        <f>IF(NOTA[[#This Row],[JUMLAH]]="","",NOTA[[#This Row],[JUMLAH]]-NOTA[[#This Row],[DISC]])</f>
        <v/>
      </c>
      <c r="AD564" s="37"/>
      <c r="AE5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4" s="37" t="str">
        <f>IF(OR(NOTA[[#This Row],[QTY]]="",NOTA[[#This Row],[HARGA SATUAN]]="",),"",NOTA[[#This Row],[QTY]]*NOTA[[#This Row],[HARGA SATUAN]])</f>
        <v/>
      </c>
      <c r="AI564" s="26" t="str">
        <f ca="1">IF(NOTA[[#This Row],[ID_H]]="","",INDEX(NOTA[TANGGAL],MATCH(,INDIRECT(ADDRESS(ROW(NOTA[TANGGAL]),COLUMN(NOTA[TANGGAL]))&amp;":"&amp;ADDRESS(ROW(),COLUMN(NOTA[TANGGAL]))),-1)))</f>
        <v/>
      </c>
      <c r="AJ564" s="26" t="str">
        <f ca="1">IF(NOTA[[#This Row],[ID_H]]="","",INDEX(NOTA[TGL.NOTA],MATCH(,INDIRECT(ADDRESS(ROW(NOTA[TGL.NOTA]),COLUMN(NOTA[TGL.NOTA]))&amp;":"&amp;ADDRESS(ROW(),COLUMN(NOTA[TGL.NOTA]))),-1)))</f>
        <v/>
      </c>
      <c r="AK564" s="26" t="str">
        <f ca="1">IF(NOTA[[#This Row],[ID_H]]="","",INDEX(NOTA[NO.NOTA],MATCH(NOTA[[#This Row],[ID_H]],NOTA[ID_H],0)))</f>
        <v/>
      </c>
      <c r="AL564" s="28" t="str">
        <f ca="1">IF(NOTA[[#This Row],[NAMA BARANG]]="","",INDEX(NOTA[SUPPLIER],MATCH(,INDIRECT(ADDRESS(ROW(NOTA[ID]),COLUMN(NOTA[ID]))&amp;":"&amp;ADDRESS(ROW(),COLUMN(NOTA[ID]))),-1)))</f>
        <v/>
      </c>
      <c r="AM564" s="28" t="str">
        <f ca="1">IF(NOTA[[#This Row],[ID_H]]="","",IF(NOTA[[#This Row],[FAKTUR]]="",INDIRECT(ADDRESS(ROW()-1,COLUMN())),NOTA[[#This Row],[FAKTUR]]))</f>
        <v/>
      </c>
      <c r="AN564" s="25" t="str">
        <f ca="1">IF(NOTA[[#This Row],[ID]]="","",COUNTIF(NOTA[ID_H],NOTA[[#This Row],[ID_H]]))</f>
        <v/>
      </c>
      <c r="AO564" s="25" t="str">
        <f ca="1">IF(NOTA[[#This Row],[TGL.NOTA]]="",IF(NOTA[[#This Row],[SUPPLIER_H]]="","",AO563),MONTH(NOTA[[#This Row],[TGL.NOTA]]))</f>
        <v/>
      </c>
      <c r="AP5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4" s="25"/>
      <c r="AU564" s="25" t="str">
        <f>IF(NOTA[[#This Row],[CONCAT1]]="","",MATCH(NOTA[[#This Row],[CONCAT1]],[3]!db[NB NOTA_C],0))</f>
        <v/>
      </c>
      <c r="AV564" s="25" t="str">
        <f>IF(NOTA[[#This Row],[QTY/ CTN]]="","",TRUE)</f>
        <v/>
      </c>
      <c r="AW564" s="25" t="str">
        <f ca="1">IF(NOTA[[#This Row],[ID_H]]="","",IF(NOTA[[#This Row],[Column3]]=TRUE,NOTA[[#This Row],[QTY/ CTN]],INDEX([3]!db[QTY/ CTN],NOTA[[#This Row],[//DB]])))</f>
        <v/>
      </c>
      <c r="AX5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4" s="25" t="str">
        <f ca="1">IF(NOTA[[#This Row],[ID_H]]="","",MATCH(NOTA[[#This Row],[NB NOTA_C_QTY]],[3]!db[NB NOTA_C_QTY+F],0))</f>
        <v/>
      </c>
      <c r="AZ564" s="38" t="str">
        <f ca="1">IF(NOTA[[#This Row],[NB NOTA_C_QTY]]="","",ROW()-2)</f>
        <v/>
      </c>
    </row>
    <row r="565" spans="1:52" ht="20.100000000000001" customHeight="1">
      <c r="A5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5" s="25" t="str">
        <f ca="1">IF(NOTA[[#This Row],[NAMA BARANG]]="","",INDEX(NOTA[ID],MATCH(,INDIRECT(ADDRESS(ROW(NOTA[ID]),COLUMN(NOTA[ID]))&amp;":"&amp;ADDRESS(ROW(),COLUMN(NOTA[ID]))),-1)))</f>
        <v/>
      </c>
      <c r="E565" s="33"/>
      <c r="H565" s="34"/>
      <c r="Q565" s="29"/>
      <c r="R565" s="35"/>
      <c r="S565" s="36"/>
      <c r="V565" s="37"/>
      <c r="W565" s="32"/>
      <c r="X565" s="37" t="str">
        <f>IF(NOTA[[#This Row],[HARGA/ CTN]]="",NOTA[[#This Row],[JUMLAH_H]],NOTA[[#This Row],[HARGA/ CTN]]*IF(NOTA[[#This Row],[C]]="",0,NOTA[[#This Row],[C]]))</f>
        <v/>
      </c>
      <c r="Y565" s="37" t="str">
        <f>IF(NOTA[[#This Row],[JUMLAH]]="","",NOTA[[#This Row],[JUMLAH]]*NOTA[[#This Row],[DISC 1]])</f>
        <v/>
      </c>
      <c r="Z565" s="37" t="str">
        <f>IF(NOTA[[#This Row],[JUMLAH]]="","",(NOTA[[#This Row],[JUMLAH]]-NOTA[[#This Row],[DISC 1-]])*NOTA[[#This Row],[DISC 2]])</f>
        <v/>
      </c>
      <c r="AA565" s="37" t="str">
        <f>IF(NOTA[[#This Row],[JUMLAH]]="","",(NOTA[[#This Row],[JUMLAH]]-NOTA[[#This Row],[DISC 1-]]-NOTA[[#This Row],[DISC 2-]])*NOTA[[#This Row],[DISC 3]])</f>
        <v/>
      </c>
      <c r="AB565" s="37" t="str">
        <f>IF(NOTA[[#This Row],[JUMLAH]]="","",NOTA[[#This Row],[DISC 1-]]+NOTA[[#This Row],[DISC 2-]]+NOTA[[#This Row],[DISC 3-]])</f>
        <v/>
      </c>
      <c r="AC565" s="37" t="str">
        <f>IF(NOTA[[#This Row],[JUMLAH]]="","",NOTA[[#This Row],[JUMLAH]]-NOTA[[#This Row],[DISC]])</f>
        <v/>
      </c>
      <c r="AD565" s="37"/>
      <c r="AE5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5" s="37" t="str">
        <f>IF(OR(NOTA[[#This Row],[QTY]]="",NOTA[[#This Row],[HARGA SATUAN]]="",),"",NOTA[[#This Row],[QTY]]*NOTA[[#This Row],[HARGA SATUAN]])</f>
        <v/>
      </c>
      <c r="AI565" s="26" t="str">
        <f ca="1">IF(NOTA[[#This Row],[ID_H]]="","",INDEX(NOTA[TANGGAL],MATCH(,INDIRECT(ADDRESS(ROW(NOTA[TANGGAL]),COLUMN(NOTA[TANGGAL]))&amp;":"&amp;ADDRESS(ROW(),COLUMN(NOTA[TANGGAL]))),-1)))</f>
        <v/>
      </c>
      <c r="AJ565" s="26" t="str">
        <f ca="1">IF(NOTA[[#This Row],[ID_H]]="","",INDEX(NOTA[TGL.NOTA],MATCH(,INDIRECT(ADDRESS(ROW(NOTA[TGL.NOTA]),COLUMN(NOTA[TGL.NOTA]))&amp;":"&amp;ADDRESS(ROW(),COLUMN(NOTA[TGL.NOTA]))),-1)))</f>
        <v/>
      </c>
      <c r="AK565" s="26" t="str">
        <f ca="1">IF(NOTA[[#This Row],[ID_H]]="","",INDEX(NOTA[NO.NOTA],MATCH(NOTA[[#This Row],[ID_H]],NOTA[ID_H],0)))</f>
        <v/>
      </c>
      <c r="AL565" s="28" t="str">
        <f ca="1">IF(NOTA[[#This Row],[NAMA BARANG]]="","",INDEX(NOTA[SUPPLIER],MATCH(,INDIRECT(ADDRESS(ROW(NOTA[ID]),COLUMN(NOTA[ID]))&amp;":"&amp;ADDRESS(ROW(),COLUMN(NOTA[ID]))),-1)))</f>
        <v/>
      </c>
      <c r="AM565" s="28" t="str">
        <f ca="1">IF(NOTA[[#This Row],[ID_H]]="","",IF(NOTA[[#This Row],[FAKTUR]]="",INDIRECT(ADDRESS(ROW()-1,COLUMN())),NOTA[[#This Row],[FAKTUR]]))</f>
        <v/>
      </c>
      <c r="AN565" s="25" t="str">
        <f ca="1">IF(NOTA[[#This Row],[ID]]="","",COUNTIF(NOTA[ID_H],NOTA[[#This Row],[ID_H]]))</f>
        <v/>
      </c>
      <c r="AO565" s="25" t="str">
        <f ca="1">IF(NOTA[[#This Row],[TGL.NOTA]]="",IF(NOTA[[#This Row],[SUPPLIER_H]]="","",AO564),MONTH(NOTA[[#This Row],[TGL.NOTA]]))</f>
        <v/>
      </c>
      <c r="AP5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5" s="25"/>
      <c r="AU565" s="25" t="str">
        <f>IF(NOTA[[#This Row],[CONCAT1]]="","",MATCH(NOTA[[#This Row],[CONCAT1]],[3]!db[NB NOTA_C],0))</f>
        <v/>
      </c>
      <c r="AV565" s="25" t="str">
        <f>IF(NOTA[[#This Row],[QTY/ CTN]]="","",TRUE)</f>
        <v/>
      </c>
      <c r="AW565" s="25" t="str">
        <f ca="1">IF(NOTA[[#This Row],[ID_H]]="","",IF(NOTA[[#This Row],[Column3]]=TRUE,NOTA[[#This Row],[QTY/ CTN]],INDEX([3]!db[QTY/ CTN],NOTA[[#This Row],[//DB]])))</f>
        <v/>
      </c>
      <c r="AX5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5" s="25" t="str">
        <f ca="1">IF(NOTA[[#This Row],[ID_H]]="","",MATCH(NOTA[[#This Row],[NB NOTA_C_QTY]],[3]!db[NB NOTA_C_QTY+F],0))</f>
        <v/>
      </c>
      <c r="AZ565" s="38" t="str">
        <f ca="1">IF(NOTA[[#This Row],[NB NOTA_C_QTY]]="","",ROW()-2)</f>
        <v/>
      </c>
    </row>
    <row r="566" spans="1:52" ht="20.100000000000001" customHeight="1">
      <c r="A5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6" s="25" t="str">
        <f ca="1">IF(NOTA[[#This Row],[NAMA BARANG]]="","",INDEX(NOTA[ID],MATCH(,INDIRECT(ADDRESS(ROW(NOTA[ID]),COLUMN(NOTA[ID]))&amp;":"&amp;ADDRESS(ROW(),COLUMN(NOTA[ID]))),-1)))</f>
        <v/>
      </c>
      <c r="E566" s="33"/>
      <c r="H566" s="34"/>
      <c r="Q566" s="29"/>
      <c r="R566" s="35"/>
      <c r="S566" s="36"/>
      <c r="V566" s="37"/>
      <c r="W566" s="32"/>
      <c r="X566" s="37" t="str">
        <f>IF(NOTA[[#This Row],[HARGA/ CTN]]="",NOTA[[#This Row],[JUMLAH_H]],NOTA[[#This Row],[HARGA/ CTN]]*IF(NOTA[[#This Row],[C]]="",0,NOTA[[#This Row],[C]]))</f>
        <v/>
      </c>
      <c r="Y566" s="37" t="str">
        <f>IF(NOTA[[#This Row],[JUMLAH]]="","",NOTA[[#This Row],[JUMLAH]]*NOTA[[#This Row],[DISC 1]])</f>
        <v/>
      </c>
      <c r="Z566" s="37" t="str">
        <f>IF(NOTA[[#This Row],[JUMLAH]]="","",(NOTA[[#This Row],[JUMLAH]]-NOTA[[#This Row],[DISC 1-]])*NOTA[[#This Row],[DISC 2]])</f>
        <v/>
      </c>
      <c r="AA566" s="37" t="str">
        <f>IF(NOTA[[#This Row],[JUMLAH]]="","",(NOTA[[#This Row],[JUMLAH]]-NOTA[[#This Row],[DISC 1-]]-NOTA[[#This Row],[DISC 2-]])*NOTA[[#This Row],[DISC 3]])</f>
        <v/>
      </c>
      <c r="AB566" s="37" t="str">
        <f>IF(NOTA[[#This Row],[JUMLAH]]="","",NOTA[[#This Row],[DISC 1-]]+NOTA[[#This Row],[DISC 2-]]+NOTA[[#This Row],[DISC 3-]])</f>
        <v/>
      </c>
      <c r="AC566" s="37" t="str">
        <f>IF(NOTA[[#This Row],[JUMLAH]]="","",NOTA[[#This Row],[JUMLAH]]-NOTA[[#This Row],[DISC]])</f>
        <v/>
      </c>
      <c r="AD566" s="37"/>
      <c r="AE5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6" s="37" t="str">
        <f>IF(OR(NOTA[[#This Row],[QTY]]="",NOTA[[#This Row],[HARGA SATUAN]]="",),"",NOTA[[#This Row],[QTY]]*NOTA[[#This Row],[HARGA SATUAN]])</f>
        <v/>
      </c>
      <c r="AI566" s="26" t="str">
        <f ca="1">IF(NOTA[[#This Row],[ID_H]]="","",INDEX(NOTA[TANGGAL],MATCH(,INDIRECT(ADDRESS(ROW(NOTA[TANGGAL]),COLUMN(NOTA[TANGGAL]))&amp;":"&amp;ADDRESS(ROW(),COLUMN(NOTA[TANGGAL]))),-1)))</f>
        <v/>
      </c>
      <c r="AJ566" s="26" t="str">
        <f ca="1">IF(NOTA[[#This Row],[ID_H]]="","",INDEX(NOTA[TGL.NOTA],MATCH(,INDIRECT(ADDRESS(ROW(NOTA[TGL.NOTA]),COLUMN(NOTA[TGL.NOTA]))&amp;":"&amp;ADDRESS(ROW(),COLUMN(NOTA[TGL.NOTA]))),-1)))</f>
        <v/>
      </c>
      <c r="AK566" s="26" t="str">
        <f ca="1">IF(NOTA[[#This Row],[ID_H]]="","",INDEX(NOTA[NO.NOTA],MATCH(NOTA[[#This Row],[ID_H]],NOTA[ID_H],0)))</f>
        <v/>
      </c>
      <c r="AL566" s="28" t="str">
        <f ca="1">IF(NOTA[[#This Row],[NAMA BARANG]]="","",INDEX(NOTA[SUPPLIER],MATCH(,INDIRECT(ADDRESS(ROW(NOTA[ID]),COLUMN(NOTA[ID]))&amp;":"&amp;ADDRESS(ROW(),COLUMN(NOTA[ID]))),-1)))</f>
        <v/>
      </c>
      <c r="AM566" s="28" t="str">
        <f ca="1">IF(NOTA[[#This Row],[ID_H]]="","",IF(NOTA[[#This Row],[FAKTUR]]="",INDIRECT(ADDRESS(ROW()-1,COLUMN())),NOTA[[#This Row],[FAKTUR]]))</f>
        <v/>
      </c>
      <c r="AN566" s="25" t="str">
        <f ca="1">IF(NOTA[[#This Row],[ID]]="","",COUNTIF(NOTA[ID_H],NOTA[[#This Row],[ID_H]]))</f>
        <v/>
      </c>
      <c r="AO566" s="25" t="str">
        <f ca="1">IF(NOTA[[#This Row],[TGL.NOTA]]="",IF(NOTA[[#This Row],[SUPPLIER_H]]="","",AO565),MONTH(NOTA[[#This Row],[TGL.NOTA]]))</f>
        <v/>
      </c>
      <c r="AP5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6" s="25"/>
      <c r="AU566" s="25" t="str">
        <f>IF(NOTA[[#This Row],[CONCAT1]]="","",MATCH(NOTA[[#This Row],[CONCAT1]],[3]!db[NB NOTA_C],0))</f>
        <v/>
      </c>
      <c r="AV566" s="25" t="str">
        <f>IF(NOTA[[#This Row],[QTY/ CTN]]="","",TRUE)</f>
        <v/>
      </c>
      <c r="AW566" s="25" t="str">
        <f ca="1">IF(NOTA[[#This Row],[ID_H]]="","",IF(NOTA[[#This Row],[Column3]]=TRUE,NOTA[[#This Row],[QTY/ CTN]],INDEX([3]!db[QTY/ CTN],NOTA[[#This Row],[//DB]])))</f>
        <v/>
      </c>
      <c r="AX5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6" s="25" t="str">
        <f ca="1">IF(NOTA[[#This Row],[ID_H]]="","",MATCH(NOTA[[#This Row],[NB NOTA_C_QTY]],[3]!db[NB NOTA_C_QTY+F],0))</f>
        <v/>
      </c>
      <c r="AZ566" s="38" t="str">
        <f ca="1">IF(NOTA[[#This Row],[NB NOTA_C_QTY]]="","",ROW()-2)</f>
        <v/>
      </c>
    </row>
    <row r="567" spans="1:52" ht="20.100000000000001" customHeight="1">
      <c r="A5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7" s="25" t="str">
        <f ca="1">IF(NOTA[[#This Row],[NAMA BARANG]]="","",INDEX(NOTA[ID],MATCH(,INDIRECT(ADDRESS(ROW(NOTA[ID]),COLUMN(NOTA[ID]))&amp;":"&amp;ADDRESS(ROW(),COLUMN(NOTA[ID]))),-1)))</f>
        <v/>
      </c>
      <c r="E567" s="33"/>
      <c r="H567" s="34"/>
      <c r="Q567" s="29"/>
      <c r="R567" s="35"/>
      <c r="S567" s="36"/>
      <c r="V567" s="37"/>
      <c r="W567" s="32"/>
      <c r="X567" s="37" t="str">
        <f>IF(NOTA[[#This Row],[HARGA/ CTN]]="",NOTA[[#This Row],[JUMLAH_H]],NOTA[[#This Row],[HARGA/ CTN]]*IF(NOTA[[#This Row],[C]]="",0,NOTA[[#This Row],[C]]))</f>
        <v/>
      </c>
      <c r="Y567" s="37" t="str">
        <f>IF(NOTA[[#This Row],[JUMLAH]]="","",NOTA[[#This Row],[JUMLAH]]*NOTA[[#This Row],[DISC 1]])</f>
        <v/>
      </c>
      <c r="Z567" s="37" t="str">
        <f>IF(NOTA[[#This Row],[JUMLAH]]="","",(NOTA[[#This Row],[JUMLAH]]-NOTA[[#This Row],[DISC 1-]])*NOTA[[#This Row],[DISC 2]])</f>
        <v/>
      </c>
      <c r="AA567" s="37" t="str">
        <f>IF(NOTA[[#This Row],[JUMLAH]]="","",(NOTA[[#This Row],[JUMLAH]]-NOTA[[#This Row],[DISC 1-]]-NOTA[[#This Row],[DISC 2-]])*NOTA[[#This Row],[DISC 3]])</f>
        <v/>
      </c>
      <c r="AB567" s="37" t="str">
        <f>IF(NOTA[[#This Row],[JUMLAH]]="","",NOTA[[#This Row],[DISC 1-]]+NOTA[[#This Row],[DISC 2-]]+NOTA[[#This Row],[DISC 3-]])</f>
        <v/>
      </c>
      <c r="AC567" s="37" t="str">
        <f>IF(NOTA[[#This Row],[JUMLAH]]="","",NOTA[[#This Row],[JUMLAH]]-NOTA[[#This Row],[DISC]])</f>
        <v/>
      </c>
      <c r="AD567" s="37"/>
      <c r="AE5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7" s="37" t="str">
        <f>IF(OR(NOTA[[#This Row],[QTY]]="",NOTA[[#This Row],[HARGA SATUAN]]="",),"",NOTA[[#This Row],[QTY]]*NOTA[[#This Row],[HARGA SATUAN]])</f>
        <v/>
      </c>
      <c r="AI567" s="26" t="str">
        <f ca="1">IF(NOTA[[#This Row],[ID_H]]="","",INDEX(NOTA[TANGGAL],MATCH(,INDIRECT(ADDRESS(ROW(NOTA[TANGGAL]),COLUMN(NOTA[TANGGAL]))&amp;":"&amp;ADDRESS(ROW(),COLUMN(NOTA[TANGGAL]))),-1)))</f>
        <v/>
      </c>
      <c r="AJ567" s="26" t="str">
        <f ca="1">IF(NOTA[[#This Row],[ID_H]]="","",INDEX(NOTA[TGL.NOTA],MATCH(,INDIRECT(ADDRESS(ROW(NOTA[TGL.NOTA]),COLUMN(NOTA[TGL.NOTA]))&amp;":"&amp;ADDRESS(ROW(),COLUMN(NOTA[TGL.NOTA]))),-1)))</f>
        <v/>
      </c>
      <c r="AK567" s="26" t="str">
        <f ca="1">IF(NOTA[[#This Row],[ID_H]]="","",INDEX(NOTA[NO.NOTA],MATCH(NOTA[[#This Row],[ID_H]],NOTA[ID_H],0)))</f>
        <v/>
      </c>
      <c r="AL567" s="28" t="str">
        <f ca="1">IF(NOTA[[#This Row],[NAMA BARANG]]="","",INDEX(NOTA[SUPPLIER],MATCH(,INDIRECT(ADDRESS(ROW(NOTA[ID]),COLUMN(NOTA[ID]))&amp;":"&amp;ADDRESS(ROW(),COLUMN(NOTA[ID]))),-1)))</f>
        <v/>
      </c>
      <c r="AM567" s="28" t="str">
        <f ca="1">IF(NOTA[[#This Row],[ID_H]]="","",IF(NOTA[[#This Row],[FAKTUR]]="",INDIRECT(ADDRESS(ROW()-1,COLUMN())),NOTA[[#This Row],[FAKTUR]]))</f>
        <v/>
      </c>
      <c r="AN567" s="25" t="str">
        <f ca="1">IF(NOTA[[#This Row],[ID]]="","",COUNTIF(NOTA[ID_H],NOTA[[#This Row],[ID_H]]))</f>
        <v/>
      </c>
      <c r="AO567" s="25" t="str">
        <f ca="1">IF(NOTA[[#This Row],[TGL.NOTA]]="",IF(NOTA[[#This Row],[SUPPLIER_H]]="","",AO566),MONTH(NOTA[[#This Row],[TGL.NOTA]]))</f>
        <v/>
      </c>
      <c r="AP5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7" s="25"/>
      <c r="AU567" s="25" t="str">
        <f>IF(NOTA[[#This Row],[CONCAT1]]="","",MATCH(NOTA[[#This Row],[CONCAT1]],[3]!db[NB NOTA_C],0))</f>
        <v/>
      </c>
      <c r="AV567" s="25" t="str">
        <f>IF(NOTA[[#This Row],[QTY/ CTN]]="","",TRUE)</f>
        <v/>
      </c>
      <c r="AW567" s="25" t="str">
        <f ca="1">IF(NOTA[[#This Row],[ID_H]]="","",IF(NOTA[[#This Row],[Column3]]=TRUE,NOTA[[#This Row],[QTY/ CTN]],INDEX([3]!db[QTY/ CTN],NOTA[[#This Row],[//DB]])))</f>
        <v/>
      </c>
      <c r="AX5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7" s="25" t="str">
        <f ca="1">IF(NOTA[[#This Row],[ID_H]]="","",MATCH(NOTA[[#This Row],[NB NOTA_C_QTY]],[3]!db[NB NOTA_C_QTY+F],0))</f>
        <v/>
      </c>
      <c r="AZ567" s="38" t="str">
        <f ca="1">IF(NOTA[[#This Row],[NB NOTA_C_QTY]]="","",ROW()-2)</f>
        <v/>
      </c>
    </row>
    <row r="568" spans="1:52" ht="20.100000000000001" customHeight="1">
      <c r="A5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8" s="25" t="str">
        <f ca="1">IF(NOTA[[#This Row],[NAMA BARANG]]="","",INDEX(NOTA[ID],MATCH(,INDIRECT(ADDRESS(ROW(NOTA[ID]),COLUMN(NOTA[ID]))&amp;":"&amp;ADDRESS(ROW(),COLUMN(NOTA[ID]))),-1)))</f>
        <v/>
      </c>
      <c r="E568" s="33"/>
      <c r="H568" s="34"/>
      <c r="Q568" s="29"/>
      <c r="R568" s="35"/>
      <c r="S568" s="36"/>
      <c r="V568" s="37"/>
      <c r="W568" s="32"/>
      <c r="X568" s="37" t="str">
        <f>IF(NOTA[[#This Row],[HARGA/ CTN]]="",NOTA[[#This Row],[JUMLAH_H]],NOTA[[#This Row],[HARGA/ CTN]]*IF(NOTA[[#This Row],[C]]="",0,NOTA[[#This Row],[C]]))</f>
        <v/>
      </c>
      <c r="Y568" s="37" t="str">
        <f>IF(NOTA[[#This Row],[JUMLAH]]="","",NOTA[[#This Row],[JUMLAH]]*NOTA[[#This Row],[DISC 1]])</f>
        <v/>
      </c>
      <c r="Z568" s="37" t="str">
        <f>IF(NOTA[[#This Row],[JUMLAH]]="","",(NOTA[[#This Row],[JUMLAH]]-NOTA[[#This Row],[DISC 1-]])*NOTA[[#This Row],[DISC 2]])</f>
        <v/>
      </c>
      <c r="AA568" s="37" t="str">
        <f>IF(NOTA[[#This Row],[JUMLAH]]="","",(NOTA[[#This Row],[JUMLAH]]-NOTA[[#This Row],[DISC 1-]]-NOTA[[#This Row],[DISC 2-]])*NOTA[[#This Row],[DISC 3]])</f>
        <v/>
      </c>
      <c r="AB568" s="37" t="str">
        <f>IF(NOTA[[#This Row],[JUMLAH]]="","",NOTA[[#This Row],[DISC 1-]]+NOTA[[#This Row],[DISC 2-]]+NOTA[[#This Row],[DISC 3-]])</f>
        <v/>
      </c>
      <c r="AC568" s="37" t="str">
        <f>IF(NOTA[[#This Row],[JUMLAH]]="","",NOTA[[#This Row],[JUMLAH]]-NOTA[[#This Row],[DISC]])</f>
        <v/>
      </c>
      <c r="AD568" s="37"/>
      <c r="AE5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8" s="37" t="str">
        <f>IF(OR(NOTA[[#This Row],[QTY]]="",NOTA[[#This Row],[HARGA SATUAN]]="",),"",NOTA[[#This Row],[QTY]]*NOTA[[#This Row],[HARGA SATUAN]])</f>
        <v/>
      </c>
      <c r="AI568" s="26" t="str">
        <f ca="1">IF(NOTA[[#This Row],[ID_H]]="","",INDEX(NOTA[TANGGAL],MATCH(,INDIRECT(ADDRESS(ROW(NOTA[TANGGAL]),COLUMN(NOTA[TANGGAL]))&amp;":"&amp;ADDRESS(ROW(),COLUMN(NOTA[TANGGAL]))),-1)))</f>
        <v/>
      </c>
      <c r="AJ568" s="26" t="str">
        <f ca="1">IF(NOTA[[#This Row],[ID_H]]="","",INDEX(NOTA[TGL.NOTA],MATCH(,INDIRECT(ADDRESS(ROW(NOTA[TGL.NOTA]),COLUMN(NOTA[TGL.NOTA]))&amp;":"&amp;ADDRESS(ROW(),COLUMN(NOTA[TGL.NOTA]))),-1)))</f>
        <v/>
      </c>
      <c r="AK568" s="26" t="str">
        <f ca="1">IF(NOTA[[#This Row],[ID_H]]="","",INDEX(NOTA[NO.NOTA],MATCH(NOTA[[#This Row],[ID_H]],NOTA[ID_H],0)))</f>
        <v/>
      </c>
      <c r="AL568" s="28" t="str">
        <f ca="1">IF(NOTA[[#This Row],[NAMA BARANG]]="","",INDEX(NOTA[SUPPLIER],MATCH(,INDIRECT(ADDRESS(ROW(NOTA[ID]),COLUMN(NOTA[ID]))&amp;":"&amp;ADDRESS(ROW(),COLUMN(NOTA[ID]))),-1)))</f>
        <v/>
      </c>
      <c r="AM568" s="28" t="str">
        <f ca="1">IF(NOTA[[#This Row],[ID_H]]="","",IF(NOTA[[#This Row],[FAKTUR]]="",INDIRECT(ADDRESS(ROW()-1,COLUMN())),NOTA[[#This Row],[FAKTUR]]))</f>
        <v/>
      </c>
      <c r="AN568" s="25" t="str">
        <f ca="1">IF(NOTA[[#This Row],[ID]]="","",COUNTIF(NOTA[ID_H],NOTA[[#This Row],[ID_H]]))</f>
        <v/>
      </c>
      <c r="AO568" s="25" t="str">
        <f ca="1">IF(NOTA[[#This Row],[TGL.NOTA]]="",IF(NOTA[[#This Row],[SUPPLIER_H]]="","",AO567),MONTH(NOTA[[#This Row],[TGL.NOTA]]))</f>
        <v/>
      </c>
      <c r="AP5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8" s="25"/>
      <c r="AU568" s="25" t="str">
        <f>IF(NOTA[[#This Row],[CONCAT1]]="","",MATCH(NOTA[[#This Row],[CONCAT1]],[3]!db[NB NOTA_C],0))</f>
        <v/>
      </c>
      <c r="AV568" s="25" t="str">
        <f>IF(NOTA[[#This Row],[QTY/ CTN]]="","",TRUE)</f>
        <v/>
      </c>
      <c r="AW568" s="25" t="str">
        <f ca="1">IF(NOTA[[#This Row],[ID_H]]="","",IF(NOTA[[#This Row],[Column3]]=TRUE,NOTA[[#This Row],[QTY/ CTN]],INDEX([3]!db[QTY/ CTN],NOTA[[#This Row],[//DB]])))</f>
        <v/>
      </c>
      <c r="AX5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8" s="25" t="str">
        <f ca="1">IF(NOTA[[#This Row],[ID_H]]="","",MATCH(NOTA[[#This Row],[NB NOTA_C_QTY]],[3]!db[NB NOTA_C_QTY+F],0))</f>
        <v/>
      </c>
      <c r="AZ568" s="38" t="str">
        <f ca="1">IF(NOTA[[#This Row],[NB NOTA_C_QTY]]="","",ROW()-2)</f>
        <v/>
      </c>
    </row>
    <row r="569" spans="1:52" ht="20.100000000000001" customHeight="1">
      <c r="A5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9" s="25" t="str">
        <f ca="1">IF(NOTA[[#This Row],[NAMA BARANG]]="","",INDEX(NOTA[ID],MATCH(,INDIRECT(ADDRESS(ROW(NOTA[ID]),COLUMN(NOTA[ID]))&amp;":"&amp;ADDRESS(ROW(),COLUMN(NOTA[ID]))),-1)))</f>
        <v/>
      </c>
      <c r="E569" s="33"/>
      <c r="H569" s="34"/>
      <c r="Q569" s="29"/>
      <c r="R569" s="35"/>
      <c r="S569" s="36"/>
      <c r="V569" s="37"/>
      <c r="W569" s="32"/>
      <c r="X569" s="37" t="str">
        <f>IF(NOTA[[#This Row],[HARGA/ CTN]]="",NOTA[[#This Row],[JUMLAH_H]],NOTA[[#This Row],[HARGA/ CTN]]*IF(NOTA[[#This Row],[C]]="",0,NOTA[[#This Row],[C]]))</f>
        <v/>
      </c>
      <c r="Y569" s="37" t="str">
        <f>IF(NOTA[[#This Row],[JUMLAH]]="","",NOTA[[#This Row],[JUMLAH]]*NOTA[[#This Row],[DISC 1]])</f>
        <v/>
      </c>
      <c r="Z569" s="37" t="str">
        <f>IF(NOTA[[#This Row],[JUMLAH]]="","",(NOTA[[#This Row],[JUMLAH]]-NOTA[[#This Row],[DISC 1-]])*NOTA[[#This Row],[DISC 2]])</f>
        <v/>
      </c>
      <c r="AA569" s="37" t="str">
        <f>IF(NOTA[[#This Row],[JUMLAH]]="","",(NOTA[[#This Row],[JUMLAH]]-NOTA[[#This Row],[DISC 1-]]-NOTA[[#This Row],[DISC 2-]])*NOTA[[#This Row],[DISC 3]])</f>
        <v/>
      </c>
      <c r="AB569" s="37" t="str">
        <f>IF(NOTA[[#This Row],[JUMLAH]]="","",NOTA[[#This Row],[DISC 1-]]+NOTA[[#This Row],[DISC 2-]]+NOTA[[#This Row],[DISC 3-]])</f>
        <v/>
      </c>
      <c r="AC569" s="37" t="str">
        <f>IF(NOTA[[#This Row],[JUMLAH]]="","",NOTA[[#This Row],[JUMLAH]]-NOTA[[#This Row],[DISC]])</f>
        <v/>
      </c>
      <c r="AD569" s="37"/>
      <c r="AE5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9" s="37" t="str">
        <f>IF(OR(NOTA[[#This Row],[QTY]]="",NOTA[[#This Row],[HARGA SATUAN]]="",),"",NOTA[[#This Row],[QTY]]*NOTA[[#This Row],[HARGA SATUAN]])</f>
        <v/>
      </c>
      <c r="AI569" s="26" t="str">
        <f ca="1">IF(NOTA[[#This Row],[ID_H]]="","",INDEX(NOTA[TANGGAL],MATCH(,INDIRECT(ADDRESS(ROW(NOTA[TANGGAL]),COLUMN(NOTA[TANGGAL]))&amp;":"&amp;ADDRESS(ROW(),COLUMN(NOTA[TANGGAL]))),-1)))</f>
        <v/>
      </c>
      <c r="AJ569" s="26" t="str">
        <f ca="1">IF(NOTA[[#This Row],[ID_H]]="","",INDEX(NOTA[TGL.NOTA],MATCH(,INDIRECT(ADDRESS(ROW(NOTA[TGL.NOTA]),COLUMN(NOTA[TGL.NOTA]))&amp;":"&amp;ADDRESS(ROW(),COLUMN(NOTA[TGL.NOTA]))),-1)))</f>
        <v/>
      </c>
      <c r="AK569" s="26" t="str">
        <f ca="1">IF(NOTA[[#This Row],[ID_H]]="","",INDEX(NOTA[NO.NOTA],MATCH(NOTA[[#This Row],[ID_H]],NOTA[ID_H],0)))</f>
        <v/>
      </c>
      <c r="AL569" s="28" t="str">
        <f ca="1">IF(NOTA[[#This Row],[NAMA BARANG]]="","",INDEX(NOTA[SUPPLIER],MATCH(,INDIRECT(ADDRESS(ROW(NOTA[ID]),COLUMN(NOTA[ID]))&amp;":"&amp;ADDRESS(ROW(),COLUMN(NOTA[ID]))),-1)))</f>
        <v/>
      </c>
      <c r="AM569" s="28" t="str">
        <f ca="1">IF(NOTA[[#This Row],[ID_H]]="","",IF(NOTA[[#This Row],[FAKTUR]]="",INDIRECT(ADDRESS(ROW()-1,COLUMN())),NOTA[[#This Row],[FAKTUR]]))</f>
        <v/>
      </c>
      <c r="AN569" s="25" t="str">
        <f ca="1">IF(NOTA[[#This Row],[ID]]="","",COUNTIF(NOTA[ID_H],NOTA[[#This Row],[ID_H]]))</f>
        <v/>
      </c>
      <c r="AO569" s="25" t="str">
        <f ca="1">IF(NOTA[[#This Row],[TGL.NOTA]]="",IF(NOTA[[#This Row],[SUPPLIER_H]]="","",AO568),MONTH(NOTA[[#This Row],[TGL.NOTA]]))</f>
        <v/>
      </c>
      <c r="AP5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9" s="25"/>
      <c r="AU569" s="25" t="str">
        <f>IF(NOTA[[#This Row],[CONCAT1]]="","",MATCH(NOTA[[#This Row],[CONCAT1]],[3]!db[NB NOTA_C],0))</f>
        <v/>
      </c>
      <c r="AV569" s="25" t="str">
        <f>IF(NOTA[[#This Row],[QTY/ CTN]]="","",TRUE)</f>
        <v/>
      </c>
      <c r="AW569" s="25" t="str">
        <f ca="1">IF(NOTA[[#This Row],[ID_H]]="","",IF(NOTA[[#This Row],[Column3]]=TRUE,NOTA[[#This Row],[QTY/ CTN]],INDEX([3]!db[QTY/ CTN],NOTA[[#This Row],[//DB]])))</f>
        <v/>
      </c>
      <c r="AX5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9" s="25" t="str">
        <f ca="1">IF(NOTA[[#This Row],[ID_H]]="","",MATCH(NOTA[[#This Row],[NB NOTA_C_QTY]],[3]!db[NB NOTA_C_QTY+F],0))</f>
        <v/>
      </c>
      <c r="AZ569" s="38" t="str">
        <f ca="1">IF(NOTA[[#This Row],[NB NOTA_C_QTY]]="","",ROW()-2)</f>
        <v/>
      </c>
    </row>
    <row r="570" spans="1:52" ht="20.100000000000001" customHeight="1">
      <c r="A5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0" s="25" t="str">
        <f ca="1">IF(NOTA[[#This Row],[NAMA BARANG]]="","",INDEX(NOTA[ID],MATCH(,INDIRECT(ADDRESS(ROW(NOTA[ID]),COLUMN(NOTA[ID]))&amp;":"&amp;ADDRESS(ROW(),COLUMN(NOTA[ID]))),-1)))</f>
        <v/>
      </c>
      <c r="E570" s="33"/>
      <c r="H570" s="34"/>
      <c r="Q570" s="29"/>
      <c r="R570" s="35"/>
      <c r="S570" s="36"/>
      <c r="V570" s="37"/>
      <c r="W570" s="32"/>
      <c r="X570" s="37" t="str">
        <f>IF(NOTA[[#This Row],[HARGA/ CTN]]="",NOTA[[#This Row],[JUMLAH_H]],NOTA[[#This Row],[HARGA/ CTN]]*IF(NOTA[[#This Row],[C]]="",0,NOTA[[#This Row],[C]]))</f>
        <v/>
      </c>
      <c r="Y570" s="37" t="str">
        <f>IF(NOTA[[#This Row],[JUMLAH]]="","",NOTA[[#This Row],[JUMLAH]]*NOTA[[#This Row],[DISC 1]])</f>
        <v/>
      </c>
      <c r="Z570" s="37" t="str">
        <f>IF(NOTA[[#This Row],[JUMLAH]]="","",(NOTA[[#This Row],[JUMLAH]]-NOTA[[#This Row],[DISC 1-]])*NOTA[[#This Row],[DISC 2]])</f>
        <v/>
      </c>
      <c r="AA570" s="37" t="str">
        <f>IF(NOTA[[#This Row],[JUMLAH]]="","",(NOTA[[#This Row],[JUMLAH]]-NOTA[[#This Row],[DISC 1-]]-NOTA[[#This Row],[DISC 2-]])*NOTA[[#This Row],[DISC 3]])</f>
        <v/>
      </c>
      <c r="AB570" s="37" t="str">
        <f>IF(NOTA[[#This Row],[JUMLAH]]="","",NOTA[[#This Row],[DISC 1-]]+NOTA[[#This Row],[DISC 2-]]+NOTA[[#This Row],[DISC 3-]])</f>
        <v/>
      </c>
      <c r="AC570" s="37" t="str">
        <f>IF(NOTA[[#This Row],[JUMLAH]]="","",NOTA[[#This Row],[JUMLAH]]-NOTA[[#This Row],[DISC]])</f>
        <v/>
      </c>
      <c r="AD570" s="37"/>
      <c r="AE5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0" s="37" t="str">
        <f>IF(OR(NOTA[[#This Row],[QTY]]="",NOTA[[#This Row],[HARGA SATUAN]]="",),"",NOTA[[#This Row],[QTY]]*NOTA[[#This Row],[HARGA SATUAN]])</f>
        <v/>
      </c>
      <c r="AI570" s="26" t="str">
        <f ca="1">IF(NOTA[[#This Row],[ID_H]]="","",INDEX(NOTA[TANGGAL],MATCH(,INDIRECT(ADDRESS(ROW(NOTA[TANGGAL]),COLUMN(NOTA[TANGGAL]))&amp;":"&amp;ADDRESS(ROW(),COLUMN(NOTA[TANGGAL]))),-1)))</f>
        <v/>
      </c>
      <c r="AJ570" s="26" t="str">
        <f ca="1">IF(NOTA[[#This Row],[ID_H]]="","",INDEX(NOTA[TGL.NOTA],MATCH(,INDIRECT(ADDRESS(ROW(NOTA[TGL.NOTA]),COLUMN(NOTA[TGL.NOTA]))&amp;":"&amp;ADDRESS(ROW(),COLUMN(NOTA[TGL.NOTA]))),-1)))</f>
        <v/>
      </c>
      <c r="AK570" s="26" t="str">
        <f ca="1">IF(NOTA[[#This Row],[ID_H]]="","",INDEX(NOTA[NO.NOTA],MATCH(NOTA[[#This Row],[ID_H]],NOTA[ID_H],0)))</f>
        <v/>
      </c>
      <c r="AL570" s="28" t="str">
        <f ca="1">IF(NOTA[[#This Row],[NAMA BARANG]]="","",INDEX(NOTA[SUPPLIER],MATCH(,INDIRECT(ADDRESS(ROW(NOTA[ID]),COLUMN(NOTA[ID]))&amp;":"&amp;ADDRESS(ROW(),COLUMN(NOTA[ID]))),-1)))</f>
        <v/>
      </c>
      <c r="AM570" s="28" t="str">
        <f ca="1">IF(NOTA[[#This Row],[ID_H]]="","",IF(NOTA[[#This Row],[FAKTUR]]="",INDIRECT(ADDRESS(ROW()-1,COLUMN())),NOTA[[#This Row],[FAKTUR]]))</f>
        <v/>
      </c>
      <c r="AN570" s="25" t="str">
        <f ca="1">IF(NOTA[[#This Row],[ID]]="","",COUNTIF(NOTA[ID_H],NOTA[[#This Row],[ID_H]]))</f>
        <v/>
      </c>
      <c r="AO570" s="25" t="str">
        <f ca="1">IF(NOTA[[#This Row],[TGL.NOTA]]="",IF(NOTA[[#This Row],[SUPPLIER_H]]="","",AO569),MONTH(NOTA[[#This Row],[TGL.NOTA]]))</f>
        <v/>
      </c>
      <c r="AP5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0" s="25"/>
      <c r="AU570" s="25" t="str">
        <f>IF(NOTA[[#This Row],[CONCAT1]]="","",MATCH(NOTA[[#This Row],[CONCAT1]],[3]!db[NB NOTA_C],0))</f>
        <v/>
      </c>
      <c r="AV570" s="25" t="str">
        <f>IF(NOTA[[#This Row],[QTY/ CTN]]="","",TRUE)</f>
        <v/>
      </c>
      <c r="AW570" s="25" t="str">
        <f ca="1">IF(NOTA[[#This Row],[ID_H]]="","",IF(NOTA[[#This Row],[Column3]]=TRUE,NOTA[[#This Row],[QTY/ CTN]],INDEX([3]!db[QTY/ CTN],NOTA[[#This Row],[//DB]])))</f>
        <v/>
      </c>
      <c r="AX5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0" s="25" t="str">
        <f ca="1">IF(NOTA[[#This Row],[ID_H]]="","",MATCH(NOTA[[#This Row],[NB NOTA_C_QTY]],[3]!db[NB NOTA_C_QTY+F],0))</f>
        <v/>
      </c>
      <c r="AZ570" s="38" t="str">
        <f ca="1">IF(NOTA[[#This Row],[NB NOTA_C_QTY]]="","",ROW()-2)</f>
        <v/>
      </c>
    </row>
    <row r="571" spans="1:52" ht="20.100000000000001" customHeight="1">
      <c r="A5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1" s="25" t="str">
        <f ca="1">IF(NOTA[[#This Row],[NAMA BARANG]]="","",INDEX(NOTA[ID],MATCH(,INDIRECT(ADDRESS(ROW(NOTA[ID]),COLUMN(NOTA[ID]))&amp;":"&amp;ADDRESS(ROW(),COLUMN(NOTA[ID]))),-1)))</f>
        <v/>
      </c>
      <c r="E571" s="33"/>
      <c r="H571" s="34"/>
      <c r="Q571" s="29"/>
      <c r="R571" s="35"/>
      <c r="S571" s="36"/>
      <c r="V571" s="37"/>
      <c r="W571" s="32"/>
      <c r="X571" s="37" t="str">
        <f>IF(NOTA[[#This Row],[HARGA/ CTN]]="",NOTA[[#This Row],[JUMLAH_H]],NOTA[[#This Row],[HARGA/ CTN]]*IF(NOTA[[#This Row],[C]]="",0,NOTA[[#This Row],[C]]))</f>
        <v/>
      </c>
      <c r="Y571" s="37" t="str">
        <f>IF(NOTA[[#This Row],[JUMLAH]]="","",NOTA[[#This Row],[JUMLAH]]*NOTA[[#This Row],[DISC 1]])</f>
        <v/>
      </c>
      <c r="Z571" s="37" t="str">
        <f>IF(NOTA[[#This Row],[JUMLAH]]="","",(NOTA[[#This Row],[JUMLAH]]-NOTA[[#This Row],[DISC 1-]])*NOTA[[#This Row],[DISC 2]])</f>
        <v/>
      </c>
      <c r="AA571" s="37" t="str">
        <f>IF(NOTA[[#This Row],[JUMLAH]]="","",(NOTA[[#This Row],[JUMLAH]]-NOTA[[#This Row],[DISC 1-]]-NOTA[[#This Row],[DISC 2-]])*NOTA[[#This Row],[DISC 3]])</f>
        <v/>
      </c>
      <c r="AB571" s="37" t="str">
        <f>IF(NOTA[[#This Row],[JUMLAH]]="","",NOTA[[#This Row],[DISC 1-]]+NOTA[[#This Row],[DISC 2-]]+NOTA[[#This Row],[DISC 3-]])</f>
        <v/>
      </c>
      <c r="AC571" s="37" t="str">
        <f>IF(NOTA[[#This Row],[JUMLAH]]="","",NOTA[[#This Row],[JUMLAH]]-NOTA[[#This Row],[DISC]])</f>
        <v/>
      </c>
      <c r="AD571" s="37"/>
      <c r="AE5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1" s="37" t="str">
        <f>IF(OR(NOTA[[#This Row],[QTY]]="",NOTA[[#This Row],[HARGA SATUAN]]="",),"",NOTA[[#This Row],[QTY]]*NOTA[[#This Row],[HARGA SATUAN]])</f>
        <v/>
      </c>
      <c r="AI571" s="26" t="str">
        <f ca="1">IF(NOTA[[#This Row],[ID_H]]="","",INDEX(NOTA[TANGGAL],MATCH(,INDIRECT(ADDRESS(ROW(NOTA[TANGGAL]),COLUMN(NOTA[TANGGAL]))&amp;":"&amp;ADDRESS(ROW(),COLUMN(NOTA[TANGGAL]))),-1)))</f>
        <v/>
      </c>
      <c r="AJ571" s="26" t="str">
        <f ca="1">IF(NOTA[[#This Row],[ID_H]]="","",INDEX(NOTA[TGL.NOTA],MATCH(,INDIRECT(ADDRESS(ROW(NOTA[TGL.NOTA]),COLUMN(NOTA[TGL.NOTA]))&amp;":"&amp;ADDRESS(ROW(),COLUMN(NOTA[TGL.NOTA]))),-1)))</f>
        <v/>
      </c>
      <c r="AK571" s="26" t="str">
        <f ca="1">IF(NOTA[[#This Row],[ID_H]]="","",INDEX(NOTA[NO.NOTA],MATCH(NOTA[[#This Row],[ID_H]],NOTA[ID_H],0)))</f>
        <v/>
      </c>
      <c r="AL571" s="28" t="str">
        <f ca="1">IF(NOTA[[#This Row],[NAMA BARANG]]="","",INDEX(NOTA[SUPPLIER],MATCH(,INDIRECT(ADDRESS(ROW(NOTA[ID]),COLUMN(NOTA[ID]))&amp;":"&amp;ADDRESS(ROW(),COLUMN(NOTA[ID]))),-1)))</f>
        <v/>
      </c>
      <c r="AM571" s="28" t="str">
        <f ca="1">IF(NOTA[[#This Row],[ID_H]]="","",IF(NOTA[[#This Row],[FAKTUR]]="",INDIRECT(ADDRESS(ROW()-1,COLUMN())),NOTA[[#This Row],[FAKTUR]]))</f>
        <v/>
      </c>
      <c r="AN571" s="25" t="str">
        <f ca="1">IF(NOTA[[#This Row],[ID]]="","",COUNTIF(NOTA[ID_H],NOTA[[#This Row],[ID_H]]))</f>
        <v/>
      </c>
      <c r="AO571" s="25" t="str">
        <f ca="1">IF(NOTA[[#This Row],[TGL.NOTA]]="",IF(NOTA[[#This Row],[SUPPLIER_H]]="","",AO570),MONTH(NOTA[[#This Row],[TGL.NOTA]]))</f>
        <v/>
      </c>
      <c r="AP5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1" s="25"/>
      <c r="AU571" s="25" t="str">
        <f>IF(NOTA[[#This Row],[CONCAT1]]="","",MATCH(NOTA[[#This Row],[CONCAT1]],[3]!db[NB NOTA_C],0))</f>
        <v/>
      </c>
      <c r="AV571" s="25" t="str">
        <f>IF(NOTA[[#This Row],[QTY/ CTN]]="","",TRUE)</f>
        <v/>
      </c>
      <c r="AW571" s="25" t="str">
        <f ca="1">IF(NOTA[[#This Row],[ID_H]]="","",IF(NOTA[[#This Row],[Column3]]=TRUE,NOTA[[#This Row],[QTY/ CTN]],INDEX([3]!db[QTY/ CTN],NOTA[[#This Row],[//DB]])))</f>
        <v/>
      </c>
      <c r="AX5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1" s="25" t="str">
        <f ca="1">IF(NOTA[[#This Row],[ID_H]]="","",MATCH(NOTA[[#This Row],[NB NOTA_C_QTY]],[3]!db[NB NOTA_C_QTY+F],0))</f>
        <v/>
      </c>
      <c r="AZ571" s="38" t="str">
        <f ca="1">IF(NOTA[[#This Row],[NB NOTA_C_QTY]]="","",ROW()-2)</f>
        <v/>
      </c>
    </row>
    <row r="572" spans="1:52" ht="20.100000000000001" customHeight="1">
      <c r="A5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2" s="25" t="str">
        <f ca="1">IF(NOTA[[#This Row],[NAMA BARANG]]="","",INDEX(NOTA[ID],MATCH(,INDIRECT(ADDRESS(ROW(NOTA[ID]),COLUMN(NOTA[ID]))&amp;":"&amp;ADDRESS(ROW(),COLUMN(NOTA[ID]))),-1)))</f>
        <v/>
      </c>
      <c r="E572" s="33"/>
      <c r="H572" s="34"/>
      <c r="Q572" s="29"/>
      <c r="R572" s="35"/>
      <c r="S572" s="36"/>
      <c r="V572" s="37"/>
      <c r="W572" s="32"/>
      <c r="X572" s="37" t="str">
        <f>IF(NOTA[[#This Row],[HARGA/ CTN]]="",NOTA[[#This Row],[JUMLAH_H]],NOTA[[#This Row],[HARGA/ CTN]]*IF(NOTA[[#This Row],[C]]="",0,NOTA[[#This Row],[C]]))</f>
        <v/>
      </c>
      <c r="Y572" s="37" t="str">
        <f>IF(NOTA[[#This Row],[JUMLAH]]="","",NOTA[[#This Row],[JUMLAH]]*NOTA[[#This Row],[DISC 1]])</f>
        <v/>
      </c>
      <c r="Z572" s="37" t="str">
        <f>IF(NOTA[[#This Row],[JUMLAH]]="","",(NOTA[[#This Row],[JUMLAH]]-NOTA[[#This Row],[DISC 1-]])*NOTA[[#This Row],[DISC 2]])</f>
        <v/>
      </c>
      <c r="AA572" s="37" t="str">
        <f>IF(NOTA[[#This Row],[JUMLAH]]="","",(NOTA[[#This Row],[JUMLAH]]-NOTA[[#This Row],[DISC 1-]]-NOTA[[#This Row],[DISC 2-]])*NOTA[[#This Row],[DISC 3]])</f>
        <v/>
      </c>
      <c r="AB572" s="37" t="str">
        <f>IF(NOTA[[#This Row],[JUMLAH]]="","",NOTA[[#This Row],[DISC 1-]]+NOTA[[#This Row],[DISC 2-]]+NOTA[[#This Row],[DISC 3-]])</f>
        <v/>
      </c>
      <c r="AC572" s="37" t="str">
        <f>IF(NOTA[[#This Row],[JUMLAH]]="","",NOTA[[#This Row],[JUMLAH]]-NOTA[[#This Row],[DISC]])</f>
        <v/>
      </c>
      <c r="AD572" s="37"/>
      <c r="AE5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2" s="37" t="str">
        <f>IF(OR(NOTA[[#This Row],[QTY]]="",NOTA[[#This Row],[HARGA SATUAN]]="",),"",NOTA[[#This Row],[QTY]]*NOTA[[#This Row],[HARGA SATUAN]])</f>
        <v/>
      </c>
      <c r="AI572" s="26" t="str">
        <f ca="1">IF(NOTA[[#This Row],[ID_H]]="","",INDEX(NOTA[TANGGAL],MATCH(,INDIRECT(ADDRESS(ROW(NOTA[TANGGAL]),COLUMN(NOTA[TANGGAL]))&amp;":"&amp;ADDRESS(ROW(),COLUMN(NOTA[TANGGAL]))),-1)))</f>
        <v/>
      </c>
      <c r="AJ572" s="26" t="str">
        <f ca="1">IF(NOTA[[#This Row],[ID_H]]="","",INDEX(NOTA[TGL.NOTA],MATCH(,INDIRECT(ADDRESS(ROW(NOTA[TGL.NOTA]),COLUMN(NOTA[TGL.NOTA]))&amp;":"&amp;ADDRESS(ROW(),COLUMN(NOTA[TGL.NOTA]))),-1)))</f>
        <v/>
      </c>
      <c r="AK572" s="26" t="str">
        <f ca="1">IF(NOTA[[#This Row],[ID_H]]="","",INDEX(NOTA[NO.NOTA],MATCH(NOTA[[#This Row],[ID_H]],NOTA[ID_H],0)))</f>
        <v/>
      </c>
      <c r="AL572" s="28" t="str">
        <f ca="1">IF(NOTA[[#This Row],[NAMA BARANG]]="","",INDEX(NOTA[SUPPLIER],MATCH(,INDIRECT(ADDRESS(ROW(NOTA[ID]),COLUMN(NOTA[ID]))&amp;":"&amp;ADDRESS(ROW(),COLUMN(NOTA[ID]))),-1)))</f>
        <v/>
      </c>
      <c r="AM572" s="28" t="str">
        <f ca="1">IF(NOTA[[#This Row],[ID_H]]="","",IF(NOTA[[#This Row],[FAKTUR]]="",INDIRECT(ADDRESS(ROW()-1,COLUMN())),NOTA[[#This Row],[FAKTUR]]))</f>
        <v/>
      </c>
      <c r="AN572" s="25" t="str">
        <f ca="1">IF(NOTA[[#This Row],[ID]]="","",COUNTIF(NOTA[ID_H],NOTA[[#This Row],[ID_H]]))</f>
        <v/>
      </c>
      <c r="AO572" s="25" t="str">
        <f ca="1">IF(NOTA[[#This Row],[TGL.NOTA]]="",IF(NOTA[[#This Row],[SUPPLIER_H]]="","",AO571),MONTH(NOTA[[#This Row],[TGL.NOTA]]))</f>
        <v/>
      </c>
      <c r="AP5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2" s="25"/>
      <c r="AU572" s="25" t="str">
        <f>IF(NOTA[[#This Row],[CONCAT1]]="","",MATCH(NOTA[[#This Row],[CONCAT1]],[3]!db[NB NOTA_C],0))</f>
        <v/>
      </c>
      <c r="AV572" s="25" t="str">
        <f>IF(NOTA[[#This Row],[QTY/ CTN]]="","",TRUE)</f>
        <v/>
      </c>
      <c r="AW572" s="25" t="str">
        <f ca="1">IF(NOTA[[#This Row],[ID_H]]="","",IF(NOTA[[#This Row],[Column3]]=TRUE,NOTA[[#This Row],[QTY/ CTN]],INDEX([3]!db[QTY/ CTN],NOTA[[#This Row],[//DB]])))</f>
        <v/>
      </c>
      <c r="AX5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2" s="25" t="str">
        <f ca="1">IF(NOTA[[#This Row],[ID_H]]="","",MATCH(NOTA[[#This Row],[NB NOTA_C_QTY]],[3]!db[NB NOTA_C_QTY+F],0))</f>
        <v/>
      </c>
      <c r="AZ572" s="38" t="str">
        <f ca="1">IF(NOTA[[#This Row],[NB NOTA_C_QTY]]="","",ROW()-2)</f>
        <v/>
      </c>
    </row>
    <row r="573" spans="1:52" ht="20.100000000000001" customHeight="1">
      <c r="A5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3" s="25" t="str">
        <f ca="1">IF(NOTA[[#This Row],[NAMA BARANG]]="","",INDEX(NOTA[ID],MATCH(,INDIRECT(ADDRESS(ROW(NOTA[ID]),COLUMN(NOTA[ID]))&amp;":"&amp;ADDRESS(ROW(),COLUMN(NOTA[ID]))),-1)))</f>
        <v/>
      </c>
      <c r="E573" s="33"/>
      <c r="H573" s="34"/>
      <c r="Q573" s="29"/>
      <c r="R573" s="35"/>
      <c r="S573" s="36"/>
      <c r="V573" s="37"/>
      <c r="W573" s="32"/>
      <c r="X573" s="37" t="str">
        <f>IF(NOTA[[#This Row],[HARGA/ CTN]]="",NOTA[[#This Row],[JUMLAH_H]],NOTA[[#This Row],[HARGA/ CTN]]*IF(NOTA[[#This Row],[C]]="",0,NOTA[[#This Row],[C]]))</f>
        <v/>
      </c>
      <c r="Y573" s="37" t="str">
        <f>IF(NOTA[[#This Row],[JUMLAH]]="","",NOTA[[#This Row],[JUMLAH]]*NOTA[[#This Row],[DISC 1]])</f>
        <v/>
      </c>
      <c r="Z573" s="37" t="str">
        <f>IF(NOTA[[#This Row],[JUMLAH]]="","",(NOTA[[#This Row],[JUMLAH]]-NOTA[[#This Row],[DISC 1-]])*NOTA[[#This Row],[DISC 2]])</f>
        <v/>
      </c>
      <c r="AA573" s="37" t="str">
        <f>IF(NOTA[[#This Row],[JUMLAH]]="","",(NOTA[[#This Row],[JUMLAH]]-NOTA[[#This Row],[DISC 1-]]-NOTA[[#This Row],[DISC 2-]])*NOTA[[#This Row],[DISC 3]])</f>
        <v/>
      </c>
      <c r="AB573" s="37" t="str">
        <f>IF(NOTA[[#This Row],[JUMLAH]]="","",NOTA[[#This Row],[DISC 1-]]+NOTA[[#This Row],[DISC 2-]]+NOTA[[#This Row],[DISC 3-]])</f>
        <v/>
      </c>
      <c r="AC573" s="37" t="str">
        <f>IF(NOTA[[#This Row],[JUMLAH]]="","",NOTA[[#This Row],[JUMLAH]]-NOTA[[#This Row],[DISC]])</f>
        <v/>
      </c>
      <c r="AD573" s="37"/>
      <c r="AE5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3" s="37" t="str">
        <f>IF(OR(NOTA[[#This Row],[QTY]]="",NOTA[[#This Row],[HARGA SATUAN]]="",),"",NOTA[[#This Row],[QTY]]*NOTA[[#This Row],[HARGA SATUAN]])</f>
        <v/>
      </c>
      <c r="AI573" s="26" t="str">
        <f ca="1">IF(NOTA[[#This Row],[ID_H]]="","",INDEX(NOTA[TANGGAL],MATCH(,INDIRECT(ADDRESS(ROW(NOTA[TANGGAL]),COLUMN(NOTA[TANGGAL]))&amp;":"&amp;ADDRESS(ROW(),COLUMN(NOTA[TANGGAL]))),-1)))</f>
        <v/>
      </c>
      <c r="AJ573" s="26" t="str">
        <f ca="1">IF(NOTA[[#This Row],[ID_H]]="","",INDEX(NOTA[TGL.NOTA],MATCH(,INDIRECT(ADDRESS(ROW(NOTA[TGL.NOTA]),COLUMN(NOTA[TGL.NOTA]))&amp;":"&amp;ADDRESS(ROW(),COLUMN(NOTA[TGL.NOTA]))),-1)))</f>
        <v/>
      </c>
      <c r="AK573" s="26" t="str">
        <f ca="1">IF(NOTA[[#This Row],[ID_H]]="","",INDEX(NOTA[NO.NOTA],MATCH(NOTA[[#This Row],[ID_H]],NOTA[ID_H],0)))</f>
        <v/>
      </c>
      <c r="AL573" s="28" t="str">
        <f ca="1">IF(NOTA[[#This Row],[NAMA BARANG]]="","",INDEX(NOTA[SUPPLIER],MATCH(,INDIRECT(ADDRESS(ROW(NOTA[ID]),COLUMN(NOTA[ID]))&amp;":"&amp;ADDRESS(ROW(),COLUMN(NOTA[ID]))),-1)))</f>
        <v/>
      </c>
      <c r="AM573" s="28" t="str">
        <f ca="1">IF(NOTA[[#This Row],[ID_H]]="","",IF(NOTA[[#This Row],[FAKTUR]]="",INDIRECT(ADDRESS(ROW()-1,COLUMN())),NOTA[[#This Row],[FAKTUR]]))</f>
        <v/>
      </c>
      <c r="AN573" s="25" t="str">
        <f ca="1">IF(NOTA[[#This Row],[ID]]="","",COUNTIF(NOTA[ID_H],NOTA[[#This Row],[ID_H]]))</f>
        <v/>
      </c>
      <c r="AO573" s="25" t="str">
        <f ca="1">IF(NOTA[[#This Row],[TGL.NOTA]]="",IF(NOTA[[#This Row],[SUPPLIER_H]]="","",AO572),MONTH(NOTA[[#This Row],[TGL.NOTA]]))</f>
        <v/>
      </c>
      <c r="AP5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3" s="25"/>
      <c r="AU573" s="25" t="str">
        <f>IF(NOTA[[#This Row],[CONCAT1]]="","",MATCH(NOTA[[#This Row],[CONCAT1]],[3]!db[NB NOTA_C],0))</f>
        <v/>
      </c>
      <c r="AV573" s="25" t="str">
        <f>IF(NOTA[[#This Row],[QTY/ CTN]]="","",TRUE)</f>
        <v/>
      </c>
      <c r="AW573" s="25" t="str">
        <f ca="1">IF(NOTA[[#This Row],[ID_H]]="","",IF(NOTA[[#This Row],[Column3]]=TRUE,NOTA[[#This Row],[QTY/ CTN]],INDEX([3]!db[QTY/ CTN],NOTA[[#This Row],[//DB]])))</f>
        <v/>
      </c>
      <c r="AX5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3" s="25" t="str">
        <f ca="1">IF(NOTA[[#This Row],[ID_H]]="","",MATCH(NOTA[[#This Row],[NB NOTA_C_QTY]],[3]!db[NB NOTA_C_QTY+F],0))</f>
        <v/>
      </c>
      <c r="AZ573" s="38" t="str">
        <f ca="1">IF(NOTA[[#This Row],[NB NOTA_C_QTY]]="","",ROW()-2)</f>
        <v/>
      </c>
    </row>
    <row r="574" spans="1:52" ht="20.100000000000001" customHeight="1">
      <c r="A5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4" s="25" t="str">
        <f ca="1">IF(NOTA[[#This Row],[NAMA BARANG]]="","",INDEX(NOTA[ID],MATCH(,INDIRECT(ADDRESS(ROW(NOTA[ID]),COLUMN(NOTA[ID]))&amp;":"&amp;ADDRESS(ROW(),COLUMN(NOTA[ID]))),-1)))</f>
        <v/>
      </c>
      <c r="E574" s="33"/>
      <c r="H574" s="34"/>
      <c r="Q574" s="29"/>
      <c r="R574" s="35"/>
      <c r="S574" s="36"/>
      <c r="V574" s="37"/>
      <c r="W574" s="32"/>
      <c r="X574" s="37" t="str">
        <f>IF(NOTA[[#This Row],[HARGA/ CTN]]="",NOTA[[#This Row],[JUMLAH_H]],NOTA[[#This Row],[HARGA/ CTN]]*IF(NOTA[[#This Row],[C]]="",0,NOTA[[#This Row],[C]]))</f>
        <v/>
      </c>
      <c r="Y574" s="37" t="str">
        <f>IF(NOTA[[#This Row],[JUMLAH]]="","",NOTA[[#This Row],[JUMLAH]]*NOTA[[#This Row],[DISC 1]])</f>
        <v/>
      </c>
      <c r="Z574" s="37" t="str">
        <f>IF(NOTA[[#This Row],[JUMLAH]]="","",(NOTA[[#This Row],[JUMLAH]]-NOTA[[#This Row],[DISC 1-]])*NOTA[[#This Row],[DISC 2]])</f>
        <v/>
      </c>
      <c r="AA574" s="37" t="str">
        <f>IF(NOTA[[#This Row],[JUMLAH]]="","",(NOTA[[#This Row],[JUMLAH]]-NOTA[[#This Row],[DISC 1-]]-NOTA[[#This Row],[DISC 2-]])*NOTA[[#This Row],[DISC 3]])</f>
        <v/>
      </c>
      <c r="AB574" s="37" t="str">
        <f>IF(NOTA[[#This Row],[JUMLAH]]="","",NOTA[[#This Row],[DISC 1-]]+NOTA[[#This Row],[DISC 2-]]+NOTA[[#This Row],[DISC 3-]])</f>
        <v/>
      </c>
      <c r="AC574" s="37" t="str">
        <f>IF(NOTA[[#This Row],[JUMLAH]]="","",NOTA[[#This Row],[JUMLAH]]-NOTA[[#This Row],[DISC]])</f>
        <v/>
      </c>
      <c r="AD574" s="37"/>
      <c r="AE5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4" s="37" t="str">
        <f>IF(OR(NOTA[[#This Row],[QTY]]="",NOTA[[#This Row],[HARGA SATUAN]]="",),"",NOTA[[#This Row],[QTY]]*NOTA[[#This Row],[HARGA SATUAN]])</f>
        <v/>
      </c>
      <c r="AI574" s="26" t="str">
        <f ca="1">IF(NOTA[[#This Row],[ID_H]]="","",INDEX(NOTA[TANGGAL],MATCH(,INDIRECT(ADDRESS(ROW(NOTA[TANGGAL]),COLUMN(NOTA[TANGGAL]))&amp;":"&amp;ADDRESS(ROW(),COLUMN(NOTA[TANGGAL]))),-1)))</f>
        <v/>
      </c>
      <c r="AJ574" s="26" t="str">
        <f ca="1">IF(NOTA[[#This Row],[ID_H]]="","",INDEX(NOTA[TGL.NOTA],MATCH(,INDIRECT(ADDRESS(ROW(NOTA[TGL.NOTA]),COLUMN(NOTA[TGL.NOTA]))&amp;":"&amp;ADDRESS(ROW(),COLUMN(NOTA[TGL.NOTA]))),-1)))</f>
        <v/>
      </c>
      <c r="AK574" s="26" t="str">
        <f ca="1">IF(NOTA[[#This Row],[ID_H]]="","",INDEX(NOTA[NO.NOTA],MATCH(NOTA[[#This Row],[ID_H]],NOTA[ID_H],0)))</f>
        <v/>
      </c>
      <c r="AL574" s="28" t="str">
        <f ca="1">IF(NOTA[[#This Row],[NAMA BARANG]]="","",INDEX(NOTA[SUPPLIER],MATCH(,INDIRECT(ADDRESS(ROW(NOTA[ID]),COLUMN(NOTA[ID]))&amp;":"&amp;ADDRESS(ROW(),COLUMN(NOTA[ID]))),-1)))</f>
        <v/>
      </c>
      <c r="AM574" s="28" t="str">
        <f ca="1">IF(NOTA[[#This Row],[ID_H]]="","",IF(NOTA[[#This Row],[FAKTUR]]="",INDIRECT(ADDRESS(ROW()-1,COLUMN())),NOTA[[#This Row],[FAKTUR]]))</f>
        <v/>
      </c>
      <c r="AN574" s="25" t="str">
        <f ca="1">IF(NOTA[[#This Row],[ID]]="","",COUNTIF(NOTA[ID_H],NOTA[[#This Row],[ID_H]]))</f>
        <v/>
      </c>
      <c r="AO574" s="25" t="str">
        <f ca="1">IF(NOTA[[#This Row],[TGL.NOTA]]="",IF(NOTA[[#This Row],[SUPPLIER_H]]="","",AO573),MONTH(NOTA[[#This Row],[TGL.NOTA]]))</f>
        <v/>
      </c>
      <c r="AP5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4" s="25"/>
      <c r="AU574" s="25" t="str">
        <f>IF(NOTA[[#This Row],[CONCAT1]]="","",MATCH(NOTA[[#This Row],[CONCAT1]],[3]!db[NB NOTA_C],0))</f>
        <v/>
      </c>
      <c r="AV574" s="25" t="str">
        <f>IF(NOTA[[#This Row],[QTY/ CTN]]="","",TRUE)</f>
        <v/>
      </c>
      <c r="AW574" s="25" t="str">
        <f ca="1">IF(NOTA[[#This Row],[ID_H]]="","",IF(NOTA[[#This Row],[Column3]]=TRUE,NOTA[[#This Row],[QTY/ CTN]],INDEX([3]!db[QTY/ CTN],NOTA[[#This Row],[//DB]])))</f>
        <v/>
      </c>
      <c r="AX5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4" s="25" t="str">
        <f ca="1">IF(NOTA[[#This Row],[ID_H]]="","",MATCH(NOTA[[#This Row],[NB NOTA_C_QTY]],[3]!db[NB NOTA_C_QTY+F],0))</f>
        <v/>
      </c>
      <c r="AZ574" s="38" t="str">
        <f ca="1">IF(NOTA[[#This Row],[NB NOTA_C_QTY]]="","",ROW()-2)</f>
        <v/>
      </c>
    </row>
    <row r="575" spans="1:52" ht="20.100000000000001" customHeight="1">
      <c r="A5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5" s="25" t="str">
        <f ca="1">IF(NOTA[[#This Row],[NAMA BARANG]]="","",INDEX(NOTA[ID],MATCH(,INDIRECT(ADDRESS(ROW(NOTA[ID]),COLUMN(NOTA[ID]))&amp;":"&amp;ADDRESS(ROW(),COLUMN(NOTA[ID]))),-1)))</f>
        <v/>
      </c>
      <c r="E575" s="33"/>
      <c r="H575" s="34"/>
      <c r="Q575" s="29"/>
      <c r="R575" s="35"/>
      <c r="S575" s="36"/>
      <c r="V575" s="37"/>
      <c r="W575" s="32"/>
      <c r="X575" s="37" t="str">
        <f>IF(NOTA[[#This Row],[HARGA/ CTN]]="",NOTA[[#This Row],[JUMLAH_H]],NOTA[[#This Row],[HARGA/ CTN]]*IF(NOTA[[#This Row],[C]]="",0,NOTA[[#This Row],[C]]))</f>
        <v/>
      </c>
      <c r="Y575" s="37" t="str">
        <f>IF(NOTA[[#This Row],[JUMLAH]]="","",NOTA[[#This Row],[JUMLAH]]*NOTA[[#This Row],[DISC 1]])</f>
        <v/>
      </c>
      <c r="Z575" s="37" t="str">
        <f>IF(NOTA[[#This Row],[JUMLAH]]="","",(NOTA[[#This Row],[JUMLAH]]-NOTA[[#This Row],[DISC 1-]])*NOTA[[#This Row],[DISC 2]])</f>
        <v/>
      </c>
      <c r="AA575" s="37" t="str">
        <f>IF(NOTA[[#This Row],[JUMLAH]]="","",(NOTA[[#This Row],[JUMLAH]]-NOTA[[#This Row],[DISC 1-]]-NOTA[[#This Row],[DISC 2-]])*NOTA[[#This Row],[DISC 3]])</f>
        <v/>
      </c>
      <c r="AB575" s="37" t="str">
        <f>IF(NOTA[[#This Row],[JUMLAH]]="","",NOTA[[#This Row],[DISC 1-]]+NOTA[[#This Row],[DISC 2-]]+NOTA[[#This Row],[DISC 3-]])</f>
        <v/>
      </c>
      <c r="AC575" s="37" t="str">
        <f>IF(NOTA[[#This Row],[JUMLAH]]="","",NOTA[[#This Row],[JUMLAH]]-NOTA[[#This Row],[DISC]])</f>
        <v/>
      </c>
      <c r="AD575" s="37"/>
      <c r="AE5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5" s="37" t="str">
        <f>IF(OR(NOTA[[#This Row],[QTY]]="",NOTA[[#This Row],[HARGA SATUAN]]="",),"",NOTA[[#This Row],[QTY]]*NOTA[[#This Row],[HARGA SATUAN]])</f>
        <v/>
      </c>
      <c r="AI575" s="26" t="str">
        <f ca="1">IF(NOTA[[#This Row],[ID_H]]="","",INDEX(NOTA[TANGGAL],MATCH(,INDIRECT(ADDRESS(ROW(NOTA[TANGGAL]),COLUMN(NOTA[TANGGAL]))&amp;":"&amp;ADDRESS(ROW(),COLUMN(NOTA[TANGGAL]))),-1)))</f>
        <v/>
      </c>
      <c r="AJ575" s="26" t="str">
        <f ca="1">IF(NOTA[[#This Row],[ID_H]]="","",INDEX(NOTA[TGL.NOTA],MATCH(,INDIRECT(ADDRESS(ROW(NOTA[TGL.NOTA]),COLUMN(NOTA[TGL.NOTA]))&amp;":"&amp;ADDRESS(ROW(),COLUMN(NOTA[TGL.NOTA]))),-1)))</f>
        <v/>
      </c>
      <c r="AK575" s="26" t="str">
        <f ca="1">IF(NOTA[[#This Row],[ID_H]]="","",INDEX(NOTA[NO.NOTA],MATCH(NOTA[[#This Row],[ID_H]],NOTA[ID_H],0)))</f>
        <v/>
      </c>
      <c r="AL575" s="28" t="str">
        <f ca="1">IF(NOTA[[#This Row],[NAMA BARANG]]="","",INDEX(NOTA[SUPPLIER],MATCH(,INDIRECT(ADDRESS(ROW(NOTA[ID]),COLUMN(NOTA[ID]))&amp;":"&amp;ADDRESS(ROW(),COLUMN(NOTA[ID]))),-1)))</f>
        <v/>
      </c>
      <c r="AM575" s="28" t="str">
        <f ca="1">IF(NOTA[[#This Row],[ID_H]]="","",IF(NOTA[[#This Row],[FAKTUR]]="",INDIRECT(ADDRESS(ROW()-1,COLUMN())),NOTA[[#This Row],[FAKTUR]]))</f>
        <v/>
      </c>
      <c r="AN575" s="25" t="str">
        <f ca="1">IF(NOTA[[#This Row],[ID]]="","",COUNTIF(NOTA[ID_H],NOTA[[#This Row],[ID_H]]))</f>
        <v/>
      </c>
      <c r="AO575" s="25" t="str">
        <f ca="1">IF(NOTA[[#This Row],[TGL.NOTA]]="",IF(NOTA[[#This Row],[SUPPLIER_H]]="","",AO574),MONTH(NOTA[[#This Row],[TGL.NOTA]]))</f>
        <v/>
      </c>
      <c r="AP5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5" s="25"/>
      <c r="AU575" s="25" t="str">
        <f>IF(NOTA[[#This Row],[CONCAT1]]="","",MATCH(NOTA[[#This Row],[CONCAT1]],[3]!db[NB NOTA_C],0))</f>
        <v/>
      </c>
      <c r="AV575" s="25" t="str">
        <f>IF(NOTA[[#This Row],[QTY/ CTN]]="","",TRUE)</f>
        <v/>
      </c>
      <c r="AW575" s="25" t="str">
        <f ca="1">IF(NOTA[[#This Row],[ID_H]]="","",IF(NOTA[[#This Row],[Column3]]=TRUE,NOTA[[#This Row],[QTY/ CTN]],INDEX([3]!db[QTY/ CTN],NOTA[[#This Row],[//DB]])))</f>
        <v/>
      </c>
      <c r="AX5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5" s="25" t="str">
        <f ca="1">IF(NOTA[[#This Row],[ID_H]]="","",MATCH(NOTA[[#This Row],[NB NOTA_C_QTY]],[3]!db[NB NOTA_C_QTY+F],0))</f>
        <v/>
      </c>
      <c r="AZ575" s="38" t="str">
        <f ca="1">IF(NOTA[[#This Row],[NB NOTA_C_QTY]]="","",ROW()-2)</f>
        <v/>
      </c>
    </row>
    <row r="576" spans="1:52" ht="20.100000000000001" customHeight="1">
      <c r="A5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6" s="25" t="str">
        <f ca="1">IF(NOTA[[#This Row],[NAMA BARANG]]="","",INDEX(NOTA[ID],MATCH(,INDIRECT(ADDRESS(ROW(NOTA[ID]),COLUMN(NOTA[ID]))&amp;":"&amp;ADDRESS(ROW(),COLUMN(NOTA[ID]))),-1)))</f>
        <v/>
      </c>
      <c r="E576" s="33"/>
      <c r="H576" s="34"/>
      <c r="Q576" s="29"/>
      <c r="R576" s="35"/>
      <c r="S576" s="36"/>
      <c r="V576" s="37"/>
      <c r="W576" s="32"/>
      <c r="X576" s="37" t="str">
        <f>IF(NOTA[[#This Row],[HARGA/ CTN]]="",NOTA[[#This Row],[JUMLAH_H]],NOTA[[#This Row],[HARGA/ CTN]]*IF(NOTA[[#This Row],[C]]="",0,NOTA[[#This Row],[C]]))</f>
        <v/>
      </c>
      <c r="Y576" s="37" t="str">
        <f>IF(NOTA[[#This Row],[JUMLAH]]="","",NOTA[[#This Row],[JUMLAH]]*NOTA[[#This Row],[DISC 1]])</f>
        <v/>
      </c>
      <c r="Z576" s="37" t="str">
        <f>IF(NOTA[[#This Row],[JUMLAH]]="","",(NOTA[[#This Row],[JUMLAH]]-NOTA[[#This Row],[DISC 1-]])*NOTA[[#This Row],[DISC 2]])</f>
        <v/>
      </c>
      <c r="AA576" s="37" t="str">
        <f>IF(NOTA[[#This Row],[JUMLAH]]="","",(NOTA[[#This Row],[JUMLAH]]-NOTA[[#This Row],[DISC 1-]]-NOTA[[#This Row],[DISC 2-]])*NOTA[[#This Row],[DISC 3]])</f>
        <v/>
      </c>
      <c r="AB576" s="37" t="str">
        <f>IF(NOTA[[#This Row],[JUMLAH]]="","",NOTA[[#This Row],[DISC 1-]]+NOTA[[#This Row],[DISC 2-]]+NOTA[[#This Row],[DISC 3-]])</f>
        <v/>
      </c>
      <c r="AC576" s="37" t="str">
        <f>IF(NOTA[[#This Row],[JUMLAH]]="","",NOTA[[#This Row],[JUMLAH]]-NOTA[[#This Row],[DISC]])</f>
        <v/>
      </c>
      <c r="AD576" s="37"/>
      <c r="AE5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6" s="37" t="str">
        <f>IF(OR(NOTA[[#This Row],[QTY]]="",NOTA[[#This Row],[HARGA SATUAN]]="",),"",NOTA[[#This Row],[QTY]]*NOTA[[#This Row],[HARGA SATUAN]])</f>
        <v/>
      </c>
      <c r="AI576" s="26" t="str">
        <f ca="1">IF(NOTA[[#This Row],[ID_H]]="","",INDEX(NOTA[TANGGAL],MATCH(,INDIRECT(ADDRESS(ROW(NOTA[TANGGAL]),COLUMN(NOTA[TANGGAL]))&amp;":"&amp;ADDRESS(ROW(),COLUMN(NOTA[TANGGAL]))),-1)))</f>
        <v/>
      </c>
      <c r="AJ576" s="26" t="str">
        <f ca="1">IF(NOTA[[#This Row],[ID_H]]="","",INDEX(NOTA[TGL.NOTA],MATCH(,INDIRECT(ADDRESS(ROW(NOTA[TGL.NOTA]),COLUMN(NOTA[TGL.NOTA]))&amp;":"&amp;ADDRESS(ROW(),COLUMN(NOTA[TGL.NOTA]))),-1)))</f>
        <v/>
      </c>
      <c r="AK576" s="26" t="str">
        <f ca="1">IF(NOTA[[#This Row],[ID_H]]="","",INDEX(NOTA[NO.NOTA],MATCH(NOTA[[#This Row],[ID_H]],NOTA[ID_H],0)))</f>
        <v/>
      </c>
      <c r="AL576" s="28" t="str">
        <f ca="1">IF(NOTA[[#This Row],[NAMA BARANG]]="","",INDEX(NOTA[SUPPLIER],MATCH(,INDIRECT(ADDRESS(ROW(NOTA[ID]),COLUMN(NOTA[ID]))&amp;":"&amp;ADDRESS(ROW(),COLUMN(NOTA[ID]))),-1)))</f>
        <v/>
      </c>
      <c r="AM576" s="28" t="str">
        <f ca="1">IF(NOTA[[#This Row],[ID_H]]="","",IF(NOTA[[#This Row],[FAKTUR]]="",INDIRECT(ADDRESS(ROW()-1,COLUMN())),NOTA[[#This Row],[FAKTUR]]))</f>
        <v/>
      </c>
      <c r="AN576" s="25" t="str">
        <f ca="1">IF(NOTA[[#This Row],[ID]]="","",COUNTIF(NOTA[ID_H],NOTA[[#This Row],[ID_H]]))</f>
        <v/>
      </c>
      <c r="AO576" s="25" t="str">
        <f ca="1">IF(NOTA[[#This Row],[TGL.NOTA]]="",IF(NOTA[[#This Row],[SUPPLIER_H]]="","",AO575),MONTH(NOTA[[#This Row],[TGL.NOTA]]))</f>
        <v/>
      </c>
      <c r="AP5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6" s="25"/>
      <c r="AU576" s="25" t="str">
        <f>IF(NOTA[[#This Row],[CONCAT1]]="","",MATCH(NOTA[[#This Row],[CONCAT1]],[3]!db[NB NOTA_C],0))</f>
        <v/>
      </c>
      <c r="AV576" s="25" t="str">
        <f>IF(NOTA[[#This Row],[QTY/ CTN]]="","",TRUE)</f>
        <v/>
      </c>
      <c r="AW576" s="25" t="str">
        <f ca="1">IF(NOTA[[#This Row],[ID_H]]="","",IF(NOTA[[#This Row],[Column3]]=TRUE,NOTA[[#This Row],[QTY/ CTN]],INDEX([3]!db[QTY/ CTN],NOTA[[#This Row],[//DB]])))</f>
        <v/>
      </c>
      <c r="AX5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6" s="25" t="str">
        <f ca="1">IF(NOTA[[#This Row],[ID_H]]="","",MATCH(NOTA[[#This Row],[NB NOTA_C_QTY]],[3]!db[NB NOTA_C_QTY+F],0))</f>
        <v/>
      </c>
      <c r="AZ576" s="38" t="str">
        <f ca="1">IF(NOTA[[#This Row],[NB NOTA_C_QTY]]="","",ROW()-2)</f>
        <v/>
      </c>
    </row>
    <row r="577" spans="1:52" ht="20.100000000000001" customHeight="1">
      <c r="A5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7" s="25" t="str">
        <f ca="1">IF(NOTA[[#This Row],[NAMA BARANG]]="","",INDEX(NOTA[ID],MATCH(,INDIRECT(ADDRESS(ROW(NOTA[ID]),COLUMN(NOTA[ID]))&amp;":"&amp;ADDRESS(ROW(),COLUMN(NOTA[ID]))),-1)))</f>
        <v/>
      </c>
      <c r="E577" s="33"/>
      <c r="H577" s="34"/>
      <c r="Q577" s="29"/>
      <c r="R577" s="35"/>
      <c r="S577" s="36"/>
      <c r="V577" s="37"/>
      <c r="W577" s="32"/>
      <c r="X577" s="37" t="str">
        <f>IF(NOTA[[#This Row],[HARGA/ CTN]]="",NOTA[[#This Row],[JUMLAH_H]],NOTA[[#This Row],[HARGA/ CTN]]*IF(NOTA[[#This Row],[C]]="",0,NOTA[[#This Row],[C]]))</f>
        <v/>
      </c>
      <c r="Y577" s="37" t="str">
        <f>IF(NOTA[[#This Row],[JUMLAH]]="","",NOTA[[#This Row],[JUMLAH]]*NOTA[[#This Row],[DISC 1]])</f>
        <v/>
      </c>
      <c r="Z577" s="37" t="str">
        <f>IF(NOTA[[#This Row],[JUMLAH]]="","",(NOTA[[#This Row],[JUMLAH]]-NOTA[[#This Row],[DISC 1-]])*NOTA[[#This Row],[DISC 2]])</f>
        <v/>
      </c>
      <c r="AA577" s="37" t="str">
        <f>IF(NOTA[[#This Row],[JUMLAH]]="","",(NOTA[[#This Row],[JUMLAH]]-NOTA[[#This Row],[DISC 1-]]-NOTA[[#This Row],[DISC 2-]])*NOTA[[#This Row],[DISC 3]])</f>
        <v/>
      </c>
      <c r="AB577" s="37" t="str">
        <f>IF(NOTA[[#This Row],[JUMLAH]]="","",NOTA[[#This Row],[DISC 1-]]+NOTA[[#This Row],[DISC 2-]]+NOTA[[#This Row],[DISC 3-]])</f>
        <v/>
      </c>
      <c r="AC577" s="37" t="str">
        <f>IF(NOTA[[#This Row],[JUMLAH]]="","",NOTA[[#This Row],[JUMLAH]]-NOTA[[#This Row],[DISC]])</f>
        <v/>
      </c>
      <c r="AD577" s="37"/>
      <c r="AE5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7" s="37" t="str">
        <f>IF(OR(NOTA[[#This Row],[QTY]]="",NOTA[[#This Row],[HARGA SATUAN]]="",),"",NOTA[[#This Row],[QTY]]*NOTA[[#This Row],[HARGA SATUAN]])</f>
        <v/>
      </c>
      <c r="AI577" s="26" t="str">
        <f ca="1">IF(NOTA[[#This Row],[ID_H]]="","",INDEX(NOTA[TANGGAL],MATCH(,INDIRECT(ADDRESS(ROW(NOTA[TANGGAL]),COLUMN(NOTA[TANGGAL]))&amp;":"&amp;ADDRESS(ROW(),COLUMN(NOTA[TANGGAL]))),-1)))</f>
        <v/>
      </c>
      <c r="AJ577" s="26" t="str">
        <f ca="1">IF(NOTA[[#This Row],[ID_H]]="","",INDEX(NOTA[TGL.NOTA],MATCH(,INDIRECT(ADDRESS(ROW(NOTA[TGL.NOTA]),COLUMN(NOTA[TGL.NOTA]))&amp;":"&amp;ADDRESS(ROW(),COLUMN(NOTA[TGL.NOTA]))),-1)))</f>
        <v/>
      </c>
      <c r="AK577" s="26" t="str">
        <f ca="1">IF(NOTA[[#This Row],[ID_H]]="","",INDEX(NOTA[NO.NOTA],MATCH(NOTA[[#This Row],[ID_H]],NOTA[ID_H],0)))</f>
        <v/>
      </c>
      <c r="AL577" s="28" t="str">
        <f ca="1">IF(NOTA[[#This Row],[NAMA BARANG]]="","",INDEX(NOTA[SUPPLIER],MATCH(,INDIRECT(ADDRESS(ROW(NOTA[ID]),COLUMN(NOTA[ID]))&amp;":"&amp;ADDRESS(ROW(),COLUMN(NOTA[ID]))),-1)))</f>
        <v/>
      </c>
      <c r="AM577" s="28" t="str">
        <f ca="1">IF(NOTA[[#This Row],[ID_H]]="","",IF(NOTA[[#This Row],[FAKTUR]]="",INDIRECT(ADDRESS(ROW()-1,COLUMN())),NOTA[[#This Row],[FAKTUR]]))</f>
        <v/>
      </c>
      <c r="AN577" s="25" t="str">
        <f ca="1">IF(NOTA[[#This Row],[ID]]="","",COUNTIF(NOTA[ID_H],NOTA[[#This Row],[ID_H]]))</f>
        <v/>
      </c>
      <c r="AO577" s="25" t="str">
        <f ca="1">IF(NOTA[[#This Row],[TGL.NOTA]]="",IF(NOTA[[#This Row],[SUPPLIER_H]]="","",AO576),MONTH(NOTA[[#This Row],[TGL.NOTA]]))</f>
        <v/>
      </c>
      <c r="AP5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7" s="25"/>
      <c r="AU577" s="25" t="str">
        <f>IF(NOTA[[#This Row],[CONCAT1]]="","",MATCH(NOTA[[#This Row],[CONCAT1]],[3]!db[NB NOTA_C],0))</f>
        <v/>
      </c>
      <c r="AV577" s="25" t="str">
        <f>IF(NOTA[[#This Row],[QTY/ CTN]]="","",TRUE)</f>
        <v/>
      </c>
      <c r="AW577" s="25" t="str">
        <f ca="1">IF(NOTA[[#This Row],[ID_H]]="","",IF(NOTA[[#This Row],[Column3]]=TRUE,NOTA[[#This Row],[QTY/ CTN]],INDEX([3]!db[QTY/ CTN],NOTA[[#This Row],[//DB]])))</f>
        <v/>
      </c>
      <c r="AX5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7" s="25" t="str">
        <f ca="1">IF(NOTA[[#This Row],[ID_H]]="","",MATCH(NOTA[[#This Row],[NB NOTA_C_QTY]],[3]!db[NB NOTA_C_QTY+F],0))</f>
        <v/>
      </c>
      <c r="AZ577" s="38" t="str">
        <f ca="1">IF(NOTA[[#This Row],[NB NOTA_C_QTY]]="","",ROW()-2)</f>
        <v/>
      </c>
    </row>
    <row r="578" spans="1:52" ht="20.100000000000001" customHeight="1">
      <c r="A5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8" s="25" t="str">
        <f ca="1">IF(NOTA[[#This Row],[NAMA BARANG]]="","",INDEX(NOTA[ID],MATCH(,INDIRECT(ADDRESS(ROW(NOTA[ID]),COLUMN(NOTA[ID]))&amp;":"&amp;ADDRESS(ROW(),COLUMN(NOTA[ID]))),-1)))</f>
        <v/>
      </c>
      <c r="E578" s="33"/>
      <c r="H578" s="34"/>
      <c r="Q578" s="29"/>
      <c r="R578" s="35"/>
      <c r="S578" s="36"/>
      <c r="V578" s="37"/>
      <c r="W578" s="32"/>
      <c r="X578" s="37" t="str">
        <f>IF(NOTA[[#This Row],[HARGA/ CTN]]="",NOTA[[#This Row],[JUMLAH_H]],NOTA[[#This Row],[HARGA/ CTN]]*IF(NOTA[[#This Row],[C]]="",0,NOTA[[#This Row],[C]]))</f>
        <v/>
      </c>
      <c r="Y578" s="37" t="str">
        <f>IF(NOTA[[#This Row],[JUMLAH]]="","",NOTA[[#This Row],[JUMLAH]]*NOTA[[#This Row],[DISC 1]])</f>
        <v/>
      </c>
      <c r="Z578" s="37" t="str">
        <f>IF(NOTA[[#This Row],[JUMLAH]]="","",(NOTA[[#This Row],[JUMLAH]]-NOTA[[#This Row],[DISC 1-]])*NOTA[[#This Row],[DISC 2]])</f>
        <v/>
      </c>
      <c r="AA578" s="37" t="str">
        <f>IF(NOTA[[#This Row],[JUMLAH]]="","",(NOTA[[#This Row],[JUMLAH]]-NOTA[[#This Row],[DISC 1-]]-NOTA[[#This Row],[DISC 2-]])*NOTA[[#This Row],[DISC 3]])</f>
        <v/>
      </c>
      <c r="AB578" s="37" t="str">
        <f>IF(NOTA[[#This Row],[JUMLAH]]="","",NOTA[[#This Row],[DISC 1-]]+NOTA[[#This Row],[DISC 2-]]+NOTA[[#This Row],[DISC 3-]])</f>
        <v/>
      </c>
      <c r="AC578" s="37" t="str">
        <f>IF(NOTA[[#This Row],[JUMLAH]]="","",NOTA[[#This Row],[JUMLAH]]-NOTA[[#This Row],[DISC]])</f>
        <v/>
      </c>
      <c r="AD578" s="37"/>
      <c r="AE5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8" s="37" t="str">
        <f>IF(OR(NOTA[[#This Row],[QTY]]="",NOTA[[#This Row],[HARGA SATUAN]]="",),"",NOTA[[#This Row],[QTY]]*NOTA[[#This Row],[HARGA SATUAN]])</f>
        <v/>
      </c>
      <c r="AI578" s="26" t="str">
        <f ca="1">IF(NOTA[[#This Row],[ID_H]]="","",INDEX(NOTA[TANGGAL],MATCH(,INDIRECT(ADDRESS(ROW(NOTA[TANGGAL]),COLUMN(NOTA[TANGGAL]))&amp;":"&amp;ADDRESS(ROW(),COLUMN(NOTA[TANGGAL]))),-1)))</f>
        <v/>
      </c>
      <c r="AJ578" s="26" t="str">
        <f ca="1">IF(NOTA[[#This Row],[ID_H]]="","",INDEX(NOTA[TGL.NOTA],MATCH(,INDIRECT(ADDRESS(ROW(NOTA[TGL.NOTA]),COLUMN(NOTA[TGL.NOTA]))&amp;":"&amp;ADDRESS(ROW(),COLUMN(NOTA[TGL.NOTA]))),-1)))</f>
        <v/>
      </c>
      <c r="AK578" s="26" t="str">
        <f ca="1">IF(NOTA[[#This Row],[ID_H]]="","",INDEX(NOTA[NO.NOTA],MATCH(NOTA[[#This Row],[ID_H]],NOTA[ID_H],0)))</f>
        <v/>
      </c>
      <c r="AL578" s="28" t="str">
        <f ca="1">IF(NOTA[[#This Row],[NAMA BARANG]]="","",INDEX(NOTA[SUPPLIER],MATCH(,INDIRECT(ADDRESS(ROW(NOTA[ID]),COLUMN(NOTA[ID]))&amp;":"&amp;ADDRESS(ROW(),COLUMN(NOTA[ID]))),-1)))</f>
        <v/>
      </c>
      <c r="AM578" s="28" t="str">
        <f ca="1">IF(NOTA[[#This Row],[ID_H]]="","",IF(NOTA[[#This Row],[FAKTUR]]="",INDIRECT(ADDRESS(ROW()-1,COLUMN())),NOTA[[#This Row],[FAKTUR]]))</f>
        <v/>
      </c>
      <c r="AN578" s="25" t="str">
        <f ca="1">IF(NOTA[[#This Row],[ID]]="","",COUNTIF(NOTA[ID_H],NOTA[[#This Row],[ID_H]]))</f>
        <v/>
      </c>
      <c r="AO578" s="25" t="str">
        <f ca="1">IF(NOTA[[#This Row],[TGL.NOTA]]="",IF(NOTA[[#This Row],[SUPPLIER_H]]="","",AO577),MONTH(NOTA[[#This Row],[TGL.NOTA]]))</f>
        <v/>
      </c>
      <c r="AP5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8" s="25"/>
      <c r="AU578" s="25" t="str">
        <f>IF(NOTA[[#This Row],[CONCAT1]]="","",MATCH(NOTA[[#This Row],[CONCAT1]],[3]!db[NB NOTA_C],0))</f>
        <v/>
      </c>
      <c r="AV578" s="25" t="str">
        <f>IF(NOTA[[#This Row],[QTY/ CTN]]="","",TRUE)</f>
        <v/>
      </c>
      <c r="AW578" s="25" t="str">
        <f ca="1">IF(NOTA[[#This Row],[ID_H]]="","",IF(NOTA[[#This Row],[Column3]]=TRUE,NOTA[[#This Row],[QTY/ CTN]],INDEX([3]!db[QTY/ CTN],NOTA[[#This Row],[//DB]])))</f>
        <v/>
      </c>
      <c r="AX5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8" s="25" t="str">
        <f ca="1">IF(NOTA[[#This Row],[ID_H]]="","",MATCH(NOTA[[#This Row],[NB NOTA_C_QTY]],[3]!db[NB NOTA_C_QTY+F],0))</f>
        <v/>
      </c>
      <c r="AZ578" s="38" t="str">
        <f ca="1">IF(NOTA[[#This Row],[NB NOTA_C_QTY]]="","",ROW()-2)</f>
        <v/>
      </c>
    </row>
    <row r="579" spans="1:52" ht="20.100000000000001" customHeight="1">
      <c r="A5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9" s="25" t="str">
        <f ca="1">IF(NOTA[[#This Row],[NAMA BARANG]]="","",INDEX(NOTA[ID],MATCH(,INDIRECT(ADDRESS(ROW(NOTA[ID]),COLUMN(NOTA[ID]))&amp;":"&amp;ADDRESS(ROW(),COLUMN(NOTA[ID]))),-1)))</f>
        <v/>
      </c>
      <c r="E579" s="33"/>
      <c r="H579" s="34"/>
      <c r="Q579" s="29"/>
      <c r="R579" s="35"/>
      <c r="S579" s="36"/>
      <c r="V579" s="37"/>
      <c r="W579" s="32"/>
      <c r="X579" s="37" t="str">
        <f>IF(NOTA[[#This Row],[HARGA/ CTN]]="",NOTA[[#This Row],[JUMLAH_H]],NOTA[[#This Row],[HARGA/ CTN]]*IF(NOTA[[#This Row],[C]]="",0,NOTA[[#This Row],[C]]))</f>
        <v/>
      </c>
      <c r="Y579" s="37" t="str">
        <f>IF(NOTA[[#This Row],[JUMLAH]]="","",NOTA[[#This Row],[JUMLAH]]*NOTA[[#This Row],[DISC 1]])</f>
        <v/>
      </c>
      <c r="Z579" s="37" t="str">
        <f>IF(NOTA[[#This Row],[JUMLAH]]="","",(NOTA[[#This Row],[JUMLAH]]-NOTA[[#This Row],[DISC 1-]])*NOTA[[#This Row],[DISC 2]])</f>
        <v/>
      </c>
      <c r="AA579" s="37" t="str">
        <f>IF(NOTA[[#This Row],[JUMLAH]]="","",(NOTA[[#This Row],[JUMLAH]]-NOTA[[#This Row],[DISC 1-]]-NOTA[[#This Row],[DISC 2-]])*NOTA[[#This Row],[DISC 3]])</f>
        <v/>
      </c>
      <c r="AB579" s="37" t="str">
        <f>IF(NOTA[[#This Row],[JUMLAH]]="","",NOTA[[#This Row],[DISC 1-]]+NOTA[[#This Row],[DISC 2-]]+NOTA[[#This Row],[DISC 3-]])</f>
        <v/>
      </c>
      <c r="AC579" s="37" t="str">
        <f>IF(NOTA[[#This Row],[JUMLAH]]="","",NOTA[[#This Row],[JUMLAH]]-NOTA[[#This Row],[DISC]])</f>
        <v/>
      </c>
      <c r="AD579" s="37"/>
      <c r="AE5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9" s="37" t="str">
        <f>IF(OR(NOTA[[#This Row],[QTY]]="",NOTA[[#This Row],[HARGA SATUAN]]="",),"",NOTA[[#This Row],[QTY]]*NOTA[[#This Row],[HARGA SATUAN]])</f>
        <v/>
      </c>
      <c r="AI579" s="26" t="str">
        <f ca="1">IF(NOTA[[#This Row],[ID_H]]="","",INDEX(NOTA[TANGGAL],MATCH(,INDIRECT(ADDRESS(ROW(NOTA[TANGGAL]),COLUMN(NOTA[TANGGAL]))&amp;":"&amp;ADDRESS(ROW(),COLUMN(NOTA[TANGGAL]))),-1)))</f>
        <v/>
      </c>
      <c r="AJ579" s="26" t="str">
        <f ca="1">IF(NOTA[[#This Row],[ID_H]]="","",INDEX(NOTA[TGL.NOTA],MATCH(,INDIRECT(ADDRESS(ROW(NOTA[TGL.NOTA]),COLUMN(NOTA[TGL.NOTA]))&amp;":"&amp;ADDRESS(ROW(),COLUMN(NOTA[TGL.NOTA]))),-1)))</f>
        <v/>
      </c>
      <c r="AK579" s="26" t="str">
        <f ca="1">IF(NOTA[[#This Row],[ID_H]]="","",INDEX(NOTA[NO.NOTA],MATCH(NOTA[[#This Row],[ID_H]],NOTA[ID_H],0)))</f>
        <v/>
      </c>
      <c r="AL579" s="28" t="str">
        <f ca="1">IF(NOTA[[#This Row],[NAMA BARANG]]="","",INDEX(NOTA[SUPPLIER],MATCH(,INDIRECT(ADDRESS(ROW(NOTA[ID]),COLUMN(NOTA[ID]))&amp;":"&amp;ADDRESS(ROW(),COLUMN(NOTA[ID]))),-1)))</f>
        <v/>
      </c>
      <c r="AM579" s="28" t="str">
        <f ca="1">IF(NOTA[[#This Row],[ID_H]]="","",IF(NOTA[[#This Row],[FAKTUR]]="",INDIRECT(ADDRESS(ROW()-1,COLUMN())),NOTA[[#This Row],[FAKTUR]]))</f>
        <v/>
      </c>
      <c r="AN579" s="25" t="str">
        <f ca="1">IF(NOTA[[#This Row],[ID]]="","",COUNTIF(NOTA[ID_H],NOTA[[#This Row],[ID_H]]))</f>
        <v/>
      </c>
      <c r="AO579" s="25" t="str">
        <f ca="1">IF(NOTA[[#This Row],[TGL.NOTA]]="",IF(NOTA[[#This Row],[SUPPLIER_H]]="","",AO578),MONTH(NOTA[[#This Row],[TGL.NOTA]]))</f>
        <v/>
      </c>
      <c r="AP5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9" s="25"/>
      <c r="AU579" s="25" t="str">
        <f>IF(NOTA[[#This Row],[CONCAT1]]="","",MATCH(NOTA[[#This Row],[CONCAT1]],[3]!db[NB NOTA_C],0))</f>
        <v/>
      </c>
      <c r="AV579" s="25" t="str">
        <f>IF(NOTA[[#This Row],[QTY/ CTN]]="","",TRUE)</f>
        <v/>
      </c>
      <c r="AW579" s="25" t="str">
        <f ca="1">IF(NOTA[[#This Row],[ID_H]]="","",IF(NOTA[[#This Row],[Column3]]=TRUE,NOTA[[#This Row],[QTY/ CTN]],INDEX([3]!db[QTY/ CTN],NOTA[[#This Row],[//DB]])))</f>
        <v/>
      </c>
      <c r="AX5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9" s="25" t="str">
        <f ca="1">IF(NOTA[[#This Row],[ID_H]]="","",MATCH(NOTA[[#This Row],[NB NOTA_C_QTY]],[3]!db[NB NOTA_C_QTY+F],0))</f>
        <v/>
      </c>
      <c r="AZ579" s="38" t="str">
        <f ca="1">IF(NOTA[[#This Row],[NB NOTA_C_QTY]]="","",ROW()-2)</f>
        <v/>
      </c>
    </row>
    <row r="580" spans="1:52" ht="20.100000000000001" customHeight="1">
      <c r="A5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0" s="25" t="str">
        <f ca="1">IF(NOTA[[#This Row],[NAMA BARANG]]="","",INDEX(NOTA[ID],MATCH(,INDIRECT(ADDRESS(ROW(NOTA[ID]),COLUMN(NOTA[ID]))&amp;":"&amp;ADDRESS(ROW(),COLUMN(NOTA[ID]))),-1)))</f>
        <v/>
      </c>
      <c r="E580" s="33"/>
      <c r="H580" s="34"/>
      <c r="Q580" s="29"/>
      <c r="R580" s="35"/>
      <c r="S580" s="36"/>
      <c r="V580" s="37"/>
      <c r="W580" s="32"/>
      <c r="X580" s="37" t="str">
        <f>IF(NOTA[[#This Row],[HARGA/ CTN]]="",NOTA[[#This Row],[JUMLAH_H]],NOTA[[#This Row],[HARGA/ CTN]]*IF(NOTA[[#This Row],[C]]="",0,NOTA[[#This Row],[C]]))</f>
        <v/>
      </c>
      <c r="Y580" s="37" t="str">
        <f>IF(NOTA[[#This Row],[JUMLAH]]="","",NOTA[[#This Row],[JUMLAH]]*NOTA[[#This Row],[DISC 1]])</f>
        <v/>
      </c>
      <c r="Z580" s="37" t="str">
        <f>IF(NOTA[[#This Row],[JUMLAH]]="","",(NOTA[[#This Row],[JUMLAH]]-NOTA[[#This Row],[DISC 1-]])*NOTA[[#This Row],[DISC 2]])</f>
        <v/>
      </c>
      <c r="AA580" s="37" t="str">
        <f>IF(NOTA[[#This Row],[JUMLAH]]="","",(NOTA[[#This Row],[JUMLAH]]-NOTA[[#This Row],[DISC 1-]]-NOTA[[#This Row],[DISC 2-]])*NOTA[[#This Row],[DISC 3]])</f>
        <v/>
      </c>
      <c r="AB580" s="37" t="str">
        <f>IF(NOTA[[#This Row],[JUMLAH]]="","",NOTA[[#This Row],[DISC 1-]]+NOTA[[#This Row],[DISC 2-]]+NOTA[[#This Row],[DISC 3-]])</f>
        <v/>
      </c>
      <c r="AC580" s="37" t="str">
        <f>IF(NOTA[[#This Row],[JUMLAH]]="","",NOTA[[#This Row],[JUMLAH]]-NOTA[[#This Row],[DISC]])</f>
        <v/>
      </c>
      <c r="AD580" s="37"/>
      <c r="AE5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0" s="37" t="str">
        <f>IF(OR(NOTA[[#This Row],[QTY]]="",NOTA[[#This Row],[HARGA SATUAN]]="",),"",NOTA[[#This Row],[QTY]]*NOTA[[#This Row],[HARGA SATUAN]])</f>
        <v/>
      </c>
      <c r="AI580" s="26" t="str">
        <f ca="1">IF(NOTA[[#This Row],[ID_H]]="","",INDEX(NOTA[TANGGAL],MATCH(,INDIRECT(ADDRESS(ROW(NOTA[TANGGAL]),COLUMN(NOTA[TANGGAL]))&amp;":"&amp;ADDRESS(ROW(),COLUMN(NOTA[TANGGAL]))),-1)))</f>
        <v/>
      </c>
      <c r="AJ580" s="26" t="str">
        <f ca="1">IF(NOTA[[#This Row],[ID_H]]="","",INDEX(NOTA[TGL.NOTA],MATCH(,INDIRECT(ADDRESS(ROW(NOTA[TGL.NOTA]),COLUMN(NOTA[TGL.NOTA]))&amp;":"&amp;ADDRESS(ROW(),COLUMN(NOTA[TGL.NOTA]))),-1)))</f>
        <v/>
      </c>
      <c r="AK580" s="26" t="str">
        <f ca="1">IF(NOTA[[#This Row],[ID_H]]="","",INDEX(NOTA[NO.NOTA],MATCH(NOTA[[#This Row],[ID_H]],NOTA[ID_H],0)))</f>
        <v/>
      </c>
      <c r="AL580" s="28" t="str">
        <f ca="1">IF(NOTA[[#This Row],[NAMA BARANG]]="","",INDEX(NOTA[SUPPLIER],MATCH(,INDIRECT(ADDRESS(ROW(NOTA[ID]),COLUMN(NOTA[ID]))&amp;":"&amp;ADDRESS(ROW(),COLUMN(NOTA[ID]))),-1)))</f>
        <v/>
      </c>
      <c r="AM580" s="28" t="str">
        <f ca="1">IF(NOTA[[#This Row],[ID_H]]="","",IF(NOTA[[#This Row],[FAKTUR]]="",INDIRECT(ADDRESS(ROW()-1,COLUMN())),NOTA[[#This Row],[FAKTUR]]))</f>
        <v/>
      </c>
      <c r="AN580" s="25" t="str">
        <f ca="1">IF(NOTA[[#This Row],[ID]]="","",COUNTIF(NOTA[ID_H],NOTA[[#This Row],[ID_H]]))</f>
        <v/>
      </c>
      <c r="AO580" s="25" t="str">
        <f ca="1">IF(NOTA[[#This Row],[TGL.NOTA]]="",IF(NOTA[[#This Row],[SUPPLIER_H]]="","",AO579),MONTH(NOTA[[#This Row],[TGL.NOTA]]))</f>
        <v/>
      </c>
      <c r="AP5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0" s="25"/>
      <c r="AU580" s="25" t="str">
        <f>IF(NOTA[[#This Row],[CONCAT1]]="","",MATCH(NOTA[[#This Row],[CONCAT1]],[3]!db[NB NOTA_C],0))</f>
        <v/>
      </c>
      <c r="AV580" s="25" t="str">
        <f>IF(NOTA[[#This Row],[QTY/ CTN]]="","",TRUE)</f>
        <v/>
      </c>
      <c r="AW580" s="25" t="str">
        <f ca="1">IF(NOTA[[#This Row],[ID_H]]="","",IF(NOTA[[#This Row],[Column3]]=TRUE,NOTA[[#This Row],[QTY/ CTN]],INDEX([3]!db[QTY/ CTN],NOTA[[#This Row],[//DB]])))</f>
        <v/>
      </c>
      <c r="AX5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0" s="25" t="str">
        <f ca="1">IF(NOTA[[#This Row],[ID_H]]="","",MATCH(NOTA[[#This Row],[NB NOTA_C_QTY]],[3]!db[NB NOTA_C_QTY+F],0))</f>
        <v/>
      </c>
      <c r="AZ580" s="38" t="str">
        <f ca="1">IF(NOTA[[#This Row],[NB NOTA_C_QTY]]="","",ROW()-2)</f>
        <v/>
      </c>
    </row>
    <row r="581" spans="1:52" ht="20.100000000000001" customHeight="1">
      <c r="A5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1" s="25" t="str">
        <f ca="1">IF(NOTA[[#This Row],[NAMA BARANG]]="","",INDEX(NOTA[ID],MATCH(,INDIRECT(ADDRESS(ROW(NOTA[ID]),COLUMN(NOTA[ID]))&amp;":"&amp;ADDRESS(ROW(),COLUMN(NOTA[ID]))),-1)))</f>
        <v/>
      </c>
      <c r="E581" s="33"/>
      <c r="H581" s="34"/>
      <c r="Q581" s="29"/>
      <c r="R581" s="35"/>
      <c r="S581" s="36"/>
      <c r="V581" s="37"/>
      <c r="W581" s="32"/>
      <c r="X581" s="37" t="str">
        <f>IF(NOTA[[#This Row],[HARGA/ CTN]]="",NOTA[[#This Row],[JUMLAH_H]],NOTA[[#This Row],[HARGA/ CTN]]*IF(NOTA[[#This Row],[C]]="",0,NOTA[[#This Row],[C]]))</f>
        <v/>
      </c>
      <c r="Y581" s="37" t="str">
        <f>IF(NOTA[[#This Row],[JUMLAH]]="","",NOTA[[#This Row],[JUMLAH]]*NOTA[[#This Row],[DISC 1]])</f>
        <v/>
      </c>
      <c r="Z581" s="37" t="str">
        <f>IF(NOTA[[#This Row],[JUMLAH]]="","",(NOTA[[#This Row],[JUMLAH]]-NOTA[[#This Row],[DISC 1-]])*NOTA[[#This Row],[DISC 2]])</f>
        <v/>
      </c>
      <c r="AA581" s="37" t="str">
        <f>IF(NOTA[[#This Row],[JUMLAH]]="","",(NOTA[[#This Row],[JUMLAH]]-NOTA[[#This Row],[DISC 1-]]-NOTA[[#This Row],[DISC 2-]])*NOTA[[#This Row],[DISC 3]])</f>
        <v/>
      </c>
      <c r="AB581" s="37" t="str">
        <f>IF(NOTA[[#This Row],[JUMLAH]]="","",NOTA[[#This Row],[DISC 1-]]+NOTA[[#This Row],[DISC 2-]]+NOTA[[#This Row],[DISC 3-]])</f>
        <v/>
      </c>
      <c r="AC581" s="37" t="str">
        <f>IF(NOTA[[#This Row],[JUMLAH]]="","",NOTA[[#This Row],[JUMLAH]]-NOTA[[#This Row],[DISC]])</f>
        <v/>
      </c>
      <c r="AD581" s="37"/>
      <c r="AE5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1" s="37" t="str">
        <f>IF(OR(NOTA[[#This Row],[QTY]]="",NOTA[[#This Row],[HARGA SATUAN]]="",),"",NOTA[[#This Row],[QTY]]*NOTA[[#This Row],[HARGA SATUAN]])</f>
        <v/>
      </c>
      <c r="AI581" s="26" t="str">
        <f ca="1">IF(NOTA[[#This Row],[ID_H]]="","",INDEX(NOTA[TANGGAL],MATCH(,INDIRECT(ADDRESS(ROW(NOTA[TANGGAL]),COLUMN(NOTA[TANGGAL]))&amp;":"&amp;ADDRESS(ROW(),COLUMN(NOTA[TANGGAL]))),-1)))</f>
        <v/>
      </c>
      <c r="AJ581" s="26" t="str">
        <f ca="1">IF(NOTA[[#This Row],[ID_H]]="","",INDEX(NOTA[TGL.NOTA],MATCH(,INDIRECT(ADDRESS(ROW(NOTA[TGL.NOTA]),COLUMN(NOTA[TGL.NOTA]))&amp;":"&amp;ADDRESS(ROW(),COLUMN(NOTA[TGL.NOTA]))),-1)))</f>
        <v/>
      </c>
      <c r="AK581" s="26" t="str">
        <f ca="1">IF(NOTA[[#This Row],[ID_H]]="","",INDEX(NOTA[NO.NOTA],MATCH(NOTA[[#This Row],[ID_H]],NOTA[ID_H],0)))</f>
        <v/>
      </c>
      <c r="AL581" s="28" t="str">
        <f ca="1">IF(NOTA[[#This Row],[NAMA BARANG]]="","",INDEX(NOTA[SUPPLIER],MATCH(,INDIRECT(ADDRESS(ROW(NOTA[ID]),COLUMN(NOTA[ID]))&amp;":"&amp;ADDRESS(ROW(),COLUMN(NOTA[ID]))),-1)))</f>
        <v/>
      </c>
      <c r="AM581" s="28" t="str">
        <f ca="1">IF(NOTA[[#This Row],[ID_H]]="","",IF(NOTA[[#This Row],[FAKTUR]]="",INDIRECT(ADDRESS(ROW()-1,COLUMN())),NOTA[[#This Row],[FAKTUR]]))</f>
        <v/>
      </c>
      <c r="AN581" s="25" t="str">
        <f ca="1">IF(NOTA[[#This Row],[ID]]="","",COUNTIF(NOTA[ID_H],NOTA[[#This Row],[ID_H]]))</f>
        <v/>
      </c>
      <c r="AO581" s="25" t="str">
        <f ca="1">IF(NOTA[[#This Row],[TGL.NOTA]]="",IF(NOTA[[#This Row],[SUPPLIER_H]]="","",AO580),MONTH(NOTA[[#This Row],[TGL.NOTA]]))</f>
        <v/>
      </c>
      <c r="AP5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1" s="25"/>
      <c r="AU581" s="25" t="str">
        <f>IF(NOTA[[#This Row],[CONCAT1]]="","",MATCH(NOTA[[#This Row],[CONCAT1]],[3]!db[NB NOTA_C],0))</f>
        <v/>
      </c>
      <c r="AV581" s="25" t="str">
        <f>IF(NOTA[[#This Row],[QTY/ CTN]]="","",TRUE)</f>
        <v/>
      </c>
      <c r="AW581" s="25" t="str">
        <f ca="1">IF(NOTA[[#This Row],[ID_H]]="","",IF(NOTA[[#This Row],[Column3]]=TRUE,NOTA[[#This Row],[QTY/ CTN]],INDEX([3]!db[QTY/ CTN],NOTA[[#This Row],[//DB]])))</f>
        <v/>
      </c>
      <c r="AX5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1" s="25" t="str">
        <f ca="1">IF(NOTA[[#This Row],[ID_H]]="","",MATCH(NOTA[[#This Row],[NB NOTA_C_QTY]],[3]!db[NB NOTA_C_QTY+F],0))</f>
        <v/>
      </c>
      <c r="AZ581" s="38" t="str">
        <f ca="1">IF(NOTA[[#This Row],[NB NOTA_C_QTY]]="","",ROW()-2)</f>
        <v/>
      </c>
    </row>
    <row r="582" spans="1:52" ht="20.100000000000001" customHeight="1">
      <c r="A5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2" s="25" t="str">
        <f ca="1">IF(NOTA[[#This Row],[NAMA BARANG]]="","",INDEX(NOTA[ID],MATCH(,INDIRECT(ADDRESS(ROW(NOTA[ID]),COLUMN(NOTA[ID]))&amp;":"&amp;ADDRESS(ROW(),COLUMN(NOTA[ID]))),-1)))</f>
        <v/>
      </c>
      <c r="E582" s="33"/>
      <c r="H582" s="34"/>
      <c r="Q582" s="29"/>
      <c r="R582" s="35"/>
      <c r="S582" s="36"/>
      <c r="V582" s="37"/>
      <c r="W582" s="32"/>
      <c r="X582" s="37" t="str">
        <f>IF(NOTA[[#This Row],[HARGA/ CTN]]="",NOTA[[#This Row],[JUMLAH_H]],NOTA[[#This Row],[HARGA/ CTN]]*IF(NOTA[[#This Row],[C]]="",0,NOTA[[#This Row],[C]]))</f>
        <v/>
      </c>
      <c r="Y582" s="37" t="str">
        <f>IF(NOTA[[#This Row],[JUMLAH]]="","",NOTA[[#This Row],[JUMLAH]]*NOTA[[#This Row],[DISC 1]])</f>
        <v/>
      </c>
      <c r="Z582" s="37" t="str">
        <f>IF(NOTA[[#This Row],[JUMLAH]]="","",(NOTA[[#This Row],[JUMLAH]]-NOTA[[#This Row],[DISC 1-]])*NOTA[[#This Row],[DISC 2]])</f>
        <v/>
      </c>
      <c r="AA582" s="37" t="str">
        <f>IF(NOTA[[#This Row],[JUMLAH]]="","",(NOTA[[#This Row],[JUMLAH]]-NOTA[[#This Row],[DISC 1-]]-NOTA[[#This Row],[DISC 2-]])*NOTA[[#This Row],[DISC 3]])</f>
        <v/>
      </c>
      <c r="AB582" s="37" t="str">
        <f>IF(NOTA[[#This Row],[JUMLAH]]="","",NOTA[[#This Row],[DISC 1-]]+NOTA[[#This Row],[DISC 2-]]+NOTA[[#This Row],[DISC 3-]])</f>
        <v/>
      </c>
      <c r="AC582" s="37" t="str">
        <f>IF(NOTA[[#This Row],[JUMLAH]]="","",NOTA[[#This Row],[JUMLAH]]-NOTA[[#This Row],[DISC]])</f>
        <v/>
      </c>
      <c r="AD582" s="37"/>
      <c r="AE5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2" s="37" t="str">
        <f>IF(OR(NOTA[[#This Row],[QTY]]="",NOTA[[#This Row],[HARGA SATUAN]]="",),"",NOTA[[#This Row],[QTY]]*NOTA[[#This Row],[HARGA SATUAN]])</f>
        <v/>
      </c>
      <c r="AI582" s="26" t="str">
        <f ca="1">IF(NOTA[[#This Row],[ID_H]]="","",INDEX(NOTA[TANGGAL],MATCH(,INDIRECT(ADDRESS(ROW(NOTA[TANGGAL]),COLUMN(NOTA[TANGGAL]))&amp;":"&amp;ADDRESS(ROW(),COLUMN(NOTA[TANGGAL]))),-1)))</f>
        <v/>
      </c>
      <c r="AJ582" s="26" t="str">
        <f ca="1">IF(NOTA[[#This Row],[ID_H]]="","",INDEX(NOTA[TGL.NOTA],MATCH(,INDIRECT(ADDRESS(ROW(NOTA[TGL.NOTA]),COLUMN(NOTA[TGL.NOTA]))&amp;":"&amp;ADDRESS(ROW(),COLUMN(NOTA[TGL.NOTA]))),-1)))</f>
        <v/>
      </c>
      <c r="AK582" s="26" t="str">
        <f ca="1">IF(NOTA[[#This Row],[ID_H]]="","",INDEX(NOTA[NO.NOTA],MATCH(NOTA[[#This Row],[ID_H]],NOTA[ID_H],0)))</f>
        <v/>
      </c>
      <c r="AL582" s="28" t="str">
        <f ca="1">IF(NOTA[[#This Row],[NAMA BARANG]]="","",INDEX(NOTA[SUPPLIER],MATCH(,INDIRECT(ADDRESS(ROW(NOTA[ID]),COLUMN(NOTA[ID]))&amp;":"&amp;ADDRESS(ROW(),COLUMN(NOTA[ID]))),-1)))</f>
        <v/>
      </c>
      <c r="AM582" s="28" t="str">
        <f ca="1">IF(NOTA[[#This Row],[ID_H]]="","",IF(NOTA[[#This Row],[FAKTUR]]="",INDIRECT(ADDRESS(ROW()-1,COLUMN())),NOTA[[#This Row],[FAKTUR]]))</f>
        <v/>
      </c>
      <c r="AN582" s="25" t="str">
        <f ca="1">IF(NOTA[[#This Row],[ID]]="","",COUNTIF(NOTA[ID_H],NOTA[[#This Row],[ID_H]]))</f>
        <v/>
      </c>
      <c r="AO582" s="25" t="str">
        <f ca="1">IF(NOTA[[#This Row],[TGL.NOTA]]="",IF(NOTA[[#This Row],[SUPPLIER_H]]="","",AO581),MONTH(NOTA[[#This Row],[TGL.NOTA]]))</f>
        <v/>
      </c>
      <c r="AP5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2" s="25"/>
      <c r="AU582" s="25" t="str">
        <f>IF(NOTA[[#This Row],[CONCAT1]]="","",MATCH(NOTA[[#This Row],[CONCAT1]],[3]!db[NB NOTA_C],0))</f>
        <v/>
      </c>
      <c r="AV582" s="25" t="str">
        <f>IF(NOTA[[#This Row],[QTY/ CTN]]="","",TRUE)</f>
        <v/>
      </c>
      <c r="AW582" s="25" t="str">
        <f ca="1">IF(NOTA[[#This Row],[ID_H]]="","",IF(NOTA[[#This Row],[Column3]]=TRUE,NOTA[[#This Row],[QTY/ CTN]],INDEX([3]!db[QTY/ CTN],NOTA[[#This Row],[//DB]])))</f>
        <v/>
      </c>
      <c r="AX5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2" s="25" t="str">
        <f ca="1">IF(NOTA[[#This Row],[ID_H]]="","",MATCH(NOTA[[#This Row],[NB NOTA_C_QTY]],[3]!db[NB NOTA_C_QTY+F],0))</f>
        <v/>
      </c>
      <c r="AZ582" s="38" t="str">
        <f ca="1">IF(NOTA[[#This Row],[NB NOTA_C_QTY]]="","",ROW()-2)</f>
        <v/>
      </c>
    </row>
    <row r="583" spans="1:52" ht="20.100000000000001" customHeight="1">
      <c r="A5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3" s="25" t="str">
        <f ca="1">IF(NOTA[[#This Row],[NAMA BARANG]]="","",INDEX(NOTA[ID],MATCH(,INDIRECT(ADDRESS(ROW(NOTA[ID]),COLUMN(NOTA[ID]))&amp;":"&amp;ADDRESS(ROW(),COLUMN(NOTA[ID]))),-1)))</f>
        <v/>
      </c>
      <c r="E583" s="33"/>
      <c r="H583" s="34"/>
      <c r="Q583" s="29"/>
      <c r="R583" s="35"/>
      <c r="S583" s="36"/>
      <c r="V583" s="37"/>
      <c r="W583" s="32"/>
      <c r="X583" s="37" t="str">
        <f>IF(NOTA[[#This Row],[HARGA/ CTN]]="",NOTA[[#This Row],[JUMLAH_H]],NOTA[[#This Row],[HARGA/ CTN]]*IF(NOTA[[#This Row],[C]]="",0,NOTA[[#This Row],[C]]))</f>
        <v/>
      </c>
      <c r="Y583" s="37" t="str">
        <f>IF(NOTA[[#This Row],[JUMLAH]]="","",NOTA[[#This Row],[JUMLAH]]*NOTA[[#This Row],[DISC 1]])</f>
        <v/>
      </c>
      <c r="Z583" s="37" t="str">
        <f>IF(NOTA[[#This Row],[JUMLAH]]="","",(NOTA[[#This Row],[JUMLAH]]-NOTA[[#This Row],[DISC 1-]])*NOTA[[#This Row],[DISC 2]])</f>
        <v/>
      </c>
      <c r="AA583" s="37" t="str">
        <f>IF(NOTA[[#This Row],[JUMLAH]]="","",(NOTA[[#This Row],[JUMLAH]]-NOTA[[#This Row],[DISC 1-]]-NOTA[[#This Row],[DISC 2-]])*NOTA[[#This Row],[DISC 3]])</f>
        <v/>
      </c>
      <c r="AB583" s="37" t="str">
        <f>IF(NOTA[[#This Row],[JUMLAH]]="","",NOTA[[#This Row],[DISC 1-]]+NOTA[[#This Row],[DISC 2-]]+NOTA[[#This Row],[DISC 3-]])</f>
        <v/>
      </c>
      <c r="AC583" s="37" t="str">
        <f>IF(NOTA[[#This Row],[JUMLAH]]="","",NOTA[[#This Row],[JUMLAH]]-NOTA[[#This Row],[DISC]])</f>
        <v/>
      </c>
      <c r="AD583" s="37"/>
      <c r="AE5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3" s="37" t="str">
        <f>IF(OR(NOTA[[#This Row],[QTY]]="",NOTA[[#This Row],[HARGA SATUAN]]="",),"",NOTA[[#This Row],[QTY]]*NOTA[[#This Row],[HARGA SATUAN]])</f>
        <v/>
      </c>
      <c r="AI583" s="26" t="str">
        <f ca="1">IF(NOTA[[#This Row],[ID_H]]="","",INDEX(NOTA[TANGGAL],MATCH(,INDIRECT(ADDRESS(ROW(NOTA[TANGGAL]),COLUMN(NOTA[TANGGAL]))&amp;":"&amp;ADDRESS(ROW(),COLUMN(NOTA[TANGGAL]))),-1)))</f>
        <v/>
      </c>
      <c r="AJ583" s="26" t="str">
        <f ca="1">IF(NOTA[[#This Row],[ID_H]]="","",INDEX(NOTA[TGL.NOTA],MATCH(,INDIRECT(ADDRESS(ROW(NOTA[TGL.NOTA]),COLUMN(NOTA[TGL.NOTA]))&amp;":"&amp;ADDRESS(ROW(),COLUMN(NOTA[TGL.NOTA]))),-1)))</f>
        <v/>
      </c>
      <c r="AK583" s="26" t="str">
        <f ca="1">IF(NOTA[[#This Row],[ID_H]]="","",INDEX(NOTA[NO.NOTA],MATCH(NOTA[[#This Row],[ID_H]],NOTA[ID_H],0)))</f>
        <v/>
      </c>
      <c r="AL583" s="28" t="str">
        <f ca="1">IF(NOTA[[#This Row],[NAMA BARANG]]="","",INDEX(NOTA[SUPPLIER],MATCH(,INDIRECT(ADDRESS(ROW(NOTA[ID]),COLUMN(NOTA[ID]))&amp;":"&amp;ADDRESS(ROW(),COLUMN(NOTA[ID]))),-1)))</f>
        <v/>
      </c>
      <c r="AM583" s="28" t="str">
        <f ca="1">IF(NOTA[[#This Row],[ID_H]]="","",IF(NOTA[[#This Row],[FAKTUR]]="",INDIRECT(ADDRESS(ROW()-1,COLUMN())),NOTA[[#This Row],[FAKTUR]]))</f>
        <v/>
      </c>
      <c r="AN583" s="25" t="str">
        <f ca="1">IF(NOTA[[#This Row],[ID]]="","",COUNTIF(NOTA[ID_H],NOTA[[#This Row],[ID_H]]))</f>
        <v/>
      </c>
      <c r="AO583" s="25" t="str">
        <f ca="1">IF(NOTA[[#This Row],[TGL.NOTA]]="",IF(NOTA[[#This Row],[SUPPLIER_H]]="","",AO582),MONTH(NOTA[[#This Row],[TGL.NOTA]]))</f>
        <v/>
      </c>
      <c r="AP5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3" s="25"/>
      <c r="AU583" s="25" t="str">
        <f>IF(NOTA[[#This Row],[CONCAT1]]="","",MATCH(NOTA[[#This Row],[CONCAT1]],[3]!db[NB NOTA_C],0))</f>
        <v/>
      </c>
      <c r="AV583" s="25" t="str">
        <f>IF(NOTA[[#This Row],[QTY/ CTN]]="","",TRUE)</f>
        <v/>
      </c>
      <c r="AW583" s="25" t="str">
        <f ca="1">IF(NOTA[[#This Row],[ID_H]]="","",IF(NOTA[[#This Row],[Column3]]=TRUE,NOTA[[#This Row],[QTY/ CTN]],INDEX([3]!db[QTY/ CTN],NOTA[[#This Row],[//DB]])))</f>
        <v/>
      </c>
      <c r="AX5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3" s="25" t="str">
        <f ca="1">IF(NOTA[[#This Row],[ID_H]]="","",MATCH(NOTA[[#This Row],[NB NOTA_C_QTY]],[3]!db[NB NOTA_C_QTY+F],0))</f>
        <v/>
      </c>
      <c r="AZ583" s="38" t="str">
        <f ca="1">IF(NOTA[[#This Row],[NB NOTA_C_QTY]]="","",ROW()-2)</f>
        <v/>
      </c>
    </row>
    <row r="584" spans="1:52" ht="20.100000000000001" customHeight="1">
      <c r="A5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4" s="25" t="str">
        <f ca="1">IF(NOTA[[#This Row],[NAMA BARANG]]="","",INDEX(NOTA[ID],MATCH(,INDIRECT(ADDRESS(ROW(NOTA[ID]),COLUMN(NOTA[ID]))&amp;":"&amp;ADDRESS(ROW(),COLUMN(NOTA[ID]))),-1)))</f>
        <v/>
      </c>
      <c r="E584" s="33"/>
      <c r="H584" s="34"/>
      <c r="Q584" s="29"/>
      <c r="R584" s="35"/>
      <c r="S584" s="36"/>
      <c r="V584" s="37"/>
      <c r="W584" s="32"/>
      <c r="X584" s="37" t="str">
        <f>IF(NOTA[[#This Row],[HARGA/ CTN]]="",NOTA[[#This Row],[JUMLAH_H]],NOTA[[#This Row],[HARGA/ CTN]]*IF(NOTA[[#This Row],[C]]="",0,NOTA[[#This Row],[C]]))</f>
        <v/>
      </c>
      <c r="Y584" s="37" t="str">
        <f>IF(NOTA[[#This Row],[JUMLAH]]="","",NOTA[[#This Row],[JUMLAH]]*NOTA[[#This Row],[DISC 1]])</f>
        <v/>
      </c>
      <c r="Z584" s="37" t="str">
        <f>IF(NOTA[[#This Row],[JUMLAH]]="","",(NOTA[[#This Row],[JUMLAH]]-NOTA[[#This Row],[DISC 1-]])*NOTA[[#This Row],[DISC 2]])</f>
        <v/>
      </c>
      <c r="AA584" s="37" t="str">
        <f>IF(NOTA[[#This Row],[JUMLAH]]="","",(NOTA[[#This Row],[JUMLAH]]-NOTA[[#This Row],[DISC 1-]]-NOTA[[#This Row],[DISC 2-]])*NOTA[[#This Row],[DISC 3]])</f>
        <v/>
      </c>
      <c r="AB584" s="37" t="str">
        <f>IF(NOTA[[#This Row],[JUMLAH]]="","",NOTA[[#This Row],[DISC 1-]]+NOTA[[#This Row],[DISC 2-]]+NOTA[[#This Row],[DISC 3-]])</f>
        <v/>
      </c>
      <c r="AC584" s="37" t="str">
        <f>IF(NOTA[[#This Row],[JUMLAH]]="","",NOTA[[#This Row],[JUMLAH]]-NOTA[[#This Row],[DISC]])</f>
        <v/>
      </c>
      <c r="AD584" s="37"/>
      <c r="AE5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4" s="37" t="str">
        <f>IF(OR(NOTA[[#This Row],[QTY]]="",NOTA[[#This Row],[HARGA SATUAN]]="",),"",NOTA[[#This Row],[QTY]]*NOTA[[#This Row],[HARGA SATUAN]])</f>
        <v/>
      </c>
      <c r="AI584" s="26" t="str">
        <f ca="1">IF(NOTA[[#This Row],[ID_H]]="","",INDEX(NOTA[TANGGAL],MATCH(,INDIRECT(ADDRESS(ROW(NOTA[TANGGAL]),COLUMN(NOTA[TANGGAL]))&amp;":"&amp;ADDRESS(ROW(),COLUMN(NOTA[TANGGAL]))),-1)))</f>
        <v/>
      </c>
      <c r="AJ584" s="26" t="str">
        <f ca="1">IF(NOTA[[#This Row],[ID_H]]="","",INDEX(NOTA[TGL.NOTA],MATCH(,INDIRECT(ADDRESS(ROW(NOTA[TGL.NOTA]),COLUMN(NOTA[TGL.NOTA]))&amp;":"&amp;ADDRESS(ROW(),COLUMN(NOTA[TGL.NOTA]))),-1)))</f>
        <v/>
      </c>
      <c r="AK584" s="26" t="str">
        <f ca="1">IF(NOTA[[#This Row],[ID_H]]="","",INDEX(NOTA[NO.NOTA],MATCH(NOTA[[#This Row],[ID_H]],NOTA[ID_H],0)))</f>
        <v/>
      </c>
      <c r="AL584" s="28" t="str">
        <f ca="1">IF(NOTA[[#This Row],[NAMA BARANG]]="","",INDEX(NOTA[SUPPLIER],MATCH(,INDIRECT(ADDRESS(ROW(NOTA[ID]),COLUMN(NOTA[ID]))&amp;":"&amp;ADDRESS(ROW(),COLUMN(NOTA[ID]))),-1)))</f>
        <v/>
      </c>
      <c r="AM584" s="28" t="str">
        <f ca="1">IF(NOTA[[#This Row],[ID_H]]="","",IF(NOTA[[#This Row],[FAKTUR]]="",INDIRECT(ADDRESS(ROW()-1,COLUMN())),NOTA[[#This Row],[FAKTUR]]))</f>
        <v/>
      </c>
      <c r="AN584" s="25" t="str">
        <f ca="1">IF(NOTA[[#This Row],[ID]]="","",COUNTIF(NOTA[ID_H],NOTA[[#This Row],[ID_H]]))</f>
        <v/>
      </c>
      <c r="AO584" s="25" t="str">
        <f ca="1">IF(NOTA[[#This Row],[TGL.NOTA]]="",IF(NOTA[[#This Row],[SUPPLIER_H]]="","",AO583),MONTH(NOTA[[#This Row],[TGL.NOTA]]))</f>
        <v/>
      </c>
      <c r="AP5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4" s="25"/>
      <c r="AU584" s="25" t="str">
        <f>IF(NOTA[[#This Row],[CONCAT1]]="","",MATCH(NOTA[[#This Row],[CONCAT1]],[3]!db[NB NOTA_C],0))</f>
        <v/>
      </c>
      <c r="AV584" s="25" t="str">
        <f>IF(NOTA[[#This Row],[QTY/ CTN]]="","",TRUE)</f>
        <v/>
      </c>
      <c r="AW584" s="25" t="str">
        <f ca="1">IF(NOTA[[#This Row],[ID_H]]="","",IF(NOTA[[#This Row],[Column3]]=TRUE,NOTA[[#This Row],[QTY/ CTN]],INDEX([3]!db[QTY/ CTN],NOTA[[#This Row],[//DB]])))</f>
        <v/>
      </c>
      <c r="AX5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4" s="25" t="str">
        <f ca="1">IF(NOTA[[#This Row],[ID_H]]="","",MATCH(NOTA[[#This Row],[NB NOTA_C_QTY]],[3]!db[NB NOTA_C_QTY+F],0))</f>
        <v/>
      </c>
      <c r="AZ584" s="38" t="str">
        <f ca="1">IF(NOTA[[#This Row],[NB NOTA_C_QTY]]="","",ROW()-2)</f>
        <v/>
      </c>
    </row>
    <row r="585" spans="1:52" ht="20.100000000000001" customHeight="1">
      <c r="A5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5" s="25" t="str">
        <f ca="1">IF(NOTA[[#This Row],[NAMA BARANG]]="","",INDEX(NOTA[ID],MATCH(,INDIRECT(ADDRESS(ROW(NOTA[ID]),COLUMN(NOTA[ID]))&amp;":"&amp;ADDRESS(ROW(),COLUMN(NOTA[ID]))),-1)))</f>
        <v/>
      </c>
      <c r="E585" s="33"/>
      <c r="H585" s="34"/>
      <c r="Q585" s="29"/>
      <c r="R585" s="35"/>
      <c r="S585" s="36"/>
      <c r="V585" s="37"/>
      <c r="W585" s="32"/>
      <c r="X585" s="37" t="str">
        <f>IF(NOTA[[#This Row],[HARGA/ CTN]]="",NOTA[[#This Row],[JUMLAH_H]],NOTA[[#This Row],[HARGA/ CTN]]*IF(NOTA[[#This Row],[C]]="",0,NOTA[[#This Row],[C]]))</f>
        <v/>
      </c>
      <c r="Y585" s="37" t="str">
        <f>IF(NOTA[[#This Row],[JUMLAH]]="","",NOTA[[#This Row],[JUMLAH]]*NOTA[[#This Row],[DISC 1]])</f>
        <v/>
      </c>
      <c r="Z585" s="37" t="str">
        <f>IF(NOTA[[#This Row],[JUMLAH]]="","",(NOTA[[#This Row],[JUMLAH]]-NOTA[[#This Row],[DISC 1-]])*NOTA[[#This Row],[DISC 2]])</f>
        <v/>
      </c>
      <c r="AA585" s="37" t="str">
        <f>IF(NOTA[[#This Row],[JUMLAH]]="","",(NOTA[[#This Row],[JUMLAH]]-NOTA[[#This Row],[DISC 1-]]-NOTA[[#This Row],[DISC 2-]])*NOTA[[#This Row],[DISC 3]])</f>
        <v/>
      </c>
      <c r="AB585" s="37" t="str">
        <f>IF(NOTA[[#This Row],[JUMLAH]]="","",NOTA[[#This Row],[DISC 1-]]+NOTA[[#This Row],[DISC 2-]]+NOTA[[#This Row],[DISC 3-]])</f>
        <v/>
      </c>
      <c r="AC585" s="37" t="str">
        <f>IF(NOTA[[#This Row],[JUMLAH]]="","",NOTA[[#This Row],[JUMLAH]]-NOTA[[#This Row],[DISC]])</f>
        <v/>
      </c>
      <c r="AD585" s="37"/>
      <c r="AE5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5" s="37" t="str">
        <f>IF(OR(NOTA[[#This Row],[QTY]]="",NOTA[[#This Row],[HARGA SATUAN]]="",),"",NOTA[[#This Row],[QTY]]*NOTA[[#This Row],[HARGA SATUAN]])</f>
        <v/>
      </c>
      <c r="AI585" s="26" t="str">
        <f ca="1">IF(NOTA[[#This Row],[ID_H]]="","",INDEX(NOTA[TANGGAL],MATCH(,INDIRECT(ADDRESS(ROW(NOTA[TANGGAL]),COLUMN(NOTA[TANGGAL]))&amp;":"&amp;ADDRESS(ROW(),COLUMN(NOTA[TANGGAL]))),-1)))</f>
        <v/>
      </c>
      <c r="AJ585" s="26" t="str">
        <f ca="1">IF(NOTA[[#This Row],[ID_H]]="","",INDEX(NOTA[TGL.NOTA],MATCH(,INDIRECT(ADDRESS(ROW(NOTA[TGL.NOTA]),COLUMN(NOTA[TGL.NOTA]))&amp;":"&amp;ADDRESS(ROW(),COLUMN(NOTA[TGL.NOTA]))),-1)))</f>
        <v/>
      </c>
      <c r="AK585" s="26" t="str">
        <f ca="1">IF(NOTA[[#This Row],[ID_H]]="","",INDEX(NOTA[NO.NOTA],MATCH(NOTA[[#This Row],[ID_H]],NOTA[ID_H],0)))</f>
        <v/>
      </c>
      <c r="AL585" s="28" t="str">
        <f ca="1">IF(NOTA[[#This Row],[NAMA BARANG]]="","",INDEX(NOTA[SUPPLIER],MATCH(,INDIRECT(ADDRESS(ROW(NOTA[ID]),COLUMN(NOTA[ID]))&amp;":"&amp;ADDRESS(ROW(),COLUMN(NOTA[ID]))),-1)))</f>
        <v/>
      </c>
      <c r="AM585" s="28" t="str">
        <f ca="1">IF(NOTA[[#This Row],[ID_H]]="","",IF(NOTA[[#This Row],[FAKTUR]]="",INDIRECT(ADDRESS(ROW()-1,COLUMN())),NOTA[[#This Row],[FAKTUR]]))</f>
        <v/>
      </c>
      <c r="AN585" s="25" t="str">
        <f ca="1">IF(NOTA[[#This Row],[ID]]="","",COUNTIF(NOTA[ID_H],NOTA[[#This Row],[ID_H]]))</f>
        <v/>
      </c>
      <c r="AO585" s="25" t="str">
        <f ca="1">IF(NOTA[[#This Row],[TGL.NOTA]]="",IF(NOTA[[#This Row],[SUPPLIER_H]]="","",AO584),MONTH(NOTA[[#This Row],[TGL.NOTA]]))</f>
        <v/>
      </c>
      <c r="AP5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5" s="25"/>
      <c r="AU585" s="25" t="str">
        <f>IF(NOTA[[#This Row],[CONCAT1]]="","",MATCH(NOTA[[#This Row],[CONCAT1]],[3]!db[NB NOTA_C],0))</f>
        <v/>
      </c>
      <c r="AV585" s="25" t="str">
        <f>IF(NOTA[[#This Row],[QTY/ CTN]]="","",TRUE)</f>
        <v/>
      </c>
      <c r="AW585" s="25" t="str">
        <f ca="1">IF(NOTA[[#This Row],[ID_H]]="","",IF(NOTA[[#This Row],[Column3]]=TRUE,NOTA[[#This Row],[QTY/ CTN]],INDEX([3]!db[QTY/ CTN],NOTA[[#This Row],[//DB]])))</f>
        <v/>
      </c>
      <c r="AX5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5" s="25" t="str">
        <f ca="1">IF(NOTA[[#This Row],[ID_H]]="","",MATCH(NOTA[[#This Row],[NB NOTA_C_QTY]],[3]!db[NB NOTA_C_QTY+F],0))</f>
        <v/>
      </c>
      <c r="AZ585" s="38" t="str">
        <f ca="1">IF(NOTA[[#This Row],[NB NOTA_C_QTY]]="","",ROW()-2)</f>
        <v/>
      </c>
    </row>
    <row r="586" spans="1:52" ht="20.100000000000001" customHeight="1">
      <c r="A5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6" s="25" t="str">
        <f ca="1">IF(NOTA[[#This Row],[NAMA BARANG]]="","",INDEX(NOTA[ID],MATCH(,INDIRECT(ADDRESS(ROW(NOTA[ID]),COLUMN(NOTA[ID]))&amp;":"&amp;ADDRESS(ROW(),COLUMN(NOTA[ID]))),-1)))</f>
        <v/>
      </c>
      <c r="E586" s="33"/>
      <c r="H586" s="34"/>
      <c r="Q586" s="29"/>
      <c r="R586" s="35"/>
      <c r="S586" s="36"/>
      <c r="V586" s="37"/>
      <c r="W586" s="32"/>
      <c r="X586" s="37" t="str">
        <f>IF(NOTA[[#This Row],[HARGA/ CTN]]="",NOTA[[#This Row],[JUMLAH_H]],NOTA[[#This Row],[HARGA/ CTN]]*IF(NOTA[[#This Row],[C]]="",0,NOTA[[#This Row],[C]]))</f>
        <v/>
      </c>
      <c r="Y586" s="37" t="str">
        <f>IF(NOTA[[#This Row],[JUMLAH]]="","",NOTA[[#This Row],[JUMLAH]]*NOTA[[#This Row],[DISC 1]])</f>
        <v/>
      </c>
      <c r="Z586" s="37" t="str">
        <f>IF(NOTA[[#This Row],[JUMLAH]]="","",(NOTA[[#This Row],[JUMLAH]]-NOTA[[#This Row],[DISC 1-]])*NOTA[[#This Row],[DISC 2]])</f>
        <v/>
      </c>
      <c r="AA586" s="37" t="str">
        <f>IF(NOTA[[#This Row],[JUMLAH]]="","",(NOTA[[#This Row],[JUMLAH]]-NOTA[[#This Row],[DISC 1-]]-NOTA[[#This Row],[DISC 2-]])*NOTA[[#This Row],[DISC 3]])</f>
        <v/>
      </c>
      <c r="AB586" s="37" t="str">
        <f>IF(NOTA[[#This Row],[JUMLAH]]="","",NOTA[[#This Row],[DISC 1-]]+NOTA[[#This Row],[DISC 2-]]+NOTA[[#This Row],[DISC 3-]])</f>
        <v/>
      </c>
      <c r="AC586" s="37" t="str">
        <f>IF(NOTA[[#This Row],[JUMLAH]]="","",NOTA[[#This Row],[JUMLAH]]-NOTA[[#This Row],[DISC]])</f>
        <v/>
      </c>
      <c r="AD586" s="37"/>
      <c r="AE5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6" s="37" t="str">
        <f>IF(OR(NOTA[[#This Row],[QTY]]="",NOTA[[#This Row],[HARGA SATUAN]]="",),"",NOTA[[#This Row],[QTY]]*NOTA[[#This Row],[HARGA SATUAN]])</f>
        <v/>
      </c>
      <c r="AI586" s="26" t="str">
        <f ca="1">IF(NOTA[[#This Row],[ID_H]]="","",INDEX(NOTA[TANGGAL],MATCH(,INDIRECT(ADDRESS(ROW(NOTA[TANGGAL]),COLUMN(NOTA[TANGGAL]))&amp;":"&amp;ADDRESS(ROW(),COLUMN(NOTA[TANGGAL]))),-1)))</f>
        <v/>
      </c>
      <c r="AJ586" s="26" t="str">
        <f ca="1">IF(NOTA[[#This Row],[ID_H]]="","",INDEX(NOTA[TGL.NOTA],MATCH(,INDIRECT(ADDRESS(ROW(NOTA[TGL.NOTA]),COLUMN(NOTA[TGL.NOTA]))&amp;":"&amp;ADDRESS(ROW(),COLUMN(NOTA[TGL.NOTA]))),-1)))</f>
        <v/>
      </c>
      <c r="AK586" s="26" t="str">
        <f ca="1">IF(NOTA[[#This Row],[ID_H]]="","",INDEX(NOTA[NO.NOTA],MATCH(NOTA[[#This Row],[ID_H]],NOTA[ID_H],0)))</f>
        <v/>
      </c>
      <c r="AL586" s="28" t="str">
        <f ca="1">IF(NOTA[[#This Row],[NAMA BARANG]]="","",INDEX(NOTA[SUPPLIER],MATCH(,INDIRECT(ADDRESS(ROW(NOTA[ID]),COLUMN(NOTA[ID]))&amp;":"&amp;ADDRESS(ROW(),COLUMN(NOTA[ID]))),-1)))</f>
        <v/>
      </c>
      <c r="AM586" s="28" t="str">
        <f ca="1">IF(NOTA[[#This Row],[ID_H]]="","",IF(NOTA[[#This Row],[FAKTUR]]="",INDIRECT(ADDRESS(ROW()-1,COLUMN())),NOTA[[#This Row],[FAKTUR]]))</f>
        <v/>
      </c>
      <c r="AN586" s="25" t="str">
        <f ca="1">IF(NOTA[[#This Row],[ID]]="","",COUNTIF(NOTA[ID_H],NOTA[[#This Row],[ID_H]]))</f>
        <v/>
      </c>
      <c r="AO586" s="25" t="str">
        <f ca="1">IF(NOTA[[#This Row],[TGL.NOTA]]="",IF(NOTA[[#This Row],[SUPPLIER_H]]="","",AO585),MONTH(NOTA[[#This Row],[TGL.NOTA]]))</f>
        <v/>
      </c>
      <c r="AP5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6" s="25"/>
      <c r="AU586" s="25" t="str">
        <f>IF(NOTA[[#This Row],[CONCAT1]]="","",MATCH(NOTA[[#This Row],[CONCAT1]],[3]!db[NB NOTA_C],0))</f>
        <v/>
      </c>
      <c r="AV586" s="25" t="str">
        <f>IF(NOTA[[#This Row],[QTY/ CTN]]="","",TRUE)</f>
        <v/>
      </c>
      <c r="AW586" s="25" t="str">
        <f ca="1">IF(NOTA[[#This Row],[ID_H]]="","",IF(NOTA[[#This Row],[Column3]]=TRUE,NOTA[[#This Row],[QTY/ CTN]],INDEX([3]!db[QTY/ CTN],NOTA[[#This Row],[//DB]])))</f>
        <v/>
      </c>
      <c r="AX5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6" s="25" t="str">
        <f ca="1">IF(NOTA[[#This Row],[ID_H]]="","",MATCH(NOTA[[#This Row],[NB NOTA_C_QTY]],[3]!db[NB NOTA_C_QTY+F],0))</f>
        <v/>
      </c>
      <c r="AZ586" s="38" t="str">
        <f ca="1">IF(NOTA[[#This Row],[NB NOTA_C_QTY]]="","",ROW()-2)</f>
        <v/>
      </c>
    </row>
    <row r="587" spans="1:52" ht="20.100000000000001" customHeight="1">
      <c r="A5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7" s="25" t="str">
        <f ca="1">IF(NOTA[[#This Row],[NAMA BARANG]]="","",INDEX(NOTA[ID],MATCH(,INDIRECT(ADDRESS(ROW(NOTA[ID]),COLUMN(NOTA[ID]))&amp;":"&amp;ADDRESS(ROW(),COLUMN(NOTA[ID]))),-1)))</f>
        <v/>
      </c>
      <c r="E587" s="33"/>
      <c r="H587" s="34"/>
      <c r="Q587" s="29"/>
      <c r="R587" s="35"/>
      <c r="S587" s="36"/>
      <c r="V587" s="37"/>
      <c r="W587" s="32"/>
      <c r="X587" s="37" t="str">
        <f>IF(NOTA[[#This Row],[HARGA/ CTN]]="",NOTA[[#This Row],[JUMLAH_H]],NOTA[[#This Row],[HARGA/ CTN]]*IF(NOTA[[#This Row],[C]]="",0,NOTA[[#This Row],[C]]))</f>
        <v/>
      </c>
      <c r="Y587" s="37" t="str">
        <f>IF(NOTA[[#This Row],[JUMLAH]]="","",NOTA[[#This Row],[JUMLAH]]*NOTA[[#This Row],[DISC 1]])</f>
        <v/>
      </c>
      <c r="Z587" s="37" t="str">
        <f>IF(NOTA[[#This Row],[JUMLAH]]="","",(NOTA[[#This Row],[JUMLAH]]-NOTA[[#This Row],[DISC 1-]])*NOTA[[#This Row],[DISC 2]])</f>
        <v/>
      </c>
      <c r="AA587" s="37" t="str">
        <f>IF(NOTA[[#This Row],[JUMLAH]]="","",(NOTA[[#This Row],[JUMLAH]]-NOTA[[#This Row],[DISC 1-]]-NOTA[[#This Row],[DISC 2-]])*NOTA[[#This Row],[DISC 3]])</f>
        <v/>
      </c>
      <c r="AB587" s="37" t="str">
        <f>IF(NOTA[[#This Row],[JUMLAH]]="","",NOTA[[#This Row],[DISC 1-]]+NOTA[[#This Row],[DISC 2-]]+NOTA[[#This Row],[DISC 3-]])</f>
        <v/>
      </c>
      <c r="AC587" s="37" t="str">
        <f>IF(NOTA[[#This Row],[JUMLAH]]="","",NOTA[[#This Row],[JUMLAH]]-NOTA[[#This Row],[DISC]])</f>
        <v/>
      </c>
      <c r="AD587" s="37"/>
      <c r="AE5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7" s="37" t="str">
        <f>IF(OR(NOTA[[#This Row],[QTY]]="",NOTA[[#This Row],[HARGA SATUAN]]="",),"",NOTA[[#This Row],[QTY]]*NOTA[[#This Row],[HARGA SATUAN]])</f>
        <v/>
      </c>
      <c r="AI587" s="26" t="str">
        <f ca="1">IF(NOTA[[#This Row],[ID_H]]="","",INDEX(NOTA[TANGGAL],MATCH(,INDIRECT(ADDRESS(ROW(NOTA[TANGGAL]),COLUMN(NOTA[TANGGAL]))&amp;":"&amp;ADDRESS(ROW(),COLUMN(NOTA[TANGGAL]))),-1)))</f>
        <v/>
      </c>
      <c r="AJ587" s="26" t="str">
        <f ca="1">IF(NOTA[[#This Row],[ID_H]]="","",INDEX(NOTA[TGL.NOTA],MATCH(,INDIRECT(ADDRESS(ROW(NOTA[TGL.NOTA]),COLUMN(NOTA[TGL.NOTA]))&amp;":"&amp;ADDRESS(ROW(),COLUMN(NOTA[TGL.NOTA]))),-1)))</f>
        <v/>
      </c>
      <c r="AK587" s="26" t="str">
        <f ca="1">IF(NOTA[[#This Row],[ID_H]]="","",INDEX(NOTA[NO.NOTA],MATCH(NOTA[[#This Row],[ID_H]],NOTA[ID_H],0)))</f>
        <v/>
      </c>
      <c r="AL587" s="28" t="str">
        <f ca="1">IF(NOTA[[#This Row],[NAMA BARANG]]="","",INDEX(NOTA[SUPPLIER],MATCH(,INDIRECT(ADDRESS(ROW(NOTA[ID]),COLUMN(NOTA[ID]))&amp;":"&amp;ADDRESS(ROW(),COLUMN(NOTA[ID]))),-1)))</f>
        <v/>
      </c>
      <c r="AM587" s="28" t="str">
        <f ca="1">IF(NOTA[[#This Row],[ID_H]]="","",IF(NOTA[[#This Row],[FAKTUR]]="",INDIRECT(ADDRESS(ROW()-1,COLUMN())),NOTA[[#This Row],[FAKTUR]]))</f>
        <v/>
      </c>
      <c r="AN587" s="25" t="str">
        <f ca="1">IF(NOTA[[#This Row],[ID]]="","",COUNTIF(NOTA[ID_H],NOTA[[#This Row],[ID_H]]))</f>
        <v/>
      </c>
      <c r="AO587" s="25" t="str">
        <f ca="1">IF(NOTA[[#This Row],[TGL.NOTA]]="",IF(NOTA[[#This Row],[SUPPLIER_H]]="","",AO586),MONTH(NOTA[[#This Row],[TGL.NOTA]]))</f>
        <v/>
      </c>
      <c r="AP5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7" s="25"/>
      <c r="AU587" s="25" t="str">
        <f>IF(NOTA[[#This Row],[CONCAT1]]="","",MATCH(NOTA[[#This Row],[CONCAT1]],[3]!db[NB NOTA_C],0))</f>
        <v/>
      </c>
      <c r="AV587" s="25" t="str">
        <f>IF(NOTA[[#This Row],[QTY/ CTN]]="","",TRUE)</f>
        <v/>
      </c>
      <c r="AW587" s="25" t="str">
        <f ca="1">IF(NOTA[[#This Row],[ID_H]]="","",IF(NOTA[[#This Row],[Column3]]=TRUE,NOTA[[#This Row],[QTY/ CTN]],INDEX([3]!db[QTY/ CTN],NOTA[[#This Row],[//DB]])))</f>
        <v/>
      </c>
      <c r="AX5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7" s="25" t="str">
        <f ca="1">IF(NOTA[[#This Row],[ID_H]]="","",MATCH(NOTA[[#This Row],[NB NOTA_C_QTY]],[3]!db[NB NOTA_C_QTY+F],0))</f>
        <v/>
      </c>
      <c r="AZ587" s="38" t="str">
        <f ca="1">IF(NOTA[[#This Row],[NB NOTA_C_QTY]]="","",ROW()-2)</f>
        <v/>
      </c>
    </row>
    <row r="588" spans="1:52" ht="20.100000000000001" customHeight="1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8" s="25" t="str">
        <f ca="1">IF(NOTA[[#This Row],[NAMA BARANG]]="","",INDEX(NOTA[ID],MATCH(,INDIRECT(ADDRESS(ROW(NOTA[ID]),COLUMN(NOTA[ID]))&amp;":"&amp;ADDRESS(ROW(),COLUMN(NOTA[ID]))),-1)))</f>
        <v/>
      </c>
      <c r="E588" s="33"/>
      <c r="H588" s="34"/>
      <c r="Q588" s="29"/>
      <c r="R588" s="35"/>
      <c r="S588" s="36"/>
      <c r="V588" s="37"/>
      <c r="W588" s="32"/>
      <c r="X588" s="37" t="str">
        <f>IF(NOTA[[#This Row],[HARGA/ CTN]]="",NOTA[[#This Row],[JUMLAH_H]],NOTA[[#This Row],[HARGA/ CTN]]*IF(NOTA[[#This Row],[C]]="",0,NOTA[[#This Row],[C]]))</f>
        <v/>
      </c>
      <c r="Y588" s="37" t="str">
        <f>IF(NOTA[[#This Row],[JUMLAH]]="","",NOTA[[#This Row],[JUMLAH]]*NOTA[[#This Row],[DISC 1]])</f>
        <v/>
      </c>
      <c r="Z588" s="37" t="str">
        <f>IF(NOTA[[#This Row],[JUMLAH]]="","",(NOTA[[#This Row],[JUMLAH]]-NOTA[[#This Row],[DISC 1-]])*NOTA[[#This Row],[DISC 2]])</f>
        <v/>
      </c>
      <c r="AA588" s="37" t="str">
        <f>IF(NOTA[[#This Row],[JUMLAH]]="","",(NOTA[[#This Row],[JUMLAH]]-NOTA[[#This Row],[DISC 1-]]-NOTA[[#This Row],[DISC 2-]])*NOTA[[#This Row],[DISC 3]])</f>
        <v/>
      </c>
      <c r="AB588" s="37" t="str">
        <f>IF(NOTA[[#This Row],[JUMLAH]]="","",NOTA[[#This Row],[DISC 1-]]+NOTA[[#This Row],[DISC 2-]]+NOTA[[#This Row],[DISC 3-]])</f>
        <v/>
      </c>
      <c r="AC588" s="37" t="str">
        <f>IF(NOTA[[#This Row],[JUMLAH]]="","",NOTA[[#This Row],[JUMLAH]]-NOTA[[#This Row],[DISC]])</f>
        <v/>
      </c>
      <c r="AD588" s="37"/>
      <c r="AE5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8" s="37" t="str">
        <f>IF(OR(NOTA[[#This Row],[QTY]]="",NOTA[[#This Row],[HARGA SATUAN]]="",),"",NOTA[[#This Row],[QTY]]*NOTA[[#This Row],[HARGA SATUAN]])</f>
        <v/>
      </c>
      <c r="AI588" s="26" t="str">
        <f ca="1">IF(NOTA[[#This Row],[ID_H]]="","",INDEX(NOTA[TANGGAL],MATCH(,INDIRECT(ADDRESS(ROW(NOTA[TANGGAL]),COLUMN(NOTA[TANGGAL]))&amp;":"&amp;ADDRESS(ROW(),COLUMN(NOTA[TANGGAL]))),-1)))</f>
        <v/>
      </c>
      <c r="AJ588" s="26" t="str">
        <f ca="1">IF(NOTA[[#This Row],[ID_H]]="","",INDEX(NOTA[TGL.NOTA],MATCH(,INDIRECT(ADDRESS(ROW(NOTA[TGL.NOTA]),COLUMN(NOTA[TGL.NOTA]))&amp;":"&amp;ADDRESS(ROW(),COLUMN(NOTA[TGL.NOTA]))),-1)))</f>
        <v/>
      </c>
      <c r="AK588" s="26" t="str">
        <f ca="1">IF(NOTA[[#This Row],[ID_H]]="","",INDEX(NOTA[NO.NOTA],MATCH(NOTA[[#This Row],[ID_H]],NOTA[ID_H],0)))</f>
        <v/>
      </c>
      <c r="AL588" s="28" t="str">
        <f ca="1">IF(NOTA[[#This Row],[NAMA BARANG]]="","",INDEX(NOTA[SUPPLIER],MATCH(,INDIRECT(ADDRESS(ROW(NOTA[ID]),COLUMN(NOTA[ID]))&amp;":"&amp;ADDRESS(ROW(),COLUMN(NOTA[ID]))),-1)))</f>
        <v/>
      </c>
      <c r="AM588" s="28" t="str">
        <f ca="1">IF(NOTA[[#This Row],[ID_H]]="","",IF(NOTA[[#This Row],[FAKTUR]]="",INDIRECT(ADDRESS(ROW()-1,COLUMN())),NOTA[[#This Row],[FAKTUR]]))</f>
        <v/>
      </c>
      <c r="AN588" s="25" t="str">
        <f ca="1">IF(NOTA[[#This Row],[ID]]="","",COUNTIF(NOTA[ID_H],NOTA[[#This Row],[ID_H]]))</f>
        <v/>
      </c>
      <c r="AO588" s="25" t="str">
        <f ca="1">IF(NOTA[[#This Row],[TGL.NOTA]]="",IF(NOTA[[#This Row],[SUPPLIER_H]]="","",AO587),MONTH(NOTA[[#This Row],[TGL.NOTA]]))</f>
        <v/>
      </c>
      <c r="AP5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8" s="25"/>
      <c r="AU588" s="25" t="str">
        <f>IF(NOTA[[#This Row],[CONCAT1]]="","",MATCH(NOTA[[#This Row],[CONCAT1]],[3]!db[NB NOTA_C],0))</f>
        <v/>
      </c>
      <c r="AV588" s="25" t="str">
        <f>IF(NOTA[[#This Row],[QTY/ CTN]]="","",TRUE)</f>
        <v/>
      </c>
      <c r="AW588" s="25" t="str">
        <f ca="1">IF(NOTA[[#This Row],[ID_H]]="","",IF(NOTA[[#This Row],[Column3]]=TRUE,NOTA[[#This Row],[QTY/ CTN]],INDEX([3]!db[QTY/ CTN],NOTA[[#This Row],[//DB]])))</f>
        <v/>
      </c>
      <c r="AX5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8" s="25" t="str">
        <f ca="1">IF(NOTA[[#This Row],[ID_H]]="","",MATCH(NOTA[[#This Row],[NB NOTA_C_QTY]],[3]!db[NB NOTA_C_QTY+F],0))</f>
        <v/>
      </c>
      <c r="AZ588" s="38" t="str">
        <f ca="1">IF(NOTA[[#This Row],[NB NOTA_C_QTY]]="","",ROW()-2)</f>
        <v/>
      </c>
    </row>
    <row r="589" spans="1:52" ht="20.100000000000001" customHeight="1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9" s="25" t="str">
        <f ca="1">IF(NOTA[[#This Row],[NAMA BARANG]]="","",INDEX(NOTA[ID],MATCH(,INDIRECT(ADDRESS(ROW(NOTA[ID]),COLUMN(NOTA[ID]))&amp;":"&amp;ADDRESS(ROW(),COLUMN(NOTA[ID]))),-1)))</f>
        <v/>
      </c>
      <c r="E589" s="33"/>
      <c r="H589" s="34"/>
      <c r="Q589" s="29"/>
      <c r="R589" s="35"/>
      <c r="S589" s="36"/>
      <c r="V589" s="37"/>
      <c r="W589" s="32"/>
      <c r="X589" s="37" t="str">
        <f>IF(NOTA[[#This Row],[HARGA/ CTN]]="",NOTA[[#This Row],[JUMLAH_H]],NOTA[[#This Row],[HARGA/ CTN]]*IF(NOTA[[#This Row],[C]]="",0,NOTA[[#This Row],[C]]))</f>
        <v/>
      </c>
      <c r="Y589" s="37" t="str">
        <f>IF(NOTA[[#This Row],[JUMLAH]]="","",NOTA[[#This Row],[JUMLAH]]*NOTA[[#This Row],[DISC 1]])</f>
        <v/>
      </c>
      <c r="Z589" s="37" t="str">
        <f>IF(NOTA[[#This Row],[JUMLAH]]="","",(NOTA[[#This Row],[JUMLAH]]-NOTA[[#This Row],[DISC 1-]])*NOTA[[#This Row],[DISC 2]])</f>
        <v/>
      </c>
      <c r="AA589" s="37" t="str">
        <f>IF(NOTA[[#This Row],[JUMLAH]]="","",(NOTA[[#This Row],[JUMLAH]]-NOTA[[#This Row],[DISC 1-]]-NOTA[[#This Row],[DISC 2-]])*NOTA[[#This Row],[DISC 3]])</f>
        <v/>
      </c>
      <c r="AB589" s="37" t="str">
        <f>IF(NOTA[[#This Row],[JUMLAH]]="","",NOTA[[#This Row],[DISC 1-]]+NOTA[[#This Row],[DISC 2-]]+NOTA[[#This Row],[DISC 3-]])</f>
        <v/>
      </c>
      <c r="AC589" s="37" t="str">
        <f>IF(NOTA[[#This Row],[JUMLAH]]="","",NOTA[[#This Row],[JUMLAH]]-NOTA[[#This Row],[DISC]])</f>
        <v/>
      </c>
      <c r="AD589" s="37"/>
      <c r="AE5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9" s="37" t="str">
        <f>IF(OR(NOTA[[#This Row],[QTY]]="",NOTA[[#This Row],[HARGA SATUAN]]="",),"",NOTA[[#This Row],[QTY]]*NOTA[[#This Row],[HARGA SATUAN]])</f>
        <v/>
      </c>
      <c r="AI589" s="26" t="str">
        <f ca="1">IF(NOTA[[#This Row],[ID_H]]="","",INDEX(NOTA[TANGGAL],MATCH(,INDIRECT(ADDRESS(ROW(NOTA[TANGGAL]),COLUMN(NOTA[TANGGAL]))&amp;":"&amp;ADDRESS(ROW(),COLUMN(NOTA[TANGGAL]))),-1)))</f>
        <v/>
      </c>
      <c r="AJ589" s="26" t="str">
        <f ca="1">IF(NOTA[[#This Row],[ID_H]]="","",INDEX(NOTA[TGL.NOTA],MATCH(,INDIRECT(ADDRESS(ROW(NOTA[TGL.NOTA]),COLUMN(NOTA[TGL.NOTA]))&amp;":"&amp;ADDRESS(ROW(),COLUMN(NOTA[TGL.NOTA]))),-1)))</f>
        <v/>
      </c>
      <c r="AK589" s="26" t="str">
        <f ca="1">IF(NOTA[[#This Row],[ID_H]]="","",INDEX(NOTA[NO.NOTA],MATCH(NOTA[[#This Row],[ID_H]],NOTA[ID_H],0)))</f>
        <v/>
      </c>
      <c r="AL589" s="28" t="str">
        <f ca="1">IF(NOTA[[#This Row],[NAMA BARANG]]="","",INDEX(NOTA[SUPPLIER],MATCH(,INDIRECT(ADDRESS(ROW(NOTA[ID]),COLUMN(NOTA[ID]))&amp;":"&amp;ADDRESS(ROW(),COLUMN(NOTA[ID]))),-1)))</f>
        <v/>
      </c>
      <c r="AM589" s="28" t="str">
        <f ca="1">IF(NOTA[[#This Row],[ID_H]]="","",IF(NOTA[[#This Row],[FAKTUR]]="",INDIRECT(ADDRESS(ROW()-1,COLUMN())),NOTA[[#This Row],[FAKTUR]]))</f>
        <v/>
      </c>
      <c r="AN589" s="25" t="str">
        <f ca="1">IF(NOTA[[#This Row],[ID]]="","",COUNTIF(NOTA[ID_H],NOTA[[#This Row],[ID_H]]))</f>
        <v/>
      </c>
      <c r="AO589" s="25" t="str">
        <f ca="1">IF(NOTA[[#This Row],[TGL.NOTA]]="",IF(NOTA[[#This Row],[SUPPLIER_H]]="","",AO588),MONTH(NOTA[[#This Row],[TGL.NOTA]]))</f>
        <v/>
      </c>
      <c r="AP5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9" s="25"/>
      <c r="AU589" s="25" t="str">
        <f>IF(NOTA[[#This Row],[CONCAT1]]="","",MATCH(NOTA[[#This Row],[CONCAT1]],[3]!db[NB NOTA_C],0))</f>
        <v/>
      </c>
      <c r="AV589" s="25" t="str">
        <f>IF(NOTA[[#This Row],[QTY/ CTN]]="","",TRUE)</f>
        <v/>
      </c>
      <c r="AW589" s="25" t="str">
        <f ca="1">IF(NOTA[[#This Row],[ID_H]]="","",IF(NOTA[[#This Row],[Column3]]=TRUE,NOTA[[#This Row],[QTY/ CTN]],INDEX([3]!db[QTY/ CTN],NOTA[[#This Row],[//DB]])))</f>
        <v/>
      </c>
      <c r="AX5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9" s="25" t="str">
        <f ca="1">IF(NOTA[[#This Row],[ID_H]]="","",MATCH(NOTA[[#This Row],[NB NOTA_C_QTY]],[3]!db[NB NOTA_C_QTY+F],0))</f>
        <v/>
      </c>
      <c r="AZ589" s="38" t="str">
        <f ca="1">IF(NOTA[[#This Row],[NB NOTA_C_QTY]]="","",ROW()-2)</f>
        <v/>
      </c>
    </row>
    <row r="590" spans="1:52" ht="20.100000000000001" customHeight="1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0" s="25" t="str">
        <f ca="1">IF(NOTA[[#This Row],[NAMA BARANG]]="","",INDEX(NOTA[ID],MATCH(,INDIRECT(ADDRESS(ROW(NOTA[ID]),COLUMN(NOTA[ID]))&amp;":"&amp;ADDRESS(ROW(),COLUMN(NOTA[ID]))),-1)))</f>
        <v/>
      </c>
      <c r="E590" s="33"/>
      <c r="H590" s="34"/>
      <c r="Q590" s="29"/>
      <c r="R590" s="35"/>
      <c r="S590" s="36"/>
      <c r="V590" s="37"/>
      <c r="W590" s="32"/>
      <c r="X590" s="37" t="str">
        <f>IF(NOTA[[#This Row],[HARGA/ CTN]]="",NOTA[[#This Row],[JUMLAH_H]],NOTA[[#This Row],[HARGA/ CTN]]*IF(NOTA[[#This Row],[C]]="",0,NOTA[[#This Row],[C]]))</f>
        <v/>
      </c>
      <c r="Y590" s="37" t="str">
        <f>IF(NOTA[[#This Row],[JUMLAH]]="","",NOTA[[#This Row],[JUMLAH]]*NOTA[[#This Row],[DISC 1]])</f>
        <v/>
      </c>
      <c r="Z590" s="37" t="str">
        <f>IF(NOTA[[#This Row],[JUMLAH]]="","",(NOTA[[#This Row],[JUMLAH]]-NOTA[[#This Row],[DISC 1-]])*NOTA[[#This Row],[DISC 2]])</f>
        <v/>
      </c>
      <c r="AA590" s="37" t="str">
        <f>IF(NOTA[[#This Row],[JUMLAH]]="","",(NOTA[[#This Row],[JUMLAH]]-NOTA[[#This Row],[DISC 1-]]-NOTA[[#This Row],[DISC 2-]])*NOTA[[#This Row],[DISC 3]])</f>
        <v/>
      </c>
      <c r="AB590" s="37" t="str">
        <f>IF(NOTA[[#This Row],[JUMLAH]]="","",NOTA[[#This Row],[DISC 1-]]+NOTA[[#This Row],[DISC 2-]]+NOTA[[#This Row],[DISC 3-]])</f>
        <v/>
      </c>
      <c r="AC590" s="37" t="str">
        <f>IF(NOTA[[#This Row],[JUMLAH]]="","",NOTA[[#This Row],[JUMLAH]]-NOTA[[#This Row],[DISC]])</f>
        <v/>
      </c>
      <c r="AD590" s="37"/>
      <c r="AE5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0" s="37" t="str">
        <f>IF(OR(NOTA[[#This Row],[QTY]]="",NOTA[[#This Row],[HARGA SATUAN]]="",),"",NOTA[[#This Row],[QTY]]*NOTA[[#This Row],[HARGA SATUAN]])</f>
        <v/>
      </c>
      <c r="AI590" s="26" t="str">
        <f ca="1">IF(NOTA[[#This Row],[ID_H]]="","",INDEX(NOTA[TANGGAL],MATCH(,INDIRECT(ADDRESS(ROW(NOTA[TANGGAL]),COLUMN(NOTA[TANGGAL]))&amp;":"&amp;ADDRESS(ROW(),COLUMN(NOTA[TANGGAL]))),-1)))</f>
        <v/>
      </c>
      <c r="AJ590" s="26" t="str">
        <f ca="1">IF(NOTA[[#This Row],[ID_H]]="","",INDEX(NOTA[TGL.NOTA],MATCH(,INDIRECT(ADDRESS(ROW(NOTA[TGL.NOTA]),COLUMN(NOTA[TGL.NOTA]))&amp;":"&amp;ADDRESS(ROW(),COLUMN(NOTA[TGL.NOTA]))),-1)))</f>
        <v/>
      </c>
      <c r="AK590" s="26" t="str">
        <f ca="1">IF(NOTA[[#This Row],[ID_H]]="","",INDEX(NOTA[NO.NOTA],MATCH(NOTA[[#This Row],[ID_H]],NOTA[ID_H],0)))</f>
        <v/>
      </c>
      <c r="AL590" s="28" t="str">
        <f ca="1">IF(NOTA[[#This Row],[NAMA BARANG]]="","",INDEX(NOTA[SUPPLIER],MATCH(,INDIRECT(ADDRESS(ROW(NOTA[ID]),COLUMN(NOTA[ID]))&amp;":"&amp;ADDRESS(ROW(),COLUMN(NOTA[ID]))),-1)))</f>
        <v/>
      </c>
      <c r="AM590" s="28" t="str">
        <f ca="1">IF(NOTA[[#This Row],[ID_H]]="","",IF(NOTA[[#This Row],[FAKTUR]]="",INDIRECT(ADDRESS(ROW()-1,COLUMN())),NOTA[[#This Row],[FAKTUR]]))</f>
        <v/>
      </c>
      <c r="AN590" s="25" t="str">
        <f ca="1">IF(NOTA[[#This Row],[ID]]="","",COUNTIF(NOTA[ID_H],NOTA[[#This Row],[ID_H]]))</f>
        <v/>
      </c>
      <c r="AO590" s="25" t="str">
        <f ca="1">IF(NOTA[[#This Row],[TGL.NOTA]]="",IF(NOTA[[#This Row],[SUPPLIER_H]]="","",AO589),MONTH(NOTA[[#This Row],[TGL.NOTA]]))</f>
        <v/>
      </c>
      <c r="AP5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0" s="25"/>
      <c r="AU590" s="25" t="str">
        <f>IF(NOTA[[#This Row],[CONCAT1]]="","",MATCH(NOTA[[#This Row],[CONCAT1]],[3]!db[NB NOTA_C],0))</f>
        <v/>
      </c>
      <c r="AV590" s="25" t="str">
        <f>IF(NOTA[[#This Row],[QTY/ CTN]]="","",TRUE)</f>
        <v/>
      </c>
      <c r="AW590" s="25" t="str">
        <f ca="1">IF(NOTA[[#This Row],[ID_H]]="","",IF(NOTA[[#This Row],[Column3]]=TRUE,NOTA[[#This Row],[QTY/ CTN]],INDEX([3]!db[QTY/ CTN],NOTA[[#This Row],[//DB]])))</f>
        <v/>
      </c>
      <c r="AX5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0" s="25" t="str">
        <f ca="1">IF(NOTA[[#This Row],[ID_H]]="","",MATCH(NOTA[[#This Row],[NB NOTA_C_QTY]],[3]!db[NB NOTA_C_QTY+F],0))</f>
        <v/>
      </c>
      <c r="AZ590" s="38" t="str">
        <f ca="1">IF(NOTA[[#This Row],[NB NOTA_C_QTY]]="","",ROW()-2)</f>
        <v/>
      </c>
    </row>
    <row r="591" spans="1:52" ht="20.100000000000001" customHeight="1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1" s="25" t="str">
        <f ca="1">IF(NOTA[[#This Row],[NAMA BARANG]]="","",INDEX(NOTA[ID],MATCH(,INDIRECT(ADDRESS(ROW(NOTA[ID]),COLUMN(NOTA[ID]))&amp;":"&amp;ADDRESS(ROW(),COLUMN(NOTA[ID]))),-1)))</f>
        <v/>
      </c>
      <c r="E591" s="33"/>
      <c r="H591" s="34"/>
      <c r="Q591" s="29"/>
      <c r="R591" s="35"/>
      <c r="S591" s="36"/>
      <c r="V591" s="37"/>
      <c r="W591" s="32"/>
      <c r="X591" s="37" t="str">
        <f>IF(NOTA[[#This Row],[HARGA/ CTN]]="",NOTA[[#This Row],[JUMLAH_H]],NOTA[[#This Row],[HARGA/ CTN]]*IF(NOTA[[#This Row],[C]]="",0,NOTA[[#This Row],[C]]))</f>
        <v/>
      </c>
      <c r="Y591" s="37" t="str">
        <f>IF(NOTA[[#This Row],[JUMLAH]]="","",NOTA[[#This Row],[JUMLAH]]*NOTA[[#This Row],[DISC 1]])</f>
        <v/>
      </c>
      <c r="Z591" s="37" t="str">
        <f>IF(NOTA[[#This Row],[JUMLAH]]="","",(NOTA[[#This Row],[JUMLAH]]-NOTA[[#This Row],[DISC 1-]])*NOTA[[#This Row],[DISC 2]])</f>
        <v/>
      </c>
      <c r="AA591" s="37" t="str">
        <f>IF(NOTA[[#This Row],[JUMLAH]]="","",(NOTA[[#This Row],[JUMLAH]]-NOTA[[#This Row],[DISC 1-]]-NOTA[[#This Row],[DISC 2-]])*NOTA[[#This Row],[DISC 3]])</f>
        <v/>
      </c>
      <c r="AB591" s="37" t="str">
        <f>IF(NOTA[[#This Row],[JUMLAH]]="","",NOTA[[#This Row],[DISC 1-]]+NOTA[[#This Row],[DISC 2-]]+NOTA[[#This Row],[DISC 3-]])</f>
        <v/>
      </c>
      <c r="AC591" s="37" t="str">
        <f>IF(NOTA[[#This Row],[JUMLAH]]="","",NOTA[[#This Row],[JUMLAH]]-NOTA[[#This Row],[DISC]])</f>
        <v/>
      </c>
      <c r="AD591" s="37"/>
      <c r="AE5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1" s="37" t="str">
        <f>IF(OR(NOTA[[#This Row],[QTY]]="",NOTA[[#This Row],[HARGA SATUAN]]="",),"",NOTA[[#This Row],[QTY]]*NOTA[[#This Row],[HARGA SATUAN]])</f>
        <v/>
      </c>
      <c r="AI591" s="26" t="str">
        <f ca="1">IF(NOTA[[#This Row],[ID_H]]="","",INDEX(NOTA[TANGGAL],MATCH(,INDIRECT(ADDRESS(ROW(NOTA[TANGGAL]),COLUMN(NOTA[TANGGAL]))&amp;":"&amp;ADDRESS(ROW(),COLUMN(NOTA[TANGGAL]))),-1)))</f>
        <v/>
      </c>
      <c r="AJ591" s="26" t="str">
        <f ca="1">IF(NOTA[[#This Row],[ID_H]]="","",INDEX(NOTA[TGL.NOTA],MATCH(,INDIRECT(ADDRESS(ROW(NOTA[TGL.NOTA]),COLUMN(NOTA[TGL.NOTA]))&amp;":"&amp;ADDRESS(ROW(),COLUMN(NOTA[TGL.NOTA]))),-1)))</f>
        <v/>
      </c>
      <c r="AK591" s="26" t="str">
        <f ca="1">IF(NOTA[[#This Row],[ID_H]]="","",INDEX(NOTA[NO.NOTA],MATCH(NOTA[[#This Row],[ID_H]],NOTA[ID_H],0)))</f>
        <v/>
      </c>
      <c r="AL591" s="28" t="str">
        <f ca="1">IF(NOTA[[#This Row],[NAMA BARANG]]="","",INDEX(NOTA[SUPPLIER],MATCH(,INDIRECT(ADDRESS(ROW(NOTA[ID]),COLUMN(NOTA[ID]))&amp;":"&amp;ADDRESS(ROW(),COLUMN(NOTA[ID]))),-1)))</f>
        <v/>
      </c>
      <c r="AM591" s="28" t="str">
        <f ca="1">IF(NOTA[[#This Row],[ID_H]]="","",IF(NOTA[[#This Row],[FAKTUR]]="",INDIRECT(ADDRESS(ROW()-1,COLUMN())),NOTA[[#This Row],[FAKTUR]]))</f>
        <v/>
      </c>
      <c r="AN591" s="25" t="str">
        <f ca="1">IF(NOTA[[#This Row],[ID]]="","",COUNTIF(NOTA[ID_H],NOTA[[#This Row],[ID_H]]))</f>
        <v/>
      </c>
      <c r="AO591" s="25" t="str">
        <f ca="1">IF(NOTA[[#This Row],[TGL.NOTA]]="",IF(NOTA[[#This Row],[SUPPLIER_H]]="","",AO590),MONTH(NOTA[[#This Row],[TGL.NOTA]]))</f>
        <v/>
      </c>
      <c r="AP5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1" s="25"/>
      <c r="AU591" s="25" t="str">
        <f>IF(NOTA[[#This Row],[CONCAT1]]="","",MATCH(NOTA[[#This Row],[CONCAT1]],[3]!db[NB NOTA_C],0))</f>
        <v/>
      </c>
      <c r="AV591" s="25" t="str">
        <f>IF(NOTA[[#This Row],[QTY/ CTN]]="","",TRUE)</f>
        <v/>
      </c>
      <c r="AW591" s="25" t="str">
        <f ca="1">IF(NOTA[[#This Row],[ID_H]]="","",IF(NOTA[[#This Row],[Column3]]=TRUE,NOTA[[#This Row],[QTY/ CTN]],INDEX([3]!db[QTY/ CTN],NOTA[[#This Row],[//DB]])))</f>
        <v/>
      </c>
      <c r="AX5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1" s="25" t="str">
        <f ca="1">IF(NOTA[[#This Row],[ID_H]]="","",MATCH(NOTA[[#This Row],[NB NOTA_C_QTY]],[3]!db[NB NOTA_C_QTY+F],0))</f>
        <v/>
      </c>
      <c r="AZ591" s="38" t="str">
        <f ca="1">IF(NOTA[[#This Row],[NB NOTA_C_QTY]]="","",ROW()-2)</f>
        <v/>
      </c>
    </row>
    <row r="592" spans="1:52" ht="20.100000000000001" customHeight="1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2" s="25" t="str">
        <f ca="1">IF(NOTA[[#This Row],[NAMA BARANG]]="","",INDEX(NOTA[ID],MATCH(,INDIRECT(ADDRESS(ROW(NOTA[ID]),COLUMN(NOTA[ID]))&amp;":"&amp;ADDRESS(ROW(),COLUMN(NOTA[ID]))),-1)))</f>
        <v/>
      </c>
      <c r="E592" s="33"/>
      <c r="H592" s="34"/>
      <c r="Q592" s="29"/>
      <c r="R592" s="35"/>
      <c r="S592" s="36"/>
      <c r="V592" s="37"/>
      <c r="W592" s="32"/>
      <c r="X592" s="37" t="str">
        <f>IF(NOTA[[#This Row],[HARGA/ CTN]]="",NOTA[[#This Row],[JUMLAH_H]],NOTA[[#This Row],[HARGA/ CTN]]*IF(NOTA[[#This Row],[C]]="",0,NOTA[[#This Row],[C]]))</f>
        <v/>
      </c>
      <c r="Y592" s="37" t="str">
        <f>IF(NOTA[[#This Row],[JUMLAH]]="","",NOTA[[#This Row],[JUMLAH]]*NOTA[[#This Row],[DISC 1]])</f>
        <v/>
      </c>
      <c r="Z592" s="37" t="str">
        <f>IF(NOTA[[#This Row],[JUMLAH]]="","",(NOTA[[#This Row],[JUMLAH]]-NOTA[[#This Row],[DISC 1-]])*NOTA[[#This Row],[DISC 2]])</f>
        <v/>
      </c>
      <c r="AA592" s="37" t="str">
        <f>IF(NOTA[[#This Row],[JUMLAH]]="","",(NOTA[[#This Row],[JUMLAH]]-NOTA[[#This Row],[DISC 1-]]-NOTA[[#This Row],[DISC 2-]])*NOTA[[#This Row],[DISC 3]])</f>
        <v/>
      </c>
      <c r="AB592" s="37" t="str">
        <f>IF(NOTA[[#This Row],[JUMLAH]]="","",NOTA[[#This Row],[DISC 1-]]+NOTA[[#This Row],[DISC 2-]]+NOTA[[#This Row],[DISC 3-]])</f>
        <v/>
      </c>
      <c r="AC592" s="37" t="str">
        <f>IF(NOTA[[#This Row],[JUMLAH]]="","",NOTA[[#This Row],[JUMLAH]]-NOTA[[#This Row],[DISC]])</f>
        <v/>
      </c>
      <c r="AD592" s="37"/>
      <c r="AE5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2" s="37" t="str">
        <f>IF(OR(NOTA[[#This Row],[QTY]]="",NOTA[[#This Row],[HARGA SATUAN]]="",),"",NOTA[[#This Row],[QTY]]*NOTA[[#This Row],[HARGA SATUAN]])</f>
        <v/>
      </c>
      <c r="AI592" s="26" t="str">
        <f ca="1">IF(NOTA[[#This Row],[ID_H]]="","",INDEX(NOTA[TANGGAL],MATCH(,INDIRECT(ADDRESS(ROW(NOTA[TANGGAL]),COLUMN(NOTA[TANGGAL]))&amp;":"&amp;ADDRESS(ROW(),COLUMN(NOTA[TANGGAL]))),-1)))</f>
        <v/>
      </c>
      <c r="AJ592" s="26" t="str">
        <f ca="1">IF(NOTA[[#This Row],[ID_H]]="","",INDEX(NOTA[TGL.NOTA],MATCH(,INDIRECT(ADDRESS(ROW(NOTA[TGL.NOTA]),COLUMN(NOTA[TGL.NOTA]))&amp;":"&amp;ADDRESS(ROW(),COLUMN(NOTA[TGL.NOTA]))),-1)))</f>
        <v/>
      </c>
      <c r="AK592" s="26" t="str">
        <f ca="1">IF(NOTA[[#This Row],[ID_H]]="","",INDEX(NOTA[NO.NOTA],MATCH(NOTA[[#This Row],[ID_H]],NOTA[ID_H],0)))</f>
        <v/>
      </c>
      <c r="AL592" s="28" t="str">
        <f ca="1">IF(NOTA[[#This Row],[NAMA BARANG]]="","",INDEX(NOTA[SUPPLIER],MATCH(,INDIRECT(ADDRESS(ROW(NOTA[ID]),COLUMN(NOTA[ID]))&amp;":"&amp;ADDRESS(ROW(),COLUMN(NOTA[ID]))),-1)))</f>
        <v/>
      </c>
      <c r="AM592" s="28" t="str">
        <f ca="1">IF(NOTA[[#This Row],[ID_H]]="","",IF(NOTA[[#This Row],[FAKTUR]]="",INDIRECT(ADDRESS(ROW()-1,COLUMN())),NOTA[[#This Row],[FAKTUR]]))</f>
        <v/>
      </c>
      <c r="AN592" s="25" t="str">
        <f ca="1">IF(NOTA[[#This Row],[ID]]="","",COUNTIF(NOTA[ID_H],NOTA[[#This Row],[ID_H]]))</f>
        <v/>
      </c>
      <c r="AO592" s="25" t="str">
        <f ca="1">IF(NOTA[[#This Row],[TGL.NOTA]]="",IF(NOTA[[#This Row],[SUPPLIER_H]]="","",AO591),MONTH(NOTA[[#This Row],[TGL.NOTA]]))</f>
        <v/>
      </c>
      <c r="AP5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2" s="25"/>
      <c r="AU592" s="25" t="str">
        <f>IF(NOTA[[#This Row],[CONCAT1]]="","",MATCH(NOTA[[#This Row],[CONCAT1]],[3]!db[NB NOTA_C],0))</f>
        <v/>
      </c>
      <c r="AV592" s="25" t="str">
        <f>IF(NOTA[[#This Row],[QTY/ CTN]]="","",TRUE)</f>
        <v/>
      </c>
      <c r="AW592" s="25" t="str">
        <f ca="1">IF(NOTA[[#This Row],[ID_H]]="","",IF(NOTA[[#This Row],[Column3]]=TRUE,NOTA[[#This Row],[QTY/ CTN]],INDEX([3]!db[QTY/ CTN],NOTA[[#This Row],[//DB]])))</f>
        <v/>
      </c>
      <c r="AX5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2" s="25" t="str">
        <f ca="1">IF(NOTA[[#This Row],[ID_H]]="","",MATCH(NOTA[[#This Row],[NB NOTA_C_QTY]],[3]!db[NB NOTA_C_QTY+F],0))</f>
        <v/>
      </c>
      <c r="AZ592" s="38" t="str">
        <f ca="1">IF(NOTA[[#This Row],[NB NOTA_C_QTY]]="","",ROW()-2)</f>
        <v/>
      </c>
    </row>
    <row r="593" spans="1:52" ht="20.100000000000001" customHeight="1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3" s="25" t="str">
        <f ca="1">IF(NOTA[[#This Row],[NAMA BARANG]]="","",INDEX(NOTA[ID],MATCH(,INDIRECT(ADDRESS(ROW(NOTA[ID]),COLUMN(NOTA[ID]))&amp;":"&amp;ADDRESS(ROW(),COLUMN(NOTA[ID]))),-1)))</f>
        <v/>
      </c>
      <c r="E593" s="33"/>
      <c r="H593" s="34"/>
      <c r="Q593" s="29"/>
      <c r="R593" s="35"/>
      <c r="S593" s="36"/>
      <c r="V593" s="37"/>
      <c r="W593" s="32"/>
      <c r="X593" s="37" t="str">
        <f>IF(NOTA[[#This Row],[HARGA/ CTN]]="",NOTA[[#This Row],[JUMLAH_H]],NOTA[[#This Row],[HARGA/ CTN]]*IF(NOTA[[#This Row],[C]]="",0,NOTA[[#This Row],[C]]))</f>
        <v/>
      </c>
      <c r="Y593" s="37" t="str">
        <f>IF(NOTA[[#This Row],[JUMLAH]]="","",NOTA[[#This Row],[JUMLAH]]*NOTA[[#This Row],[DISC 1]])</f>
        <v/>
      </c>
      <c r="Z593" s="37" t="str">
        <f>IF(NOTA[[#This Row],[JUMLAH]]="","",(NOTA[[#This Row],[JUMLAH]]-NOTA[[#This Row],[DISC 1-]])*NOTA[[#This Row],[DISC 2]])</f>
        <v/>
      </c>
      <c r="AA593" s="37" t="str">
        <f>IF(NOTA[[#This Row],[JUMLAH]]="","",(NOTA[[#This Row],[JUMLAH]]-NOTA[[#This Row],[DISC 1-]]-NOTA[[#This Row],[DISC 2-]])*NOTA[[#This Row],[DISC 3]])</f>
        <v/>
      </c>
      <c r="AB593" s="37" t="str">
        <f>IF(NOTA[[#This Row],[JUMLAH]]="","",NOTA[[#This Row],[DISC 1-]]+NOTA[[#This Row],[DISC 2-]]+NOTA[[#This Row],[DISC 3-]])</f>
        <v/>
      </c>
      <c r="AC593" s="37" t="str">
        <f>IF(NOTA[[#This Row],[JUMLAH]]="","",NOTA[[#This Row],[JUMLAH]]-NOTA[[#This Row],[DISC]])</f>
        <v/>
      </c>
      <c r="AD593" s="37"/>
      <c r="AE5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3" s="37" t="str">
        <f>IF(OR(NOTA[[#This Row],[QTY]]="",NOTA[[#This Row],[HARGA SATUAN]]="",),"",NOTA[[#This Row],[QTY]]*NOTA[[#This Row],[HARGA SATUAN]])</f>
        <v/>
      </c>
      <c r="AI593" s="26" t="str">
        <f ca="1">IF(NOTA[[#This Row],[ID_H]]="","",INDEX(NOTA[TANGGAL],MATCH(,INDIRECT(ADDRESS(ROW(NOTA[TANGGAL]),COLUMN(NOTA[TANGGAL]))&amp;":"&amp;ADDRESS(ROW(),COLUMN(NOTA[TANGGAL]))),-1)))</f>
        <v/>
      </c>
      <c r="AJ593" s="26" t="str">
        <f ca="1">IF(NOTA[[#This Row],[ID_H]]="","",INDEX(NOTA[TGL.NOTA],MATCH(,INDIRECT(ADDRESS(ROW(NOTA[TGL.NOTA]),COLUMN(NOTA[TGL.NOTA]))&amp;":"&amp;ADDRESS(ROW(),COLUMN(NOTA[TGL.NOTA]))),-1)))</f>
        <v/>
      </c>
      <c r="AK593" s="26" t="str">
        <f ca="1">IF(NOTA[[#This Row],[ID_H]]="","",INDEX(NOTA[NO.NOTA],MATCH(NOTA[[#This Row],[ID_H]],NOTA[ID_H],0)))</f>
        <v/>
      </c>
      <c r="AL593" s="28" t="str">
        <f ca="1">IF(NOTA[[#This Row],[NAMA BARANG]]="","",INDEX(NOTA[SUPPLIER],MATCH(,INDIRECT(ADDRESS(ROW(NOTA[ID]),COLUMN(NOTA[ID]))&amp;":"&amp;ADDRESS(ROW(),COLUMN(NOTA[ID]))),-1)))</f>
        <v/>
      </c>
      <c r="AM593" s="28" t="str">
        <f ca="1">IF(NOTA[[#This Row],[ID_H]]="","",IF(NOTA[[#This Row],[FAKTUR]]="",INDIRECT(ADDRESS(ROW()-1,COLUMN())),NOTA[[#This Row],[FAKTUR]]))</f>
        <v/>
      </c>
      <c r="AN593" s="25" t="str">
        <f ca="1">IF(NOTA[[#This Row],[ID]]="","",COUNTIF(NOTA[ID_H],NOTA[[#This Row],[ID_H]]))</f>
        <v/>
      </c>
      <c r="AO593" s="25" t="str">
        <f ca="1">IF(NOTA[[#This Row],[TGL.NOTA]]="",IF(NOTA[[#This Row],[SUPPLIER_H]]="","",AO592),MONTH(NOTA[[#This Row],[TGL.NOTA]]))</f>
        <v/>
      </c>
      <c r="AP5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3" s="25"/>
      <c r="AU593" s="25" t="str">
        <f>IF(NOTA[[#This Row],[CONCAT1]]="","",MATCH(NOTA[[#This Row],[CONCAT1]],[3]!db[NB NOTA_C],0))</f>
        <v/>
      </c>
      <c r="AV593" s="25" t="str">
        <f>IF(NOTA[[#This Row],[QTY/ CTN]]="","",TRUE)</f>
        <v/>
      </c>
      <c r="AW593" s="25" t="str">
        <f ca="1">IF(NOTA[[#This Row],[ID_H]]="","",IF(NOTA[[#This Row],[Column3]]=TRUE,NOTA[[#This Row],[QTY/ CTN]],INDEX([3]!db[QTY/ CTN],NOTA[[#This Row],[//DB]])))</f>
        <v/>
      </c>
      <c r="AX5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3" s="25" t="str">
        <f ca="1">IF(NOTA[[#This Row],[ID_H]]="","",MATCH(NOTA[[#This Row],[NB NOTA_C_QTY]],[3]!db[NB NOTA_C_QTY+F],0))</f>
        <v/>
      </c>
      <c r="AZ593" s="38" t="str">
        <f ca="1">IF(NOTA[[#This Row],[NB NOTA_C_QTY]]="","",ROW()-2)</f>
        <v/>
      </c>
    </row>
    <row r="594" spans="1:52" ht="20.100000000000001" customHeight="1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4" s="25" t="str">
        <f ca="1">IF(NOTA[[#This Row],[NAMA BARANG]]="","",INDEX(NOTA[ID],MATCH(,INDIRECT(ADDRESS(ROW(NOTA[ID]),COLUMN(NOTA[ID]))&amp;":"&amp;ADDRESS(ROW(),COLUMN(NOTA[ID]))),-1)))</f>
        <v/>
      </c>
      <c r="E594" s="33"/>
      <c r="H594" s="34"/>
      <c r="Q594" s="29"/>
      <c r="R594" s="35"/>
      <c r="S594" s="36"/>
      <c r="V594" s="37"/>
      <c r="W594" s="32"/>
      <c r="X594" s="37" t="str">
        <f>IF(NOTA[[#This Row],[HARGA/ CTN]]="",NOTA[[#This Row],[JUMLAH_H]],NOTA[[#This Row],[HARGA/ CTN]]*IF(NOTA[[#This Row],[C]]="",0,NOTA[[#This Row],[C]]))</f>
        <v/>
      </c>
      <c r="Y594" s="37" t="str">
        <f>IF(NOTA[[#This Row],[JUMLAH]]="","",NOTA[[#This Row],[JUMLAH]]*NOTA[[#This Row],[DISC 1]])</f>
        <v/>
      </c>
      <c r="Z594" s="37" t="str">
        <f>IF(NOTA[[#This Row],[JUMLAH]]="","",(NOTA[[#This Row],[JUMLAH]]-NOTA[[#This Row],[DISC 1-]])*NOTA[[#This Row],[DISC 2]])</f>
        <v/>
      </c>
      <c r="AA594" s="37" t="str">
        <f>IF(NOTA[[#This Row],[JUMLAH]]="","",(NOTA[[#This Row],[JUMLAH]]-NOTA[[#This Row],[DISC 1-]]-NOTA[[#This Row],[DISC 2-]])*NOTA[[#This Row],[DISC 3]])</f>
        <v/>
      </c>
      <c r="AB594" s="37" t="str">
        <f>IF(NOTA[[#This Row],[JUMLAH]]="","",NOTA[[#This Row],[DISC 1-]]+NOTA[[#This Row],[DISC 2-]]+NOTA[[#This Row],[DISC 3-]])</f>
        <v/>
      </c>
      <c r="AC594" s="37" t="str">
        <f>IF(NOTA[[#This Row],[JUMLAH]]="","",NOTA[[#This Row],[JUMLAH]]-NOTA[[#This Row],[DISC]])</f>
        <v/>
      </c>
      <c r="AD594" s="37"/>
      <c r="AE5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4" s="37" t="str">
        <f>IF(OR(NOTA[[#This Row],[QTY]]="",NOTA[[#This Row],[HARGA SATUAN]]="",),"",NOTA[[#This Row],[QTY]]*NOTA[[#This Row],[HARGA SATUAN]])</f>
        <v/>
      </c>
      <c r="AI594" s="26" t="str">
        <f ca="1">IF(NOTA[[#This Row],[ID_H]]="","",INDEX(NOTA[TANGGAL],MATCH(,INDIRECT(ADDRESS(ROW(NOTA[TANGGAL]),COLUMN(NOTA[TANGGAL]))&amp;":"&amp;ADDRESS(ROW(),COLUMN(NOTA[TANGGAL]))),-1)))</f>
        <v/>
      </c>
      <c r="AJ594" s="26" t="str">
        <f ca="1">IF(NOTA[[#This Row],[ID_H]]="","",INDEX(NOTA[TGL.NOTA],MATCH(,INDIRECT(ADDRESS(ROW(NOTA[TGL.NOTA]),COLUMN(NOTA[TGL.NOTA]))&amp;":"&amp;ADDRESS(ROW(),COLUMN(NOTA[TGL.NOTA]))),-1)))</f>
        <v/>
      </c>
      <c r="AK594" s="26" t="str">
        <f ca="1">IF(NOTA[[#This Row],[ID_H]]="","",INDEX(NOTA[NO.NOTA],MATCH(NOTA[[#This Row],[ID_H]],NOTA[ID_H],0)))</f>
        <v/>
      </c>
      <c r="AL594" s="28" t="str">
        <f ca="1">IF(NOTA[[#This Row],[NAMA BARANG]]="","",INDEX(NOTA[SUPPLIER],MATCH(,INDIRECT(ADDRESS(ROW(NOTA[ID]),COLUMN(NOTA[ID]))&amp;":"&amp;ADDRESS(ROW(),COLUMN(NOTA[ID]))),-1)))</f>
        <v/>
      </c>
      <c r="AM594" s="28" t="str">
        <f ca="1">IF(NOTA[[#This Row],[ID_H]]="","",IF(NOTA[[#This Row],[FAKTUR]]="",INDIRECT(ADDRESS(ROW()-1,COLUMN())),NOTA[[#This Row],[FAKTUR]]))</f>
        <v/>
      </c>
      <c r="AN594" s="25" t="str">
        <f ca="1">IF(NOTA[[#This Row],[ID]]="","",COUNTIF(NOTA[ID_H],NOTA[[#This Row],[ID_H]]))</f>
        <v/>
      </c>
      <c r="AO594" s="25" t="str">
        <f ca="1">IF(NOTA[[#This Row],[TGL.NOTA]]="",IF(NOTA[[#This Row],[SUPPLIER_H]]="","",AO593),MONTH(NOTA[[#This Row],[TGL.NOTA]]))</f>
        <v/>
      </c>
      <c r="AP5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4" s="25"/>
      <c r="AU594" s="25" t="str">
        <f>IF(NOTA[[#This Row],[CONCAT1]]="","",MATCH(NOTA[[#This Row],[CONCAT1]],[3]!db[NB NOTA_C],0))</f>
        <v/>
      </c>
      <c r="AV594" s="25" t="str">
        <f>IF(NOTA[[#This Row],[QTY/ CTN]]="","",TRUE)</f>
        <v/>
      </c>
      <c r="AW594" s="25" t="str">
        <f ca="1">IF(NOTA[[#This Row],[ID_H]]="","",IF(NOTA[[#This Row],[Column3]]=TRUE,NOTA[[#This Row],[QTY/ CTN]],INDEX([3]!db[QTY/ CTN],NOTA[[#This Row],[//DB]])))</f>
        <v/>
      </c>
      <c r="AX5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4" s="25" t="str">
        <f ca="1">IF(NOTA[[#This Row],[ID_H]]="","",MATCH(NOTA[[#This Row],[NB NOTA_C_QTY]],[3]!db[NB NOTA_C_QTY+F],0))</f>
        <v/>
      </c>
      <c r="AZ594" s="38" t="str">
        <f ca="1">IF(NOTA[[#This Row],[NB NOTA_C_QTY]]="","",ROW()-2)</f>
        <v/>
      </c>
    </row>
    <row r="595" spans="1:52" ht="20.100000000000001" customHeight="1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5" s="25" t="str">
        <f ca="1">IF(NOTA[[#This Row],[NAMA BARANG]]="","",INDEX(NOTA[ID],MATCH(,INDIRECT(ADDRESS(ROW(NOTA[ID]),COLUMN(NOTA[ID]))&amp;":"&amp;ADDRESS(ROW(),COLUMN(NOTA[ID]))),-1)))</f>
        <v/>
      </c>
      <c r="E595" s="33"/>
      <c r="H595" s="34"/>
      <c r="Q595" s="29"/>
      <c r="R595" s="35"/>
      <c r="S595" s="36"/>
      <c r="V595" s="37"/>
      <c r="W595" s="32"/>
      <c r="X595" s="37" t="str">
        <f>IF(NOTA[[#This Row],[HARGA/ CTN]]="",NOTA[[#This Row],[JUMLAH_H]],NOTA[[#This Row],[HARGA/ CTN]]*IF(NOTA[[#This Row],[C]]="",0,NOTA[[#This Row],[C]]))</f>
        <v/>
      </c>
      <c r="Y595" s="37" t="str">
        <f>IF(NOTA[[#This Row],[JUMLAH]]="","",NOTA[[#This Row],[JUMLAH]]*NOTA[[#This Row],[DISC 1]])</f>
        <v/>
      </c>
      <c r="Z595" s="37" t="str">
        <f>IF(NOTA[[#This Row],[JUMLAH]]="","",(NOTA[[#This Row],[JUMLAH]]-NOTA[[#This Row],[DISC 1-]])*NOTA[[#This Row],[DISC 2]])</f>
        <v/>
      </c>
      <c r="AA595" s="37" t="str">
        <f>IF(NOTA[[#This Row],[JUMLAH]]="","",(NOTA[[#This Row],[JUMLAH]]-NOTA[[#This Row],[DISC 1-]]-NOTA[[#This Row],[DISC 2-]])*NOTA[[#This Row],[DISC 3]])</f>
        <v/>
      </c>
      <c r="AB595" s="37" t="str">
        <f>IF(NOTA[[#This Row],[JUMLAH]]="","",NOTA[[#This Row],[DISC 1-]]+NOTA[[#This Row],[DISC 2-]]+NOTA[[#This Row],[DISC 3-]])</f>
        <v/>
      </c>
      <c r="AC595" s="37" t="str">
        <f>IF(NOTA[[#This Row],[JUMLAH]]="","",NOTA[[#This Row],[JUMLAH]]-NOTA[[#This Row],[DISC]])</f>
        <v/>
      </c>
      <c r="AD595" s="37"/>
      <c r="AE5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5" s="37" t="str">
        <f>IF(OR(NOTA[[#This Row],[QTY]]="",NOTA[[#This Row],[HARGA SATUAN]]="",),"",NOTA[[#This Row],[QTY]]*NOTA[[#This Row],[HARGA SATUAN]])</f>
        <v/>
      </c>
      <c r="AI595" s="26" t="str">
        <f ca="1">IF(NOTA[[#This Row],[ID_H]]="","",INDEX(NOTA[TANGGAL],MATCH(,INDIRECT(ADDRESS(ROW(NOTA[TANGGAL]),COLUMN(NOTA[TANGGAL]))&amp;":"&amp;ADDRESS(ROW(),COLUMN(NOTA[TANGGAL]))),-1)))</f>
        <v/>
      </c>
      <c r="AJ595" s="26" t="str">
        <f ca="1">IF(NOTA[[#This Row],[ID_H]]="","",INDEX(NOTA[TGL.NOTA],MATCH(,INDIRECT(ADDRESS(ROW(NOTA[TGL.NOTA]),COLUMN(NOTA[TGL.NOTA]))&amp;":"&amp;ADDRESS(ROW(),COLUMN(NOTA[TGL.NOTA]))),-1)))</f>
        <v/>
      </c>
      <c r="AK595" s="26" t="str">
        <f ca="1">IF(NOTA[[#This Row],[ID_H]]="","",INDEX(NOTA[NO.NOTA],MATCH(NOTA[[#This Row],[ID_H]],NOTA[ID_H],0)))</f>
        <v/>
      </c>
      <c r="AL595" s="28" t="str">
        <f ca="1">IF(NOTA[[#This Row],[NAMA BARANG]]="","",INDEX(NOTA[SUPPLIER],MATCH(,INDIRECT(ADDRESS(ROW(NOTA[ID]),COLUMN(NOTA[ID]))&amp;":"&amp;ADDRESS(ROW(),COLUMN(NOTA[ID]))),-1)))</f>
        <v/>
      </c>
      <c r="AM595" s="28" t="str">
        <f ca="1">IF(NOTA[[#This Row],[ID_H]]="","",IF(NOTA[[#This Row],[FAKTUR]]="",INDIRECT(ADDRESS(ROW()-1,COLUMN())),NOTA[[#This Row],[FAKTUR]]))</f>
        <v/>
      </c>
      <c r="AN595" s="25" t="str">
        <f ca="1">IF(NOTA[[#This Row],[ID]]="","",COUNTIF(NOTA[ID_H],NOTA[[#This Row],[ID_H]]))</f>
        <v/>
      </c>
      <c r="AO595" s="25" t="str">
        <f ca="1">IF(NOTA[[#This Row],[TGL.NOTA]]="",IF(NOTA[[#This Row],[SUPPLIER_H]]="","",AO594),MONTH(NOTA[[#This Row],[TGL.NOTA]]))</f>
        <v/>
      </c>
      <c r="AP5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5" s="25"/>
      <c r="AU595" s="25" t="str">
        <f>IF(NOTA[[#This Row],[CONCAT1]]="","",MATCH(NOTA[[#This Row],[CONCAT1]],[3]!db[NB NOTA_C],0))</f>
        <v/>
      </c>
      <c r="AV595" s="25" t="str">
        <f>IF(NOTA[[#This Row],[QTY/ CTN]]="","",TRUE)</f>
        <v/>
      </c>
      <c r="AW595" s="25" t="str">
        <f ca="1">IF(NOTA[[#This Row],[ID_H]]="","",IF(NOTA[[#This Row],[Column3]]=TRUE,NOTA[[#This Row],[QTY/ CTN]],INDEX([3]!db[QTY/ CTN],NOTA[[#This Row],[//DB]])))</f>
        <v/>
      </c>
      <c r="AX5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5" s="25" t="str">
        <f ca="1">IF(NOTA[[#This Row],[ID_H]]="","",MATCH(NOTA[[#This Row],[NB NOTA_C_QTY]],[3]!db[NB NOTA_C_QTY+F],0))</f>
        <v/>
      </c>
      <c r="AZ595" s="38" t="str">
        <f ca="1">IF(NOTA[[#This Row],[NB NOTA_C_QTY]]="","",ROW()-2)</f>
        <v/>
      </c>
    </row>
    <row r="596" spans="1:52" ht="20.100000000000001" customHeight="1">
      <c r="A5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6" s="25" t="str">
        <f ca="1">IF(NOTA[[#This Row],[NAMA BARANG]]="","",INDEX(NOTA[ID],MATCH(,INDIRECT(ADDRESS(ROW(NOTA[ID]),COLUMN(NOTA[ID]))&amp;":"&amp;ADDRESS(ROW(),COLUMN(NOTA[ID]))),-1)))</f>
        <v/>
      </c>
      <c r="E596" s="33"/>
      <c r="H596" s="34"/>
      <c r="Q596" s="29"/>
      <c r="R596" s="35"/>
      <c r="S596" s="36"/>
      <c r="V596" s="37"/>
      <c r="W596" s="32"/>
      <c r="X596" s="37" t="str">
        <f>IF(NOTA[[#This Row],[HARGA/ CTN]]="",NOTA[[#This Row],[JUMLAH_H]],NOTA[[#This Row],[HARGA/ CTN]]*IF(NOTA[[#This Row],[C]]="",0,NOTA[[#This Row],[C]]))</f>
        <v/>
      </c>
      <c r="Y596" s="37" t="str">
        <f>IF(NOTA[[#This Row],[JUMLAH]]="","",NOTA[[#This Row],[JUMLAH]]*NOTA[[#This Row],[DISC 1]])</f>
        <v/>
      </c>
      <c r="Z596" s="37" t="str">
        <f>IF(NOTA[[#This Row],[JUMLAH]]="","",(NOTA[[#This Row],[JUMLAH]]-NOTA[[#This Row],[DISC 1-]])*NOTA[[#This Row],[DISC 2]])</f>
        <v/>
      </c>
      <c r="AA596" s="37" t="str">
        <f>IF(NOTA[[#This Row],[JUMLAH]]="","",(NOTA[[#This Row],[JUMLAH]]-NOTA[[#This Row],[DISC 1-]]-NOTA[[#This Row],[DISC 2-]])*NOTA[[#This Row],[DISC 3]])</f>
        <v/>
      </c>
      <c r="AB596" s="37" t="str">
        <f>IF(NOTA[[#This Row],[JUMLAH]]="","",NOTA[[#This Row],[DISC 1-]]+NOTA[[#This Row],[DISC 2-]]+NOTA[[#This Row],[DISC 3-]])</f>
        <v/>
      </c>
      <c r="AC596" s="37" t="str">
        <f>IF(NOTA[[#This Row],[JUMLAH]]="","",NOTA[[#This Row],[JUMLAH]]-NOTA[[#This Row],[DISC]])</f>
        <v/>
      </c>
      <c r="AD596" s="37"/>
      <c r="AE5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6" s="37" t="str">
        <f>IF(OR(NOTA[[#This Row],[QTY]]="",NOTA[[#This Row],[HARGA SATUAN]]="",),"",NOTA[[#This Row],[QTY]]*NOTA[[#This Row],[HARGA SATUAN]])</f>
        <v/>
      </c>
      <c r="AI596" s="26" t="str">
        <f ca="1">IF(NOTA[[#This Row],[ID_H]]="","",INDEX(NOTA[TANGGAL],MATCH(,INDIRECT(ADDRESS(ROW(NOTA[TANGGAL]),COLUMN(NOTA[TANGGAL]))&amp;":"&amp;ADDRESS(ROW(),COLUMN(NOTA[TANGGAL]))),-1)))</f>
        <v/>
      </c>
      <c r="AJ596" s="26" t="str">
        <f ca="1">IF(NOTA[[#This Row],[ID_H]]="","",INDEX(NOTA[TGL.NOTA],MATCH(,INDIRECT(ADDRESS(ROW(NOTA[TGL.NOTA]),COLUMN(NOTA[TGL.NOTA]))&amp;":"&amp;ADDRESS(ROW(),COLUMN(NOTA[TGL.NOTA]))),-1)))</f>
        <v/>
      </c>
      <c r="AK596" s="26" t="str">
        <f ca="1">IF(NOTA[[#This Row],[ID_H]]="","",INDEX(NOTA[NO.NOTA],MATCH(NOTA[[#This Row],[ID_H]],NOTA[ID_H],0)))</f>
        <v/>
      </c>
      <c r="AL596" s="28" t="str">
        <f ca="1">IF(NOTA[[#This Row],[NAMA BARANG]]="","",INDEX(NOTA[SUPPLIER],MATCH(,INDIRECT(ADDRESS(ROW(NOTA[ID]),COLUMN(NOTA[ID]))&amp;":"&amp;ADDRESS(ROW(),COLUMN(NOTA[ID]))),-1)))</f>
        <v/>
      </c>
      <c r="AM596" s="28" t="str">
        <f ca="1">IF(NOTA[[#This Row],[ID_H]]="","",IF(NOTA[[#This Row],[FAKTUR]]="",INDIRECT(ADDRESS(ROW()-1,COLUMN())),NOTA[[#This Row],[FAKTUR]]))</f>
        <v/>
      </c>
      <c r="AN596" s="25" t="str">
        <f ca="1">IF(NOTA[[#This Row],[ID]]="","",COUNTIF(NOTA[ID_H],NOTA[[#This Row],[ID_H]]))</f>
        <v/>
      </c>
      <c r="AO596" s="25" t="str">
        <f ca="1">IF(NOTA[[#This Row],[TGL.NOTA]]="",IF(NOTA[[#This Row],[SUPPLIER_H]]="","",AO595),MONTH(NOTA[[#This Row],[TGL.NOTA]]))</f>
        <v/>
      </c>
      <c r="AP5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6" s="25"/>
      <c r="AU596" s="25" t="str">
        <f>IF(NOTA[[#This Row],[CONCAT1]]="","",MATCH(NOTA[[#This Row],[CONCAT1]],[3]!db[NB NOTA_C],0))</f>
        <v/>
      </c>
      <c r="AV596" s="25" t="str">
        <f>IF(NOTA[[#This Row],[QTY/ CTN]]="","",TRUE)</f>
        <v/>
      </c>
      <c r="AW596" s="25" t="str">
        <f ca="1">IF(NOTA[[#This Row],[ID_H]]="","",IF(NOTA[[#This Row],[Column3]]=TRUE,NOTA[[#This Row],[QTY/ CTN]],INDEX([3]!db[QTY/ CTN],NOTA[[#This Row],[//DB]])))</f>
        <v/>
      </c>
      <c r="AX5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6" s="25" t="str">
        <f ca="1">IF(NOTA[[#This Row],[ID_H]]="","",MATCH(NOTA[[#This Row],[NB NOTA_C_QTY]],[3]!db[NB NOTA_C_QTY+F],0))</f>
        <v/>
      </c>
      <c r="AZ596" s="38" t="str">
        <f ca="1">IF(NOTA[[#This Row],[NB NOTA_C_QTY]]="","",ROW()-2)</f>
        <v/>
      </c>
    </row>
    <row r="597" spans="1:52" ht="20.100000000000001" customHeight="1">
      <c r="A5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7" s="25" t="str">
        <f ca="1">IF(NOTA[[#This Row],[NAMA BARANG]]="","",INDEX(NOTA[ID],MATCH(,INDIRECT(ADDRESS(ROW(NOTA[ID]),COLUMN(NOTA[ID]))&amp;":"&amp;ADDRESS(ROW(),COLUMN(NOTA[ID]))),-1)))</f>
        <v/>
      </c>
      <c r="E597" s="33"/>
      <c r="H597" s="34"/>
      <c r="Q597" s="29"/>
      <c r="R597" s="35"/>
      <c r="S597" s="36"/>
      <c r="V597" s="37"/>
      <c r="W597" s="32"/>
      <c r="X597" s="37" t="str">
        <f>IF(NOTA[[#This Row],[HARGA/ CTN]]="",NOTA[[#This Row],[JUMLAH_H]],NOTA[[#This Row],[HARGA/ CTN]]*IF(NOTA[[#This Row],[C]]="",0,NOTA[[#This Row],[C]]))</f>
        <v/>
      </c>
      <c r="Y597" s="37" t="str">
        <f>IF(NOTA[[#This Row],[JUMLAH]]="","",NOTA[[#This Row],[JUMLAH]]*NOTA[[#This Row],[DISC 1]])</f>
        <v/>
      </c>
      <c r="Z597" s="37" t="str">
        <f>IF(NOTA[[#This Row],[JUMLAH]]="","",(NOTA[[#This Row],[JUMLAH]]-NOTA[[#This Row],[DISC 1-]])*NOTA[[#This Row],[DISC 2]])</f>
        <v/>
      </c>
      <c r="AA597" s="37" t="str">
        <f>IF(NOTA[[#This Row],[JUMLAH]]="","",(NOTA[[#This Row],[JUMLAH]]-NOTA[[#This Row],[DISC 1-]]-NOTA[[#This Row],[DISC 2-]])*NOTA[[#This Row],[DISC 3]])</f>
        <v/>
      </c>
      <c r="AB597" s="37" t="str">
        <f>IF(NOTA[[#This Row],[JUMLAH]]="","",NOTA[[#This Row],[DISC 1-]]+NOTA[[#This Row],[DISC 2-]]+NOTA[[#This Row],[DISC 3-]])</f>
        <v/>
      </c>
      <c r="AC597" s="37" t="str">
        <f>IF(NOTA[[#This Row],[JUMLAH]]="","",NOTA[[#This Row],[JUMLAH]]-NOTA[[#This Row],[DISC]])</f>
        <v/>
      </c>
      <c r="AD597" s="37"/>
      <c r="AE5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7" s="37" t="str">
        <f>IF(OR(NOTA[[#This Row],[QTY]]="",NOTA[[#This Row],[HARGA SATUAN]]="",),"",NOTA[[#This Row],[QTY]]*NOTA[[#This Row],[HARGA SATUAN]])</f>
        <v/>
      </c>
      <c r="AI597" s="26" t="str">
        <f ca="1">IF(NOTA[[#This Row],[ID_H]]="","",INDEX(NOTA[TANGGAL],MATCH(,INDIRECT(ADDRESS(ROW(NOTA[TANGGAL]),COLUMN(NOTA[TANGGAL]))&amp;":"&amp;ADDRESS(ROW(),COLUMN(NOTA[TANGGAL]))),-1)))</f>
        <v/>
      </c>
      <c r="AJ597" s="26" t="str">
        <f ca="1">IF(NOTA[[#This Row],[ID_H]]="","",INDEX(NOTA[TGL.NOTA],MATCH(,INDIRECT(ADDRESS(ROW(NOTA[TGL.NOTA]),COLUMN(NOTA[TGL.NOTA]))&amp;":"&amp;ADDRESS(ROW(),COLUMN(NOTA[TGL.NOTA]))),-1)))</f>
        <v/>
      </c>
      <c r="AK597" s="26" t="str">
        <f ca="1">IF(NOTA[[#This Row],[ID_H]]="","",INDEX(NOTA[NO.NOTA],MATCH(NOTA[[#This Row],[ID_H]],NOTA[ID_H],0)))</f>
        <v/>
      </c>
      <c r="AL597" s="28" t="str">
        <f ca="1">IF(NOTA[[#This Row],[NAMA BARANG]]="","",INDEX(NOTA[SUPPLIER],MATCH(,INDIRECT(ADDRESS(ROW(NOTA[ID]),COLUMN(NOTA[ID]))&amp;":"&amp;ADDRESS(ROW(),COLUMN(NOTA[ID]))),-1)))</f>
        <v/>
      </c>
      <c r="AM597" s="28" t="str">
        <f ca="1">IF(NOTA[[#This Row],[ID_H]]="","",IF(NOTA[[#This Row],[FAKTUR]]="",INDIRECT(ADDRESS(ROW()-1,COLUMN())),NOTA[[#This Row],[FAKTUR]]))</f>
        <v/>
      </c>
      <c r="AN597" s="25" t="str">
        <f ca="1">IF(NOTA[[#This Row],[ID]]="","",COUNTIF(NOTA[ID_H],NOTA[[#This Row],[ID_H]]))</f>
        <v/>
      </c>
      <c r="AO597" s="25" t="str">
        <f ca="1">IF(NOTA[[#This Row],[TGL.NOTA]]="",IF(NOTA[[#This Row],[SUPPLIER_H]]="","",AO596),MONTH(NOTA[[#This Row],[TGL.NOTA]]))</f>
        <v/>
      </c>
      <c r="AP5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7" s="25"/>
      <c r="AU597" s="25" t="str">
        <f>IF(NOTA[[#This Row],[CONCAT1]]="","",MATCH(NOTA[[#This Row],[CONCAT1]],[3]!db[NB NOTA_C],0))</f>
        <v/>
      </c>
      <c r="AV597" s="25" t="str">
        <f>IF(NOTA[[#This Row],[QTY/ CTN]]="","",TRUE)</f>
        <v/>
      </c>
      <c r="AW597" s="25" t="str">
        <f ca="1">IF(NOTA[[#This Row],[ID_H]]="","",IF(NOTA[[#This Row],[Column3]]=TRUE,NOTA[[#This Row],[QTY/ CTN]],INDEX([3]!db[QTY/ CTN],NOTA[[#This Row],[//DB]])))</f>
        <v/>
      </c>
      <c r="AX5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7" s="25" t="str">
        <f ca="1">IF(NOTA[[#This Row],[ID_H]]="","",MATCH(NOTA[[#This Row],[NB NOTA_C_QTY]],[3]!db[NB NOTA_C_QTY+F],0))</f>
        <v/>
      </c>
      <c r="AZ597" s="38" t="str">
        <f ca="1">IF(NOTA[[#This Row],[NB NOTA_C_QTY]]="","",ROW()-2)</f>
        <v/>
      </c>
    </row>
    <row r="598" spans="1:52" ht="20.100000000000001" customHeight="1">
      <c r="A5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8" s="25" t="str">
        <f ca="1">IF(NOTA[[#This Row],[NAMA BARANG]]="","",INDEX(NOTA[ID],MATCH(,INDIRECT(ADDRESS(ROW(NOTA[ID]),COLUMN(NOTA[ID]))&amp;":"&amp;ADDRESS(ROW(),COLUMN(NOTA[ID]))),-1)))</f>
        <v/>
      </c>
      <c r="E598" s="33"/>
      <c r="H598" s="34"/>
      <c r="Q598" s="29"/>
      <c r="R598" s="35"/>
      <c r="S598" s="36"/>
      <c r="V598" s="37"/>
      <c r="W598" s="32"/>
      <c r="X598" s="37" t="str">
        <f>IF(NOTA[[#This Row],[HARGA/ CTN]]="",NOTA[[#This Row],[JUMLAH_H]],NOTA[[#This Row],[HARGA/ CTN]]*IF(NOTA[[#This Row],[C]]="",0,NOTA[[#This Row],[C]]))</f>
        <v/>
      </c>
      <c r="Y598" s="37" t="str">
        <f>IF(NOTA[[#This Row],[JUMLAH]]="","",NOTA[[#This Row],[JUMLAH]]*NOTA[[#This Row],[DISC 1]])</f>
        <v/>
      </c>
      <c r="Z598" s="37" t="str">
        <f>IF(NOTA[[#This Row],[JUMLAH]]="","",(NOTA[[#This Row],[JUMLAH]]-NOTA[[#This Row],[DISC 1-]])*NOTA[[#This Row],[DISC 2]])</f>
        <v/>
      </c>
      <c r="AA598" s="37" t="str">
        <f>IF(NOTA[[#This Row],[JUMLAH]]="","",(NOTA[[#This Row],[JUMLAH]]-NOTA[[#This Row],[DISC 1-]]-NOTA[[#This Row],[DISC 2-]])*NOTA[[#This Row],[DISC 3]])</f>
        <v/>
      </c>
      <c r="AB598" s="37" t="str">
        <f>IF(NOTA[[#This Row],[JUMLAH]]="","",NOTA[[#This Row],[DISC 1-]]+NOTA[[#This Row],[DISC 2-]]+NOTA[[#This Row],[DISC 3-]])</f>
        <v/>
      </c>
      <c r="AC598" s="37" t="str">
        <f>IF(NOTA[[#This Row],[JUMLAH]]="","",NOTA[[#This Row],[JUMLAH]]-NOTA[[#This Row],[DISC]])</f>
        <v/>
      </c>
      <c r="AD598" s="37"/>
      <c r="AE5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8" s="37" t="str">
        <f>IF(OR(NOTA[[#This Row],[QTY]]="",NOTA[[#This Row],[HARGA SATUAN]]="",),"",NOTA[[#This Row],[QTY]]*NOTA[[#This Row],[HARGA SATUAN]])</f>
        <v/>
      </c>
      <c r="AI598" s="26" t="str">
        <f ca="1">IF(NOTA[[#This Row],[ID_H]]="","",INDEX(NOTA[TANGGAL],MATCH(,INDIRECT(ADDRESS(ROW(NOTA[TANGGAL]),COLUMN(NOTA[TANGGAL]))&amp;":"&amp;ADDRESS(ROW(),COLUMN(NOTA[TANGGAL]))),-1)))</f>
        <v/>
      </c>
      <c r="AJ598" s="26" t="str">
        <f ca="1">IF(NOTA[[#This Row],[ID_H]]="","",INDEX(NOTA[TGL.NOTA],MATCH(,INDIRECT(ADDRESS(ROW(NOTA[TGL.NOTA]),COLUMN(NOTA[TGL.NOTA]))&amp;":"&amp;ADDRESS(ROW(),COLUMN(NOTA[TGL.NOTA]))),-1)))</f>
        <v/>
      </c>
      <c r="AK598" s="26" t="str">
        <f ca="1">IF(NOTA[[#This Row],[ID_H]]="","",INDEX(NOTA[NO.NOTA],MATCH(NOTA[[#This Row],[ID_H]],NOTA[ID_H],0)))</f>
        <v/>
      </c>
      <c r="AL598" s="28" t="str">
        <f ca="1">IF(NOTA[[#This Row],[NAMA BARANG]]="","",INDEX(NOTA[SUPPLIER],MATCH(,INDIRECT(ADDRESS(ROW(NOTA[ID]),COLUMN(NOTA[ID]))&amp;":"&amp;ADDRESS(ROW(),COLUMN(NOTA[ID]))),-1)))</f>
        <v/>
      </c>
      <c r="AM598" s="28" t="str">
        <f ca="1">IF(NOTA[[#This Row],[ID_H]]="","",IF(NOTA[[#This Row],[FAKTUR]]="",INDIRECT(ADDRESS(ROW()-1,COLUMN())),NOTA[[#This Row],[FAKTUR]]))</f>
        <v/>
      </c>
      <c r="AN598" s="25" t="str">
        <f ca="1">IF(NOTA[[#This Row],[ID]]="","",COUNTIF(NOTA[ID_H],NOTA[[#This Row],[ID_H]]))</f>
        <v/>
      </c>
      <c r="AO598" s="25" t="str">
        <f ca="1">IF(NOTA[[#This Row],[TGL.NOTA]]="",IF(NOTA[[#This Row],[SUPPLIER_H]]="","",AO597),MONTH(NOTA[[#This Row],[TGL.NOTA]]))</f>
        <v/>
      </c>
      <c r="AP5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8" s="25"/>
      <c r="AU598" s="25" t="str">
        <f>IF(NOTA[[#This Row],[CONCAT1]]="","",MATCH(NOTA[[#This Row],[CONCAT1]],[3]!db[NB NOTA_C],0))</f>
        <v/>
      </c>
      <c r="AV598" s="25" t="str">
        <f>IF(NOTA[[#This Row],[QTY/ CTN]]="","",TRUE)</f>
        <v/>
      </c>
      <c r="AW598" s="25" t="str">
        <f ca="1">IF(NOTA[[#This Row],[ID_H]]="","",IF(NOTA[[#This Row],[Column3]]=TRUE,NOTA[[#This Row],[QTY/ CTN]],INDEX([3]!db[QTY/ CTN],NOTA[[#This Row],[//DB]])))</f>
        <v/>
      </c>
      <c r="AX5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8" s="25" t="str">
        <f ca="1">IF(NOTA[[#This Row],[ID_H]]="","",MATCH(NOTA[[#This Row],[NB NOTA_C_QTY]],[3]!db[NB NOTA_C_QTY+F],0))</f>
        <v/>
      </c>
      <c r="AZ598" s="38" t="str">
        <f ca="1">IF(NOTA[[#This Row],[NB NOTA_C_QTY]]="","",ROW()-2)</f>
        <v/>
      </c>
    </row>
    <row r="599" spans="1:52" ht="20.100000000000001" customHeight="1">
      <c r="A5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9" s="25" t="str">
        <f ca="1">IF(NOTA[[#This Row],[NAMA BARANG]]="","",INDEX(NOTA[ID],MATCH(,INDIRECT(ADDRESS(ROW(NOTA[ID]),COLUMN(NOTA[ID]))&amp;":"&amp;ADDRESS(ROW(),COLUMN(NOTA[ID]))),-1)))</f>
        <v/>
      </c>
      <c r="E599" s="33"/>
      <c r="H599" s="34"/>
      <c r="Q599" s="29"/>
      <c r="R599" s="35"/>
      <c r="S599" s="36"/>
      <c r="V599" s="37"/>
      <c r="W599" s="32"/>
      <c r="X599" s="37" t="str">
        <f>IF(NOTA[[#This Row],[HARGA/ CTN]]="",NOTA[[#This Row],[JUMLAH_H]],NOTA[[#This Row],[HARGA/ CTN]]*IF(NOTA[[#This Row],[C]]="",0,NOTA[[#This Row],[C]]))</f>
        <v/>
      </c>
      <c r="Y599" s="37" t="str">
        <f>IF(NOTA[[#This Row],[JUMLAH]]="","",NOTA[[#This Row],[JUMLAH]]*NOTA[[#This Row],[DISC 1]])</f>
        <v/>
      </c>
      <c r="Z599" s="37" t="str">
        <f>IF(NOTA[[#This Row],[JUMLAH]]="","",(NOTA[[#This Row],[JUMLAH]]-NOTA[[#This Row],[DISC 1-]])*NOTA[[#This Row],[DISC 2]])</f>
        <v/>
      </c>
      <c r="AA599" s="37" t="str">
        <f>IF(NOTA[[#This Row],[JUMLAH]]="","",(NOTA[[#This Row],[JUMLAH]]-NOTA[[#This Row],[DISC 1-]]-NOTA[[#This Row],[DISC 2-]])*NOTA[[#This Row],[DISC 3]])</f>
        <v/>
      </c>
      <c r="AB599" s="37" t="str">
        <f>IF(NOTA[[#This Row],[JUMLAH]]="","",NOTA[[#This Row],[DISC 1-]]+NOTA[[#This Row],[DISC 2-]]+NOTA[[#This Row],[DISC 3-]])</f>
        <v/>
      </c>
      <c r="AC599" s="37" t="str">
        <f>IF(NOTA[[#This Row],[JUMLAH]]="","",NOTA[[#This Row],[JUMLAH]]-NOTA[[#This Row],[DISC]])</f>
        <v/>
      </c>
      <c r="AD599" s="37"/>
      <c r="AE5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9" s="37" t="str">
        <f>IF(OR(NOTA[[#This Row],[QTY]]="",NOTA[[#This Row],[HARGA SATUAN]]="",),"",NOTA[[#This Row],[QTY]]*NOTA[[#This Row],[HARGA SATUAN]])</f>
        <v/>
      </c>
      <c r="AI599" s="26" t="str">
        <f ca="1">IF(NOTA[[#This Row],[ID_H]]="","",INDEX(NOTA[TANGGAL],MATCH(,INDIRECT(ADDRESS(ROW(NOTA[TANGGAL]),COLUMN(NOTA[TANGGAL]))&amp;":"&amp;ADDRESS(ROW(),COLUMN(NOTA[TANGGAL]))),-1)))</f>
        <v/>
      </c>
      <c r="AJ599" s="26" t="str">
        <f ca="1">IF(NOTA[[#This Row],[ID_H]]="","",INDEX(NOTA[TGL.NOTA],MATCH(,INDIRECT(ADDRESS(ROW(NOTA[TGL.NOTA]),COLUMN(NOTA[TGL.NOTA]))&amp;":"&amp;ADDRESS(ROW(),COLUMN(NOTA[TGL.NOTA]))),-1)))</f>
        <v/>
      </c>
      <c r="AK599" s="26" t="str">
        <f ca="1">IF(NOTA[[#This Row],[ID_H]]="","",INDEX(NOTA[NO.NOTA],MATCH(NOTA[[#This Row],[ID_H]],NOTA[ID_H],0)))</f>
        <v/>
      </c>
      <c r="AL599" s="28" t="str">
        <f ca="1">IF(NOTA[[#This Row],[NAMA BARANG]]="","",INDEX(NOTA[SUPPLIER],MATCH(,INDIRECT(ADDRESS(ROW(NOTA[ID]),COLUMN(NOTA[ID]))&amp;":"&amp;ADDRESS(ROW(),COLUMN(NOTA[ID]))),-1)))</f>
        <v/>
      </c>
      <c r="AM599" s="28" t="str">
        <f ca="1">IF(NOTA[[#This Row],[ID_H]]="","",IF(NOTA[[#This Row],[FAKTUR]]="",INDIRECT(ADDRESS(ROW()-1,COLUMN())),NOTA[[#This Row],[FAKTUR]]))</f>
        <v/>
      </c>
      <c r="AN599" s="25" t="str">
        <f ca="1">IF(NOTA[[#This Row],[ID]]="","",COUNTIF(NOTA[ID_H],NOTA[[#This Row],[ID_H]]))</f>
        <v/>
      </c>
      <c r="AO599" s="25" t="str">
        <f ca="1">IF(NOTA[[#This Row],[TGL.NOTA]]="",IF(NOTA[[#This Row],[SUPPLIER_H]]="","",AO598),MONTH(NOTA[[#This Row],[TGL.NOTA]]))</f>
        <v/>
      </c>
      <c r="AP5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9" s="25"/>
      <c r="AU599" s="25" t="str">
        <f>IF(NOTA[[#This Row],[CONCAT1]]="","",MATCH(NOTA[[#This Row],[CONCAT1]],[3]!db[NB NOTA_C],0))</f>
        <v/>
      </c>
      <c r="AV599" s="25" t="str">
        <f>IF(NOTA[[#This Row],[QTY/ CTN]]="","",TRUE)</f>
        <v/>
      </c>
      <c r="AW599" s="25" t="str">
        <f ca="1">IF(NOTA[[#This Row],[ID_H]]="","",IF(NOTA[[#This Row],[Column3]]=TRUE,NOTA[[#This Row],[QTY/ CTN]],INDEX([3]!db[QTY/ CTN],NOTA[[#This Row],[//DB]])))</f>
        <v/>
      </c>
      <c r="AX5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9" s="25" t="str">
        <f ca="1">IF(NOTA[[#This Row],[ID_H]]="","",MATCH(NOTA[[#This Row],[NB NOTA_C_QTY]],[3]!db[NB NOTA_C_QTY+F],0))</f>
        <v/>
      </c>
      <c r="AZ599" s="38" t="str">
        <f ca="1">IF(NOTA[[#This Row],[NB NOTA_C_QTY]]="","",ROW()-2)</f>
        <v/>
      </c>
    </row>
    <row r="600" spans="1:52" ht="20.100000000000001" customHeight="1">
      <c r="A6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0" s="25" t="str">
        <f ca="1">IF(NOTA[[#This Row],[NAMA BARANG]]="","",INDEX(NOTA[ID],MATCH(,INDIRECT(ADDRESS(ROW(NOTA[ID]),COLUMN(NOTA[ID]))&amp;":"&amp;ADDRESS(ROW(),COLUMN(NOTA[ID]))),-1)))</f>
        <v/>
      </c>
      <c r="E600" s="33"/>
      <c r="H600" s="34"/>
      <c r="Q600" s="29"/>
      <c r="R600" s="35"/>
      <c r="S600" s="36"/>
      <c r="V600" s="37"/>
      <c r="W600" s="32"/>
      <c r="X600" s="37" t="str">
        <f>IF(NOTA[[#This Row],[HARGA/ CTN]]="",NOTA[[#This Row],[JUMLAH_H]],NOTA[[#This Row],[HARGA/ CTN]]*IF(NOTA[[#This Row],[C]]="",0,NOTA[[#This Row],[C]]))</f>
        <v/>
      </c>
      <c r="Y600" s="37" t="str">
        <f>IF(NOTA[[#This Row],[JUMLAH]]="","",NOTA[[#This Row],[JUMLAH]]*NOTA[[#This Row],[DISC 1]])</f>
        <v/>
      </c>
      <c r="Z600" s="37" t="str">
        <f>IF(NOTA[[#This Row],[JUMLAH]]="","",(NOTA[[#This Row],[JUMLAH]]-NOTA[[#This Row],[DISC 1-]])*NOTA[[#This Row],[DISC 2]])</f>
        <v/>
      </c>
      <c r="AA600" s="37" t="str">
        <f>IF(NOTA[[#This Row],[JUMLAH]]="","",(NOTA[[#This Row],[JUMLAH]]-NOTA[[#This Row],[DISC 1-]]-NOTA[[#This Row],[DISC 2-]])*NOTA[[#This Row],[DISC 3]])</f>
        <v/>
      </c>
      <c r="AB600" s="37" t="str">
        <f>IF(NOTA[[#This Row],[JUMLAH]]="","",NOTA[[#This Row],[DISC 1-]]+NOTA[[#This Row],[DISC 2-]]+NOTA[[#This Row],[DISC 3-]])</f>
        <v/>
      </c>
      <c r="AC600" s="37" t="str">
        <f>IF(NOTA[[#This Row],[JUMLAH]]="","",NOTA[[#This Row],[JUMLAH]]-NOTA[[#This Row],[DISC]])</f>
        <v/>
      </c>
      <c r="AD600" s="37"/>
      <c r="AE6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0" s="37" t="str">
        <f>IF(OR(NOTA[[#This Row],[QTY]]="",NOTA[[#This Row],[HARGA SATUAN]]="",),"",NOTA[[#This Row],[QTY]]*NOTA[[#This Row],[HARGA SATUAN]])</f>
        <v/>
      </c>
      <c r="AI600" s="26" t="str">
        <f ca="1">IF(NOTA[[#This Row],[ID_H]]="","",INDEX(NOTA[TANGGAL],MATCH(,INDIRECT(ADDRESS(ROW(NOTA[TANGGAL]),COLUMN(NOTA[TANGGAL]))&amp;":"&amp;ADDRESS(ROW(),COLUMN(NOTA[TANGGAL]))),-1)))</f>
        <v/>
      </c>
      <c r="AJ600" s="26" t="str">
        <f ca="1">IF(NOTA[[#This Row],[ID_H]]="","",INDEX(NOTA[TGL.NOTA],MATCH(,INDIRECT(ADDRESS(ROW(NOTA[TGL.NOTA]),COLUMN(NOTA[TGL.NOTA]))&amp;":"&amp;ADDRESS(ROW(),COLUMN(NOTA[TGL.NOTA]))),-1)))</f>
        <v/>
      </c>
      <c r="AK600" s="26" t="str">
        <f ca="1">IF(NOTA[[#This Row],[ID_H]]="","",INDEX(NOTA[NO.NOTA],MATCH(NOTA[[#This Row],[ID_H]],NOTA[ID_H],0)))</f>
        <v/>
      </c>
      <c r="AL600" s="28" t="str">
        <f ca="1">IF(NOTA[[#This Row],[NAMA BARANG]]="","",INDEX(NOTA[SUPPLIER],MATCH(,INDIRECT(ADDRESS(ROW(NOTA[ID]),COLUMN(NOTA[ID]))&amp;":"&amp;ADDRESS(ROW(),COLUMN(NOTA[ID]))),-1)))</f>
        <v/>
      </c>
      <c r="AM600" s="28" t="str">
        <f ca="1">IF(NOTA[[#This Row],[ID_H]]="","",IF(NOTA[[#This Row],[FAKTUR]]="",INDIRECT(ADDRESS(ROW()-1,COLUMN())),NOTA[[#This Row],[FAKTUR]]))</f>
        <v/>
      </c>
      <c r="AN600" s="25" t="str">
        <f ca="1">IF(NOTA[[#This Row],[ID]]="","",COUNTIF(NOTA[ID_H],NOTA[[#This Row],[ID_H]]))</f>
        <v/>
      </c>
      <c r="AO600" s="25" t="str">
        <f ca="1">IF(NOTA[[#This Row],[TGL.NOTA]]="",IF(NOTA[[#This Row],[SUPPLIER_H]]="","",AO599),MONTH(NOTA[[#This Row],[TGL.NOTA]]))</f>
        <v/>
      </c>
      <c r="AP6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0" s="25"/>
      <c r="AU600" s="25" t="str">
        <f>IF(NOTA[[#This Row],[CONCAT1]]="","",MATCH(NOTA[[#This Row],[CONCAT1]],[3]!db[NB NOTA_C],0))</f>
        <v/>
      </c>
      <c r="AV600" s="25" t="str">
        <f>IF(NOTA[[#This Row],[QTY/ CTN]]="","",TRUE)</f>
        <v/>
      </c>
      <c r="AW600" s="25" t="str">
        <f ca="1">IF(NOTA[[#This Row],[ID_H]]="","",IF(NOTA[[#This Row],[Column3]]=TRUE,NOTA[[#This Row],[QTY/ CTN]],INDEX([3]!db[QTY/ CTN],NOTA[[#This Row],[//DB]])))</f>
        <v/>
      </c>
      <c r="AX6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0" s="25" t="str">
        <f ca="1">IF(NOTA[[#This Row],[ID_H]]="","",MATCH(NOTA[[#This Row],[NB NOTA_C_QTY]],[3]!db[NB NOTA_C_QTY+F],0))</f>
        <v/>
      </c>
      <c r="AZ600" s="38" t="str">
        <f ca="1">IF(NOTA[[#This Row],[NB NOTA_C_QTY]]="","",ROW()-2)</f>
        <v/>
      </c>
    </row>
    <row r="601" spans="1:52" ht="20.100000000000001" customHeight="1">
      <c r="A6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1" s="25" t="str">
        <f ca="1">IF(NOTA[[#This Row],[NAMA BARANG]]="","",INDEX(NOTA[ID],MATCH(,INDIRECT(ADDRESS(ROW(NOTA[ID]),COLUMN(NOTA[ID]))&amp;":"&amp;ADDRESS(ROW(),COLUMN(NOTA[ID]))),-1)))</f>
        <v/>
      </c>
      <c r="E601" s="33"/>
      <c r="H601" s="34"/>
      <c r="Q601" s="29"/>
      <c r="R601" s="35"/>
      <c r="S601" s="36"/>
      <c r="V601" s="37"/>
      <c r="W601" s="32"/>
      <c r="X601" s="37" t="str">
        <f>IF(NOTA[[#This Row],[HARGA/ CTN]]="",NOTA[[#This Row],[JUMLAH_H]],NOTA[[#This Row],[HARGA/ CTN]]*IF(NOTA[[#This Row],[C]]="",0,NOTA[[#This Row],[C]]))</f>
        <v/>
      </c>
      <c r="Y601" s="37" t="str">
        <f>IF(NOTA[[#This Row],[JUMLAH]]="","",NOTA[[#This Row],[JUMLAH]]*NOTA[[#This Row],[DISC 1]])</f>
        <v/>
      </c>
      <c r="Z601" s="37" t="str">
        <f>IF(NOTA[[#This Row],[JUMLAH]]="","",(NOTA[[#This Row],[JUMLAH]]-NOTA[[#This Row],[DISC 1-]])*NOTA[[#This Row],[DISC 2]])</f>
        <v/>
      </c>
      <c r="AA601" s="37" t="str">
        <f>IF(NOTA[[#This Row],[JUMLAH]]="","",(NOTA[[#This Row],[JUMLAH]]-NOTA[[#This Row],[DISC 1-]]-NOTA[[#This Row],[DISC 2-]])*NOTA[[#This Row],[DISC 3]])</f>
        <v/>
      </c>
      <c r="AB601" s="37" t="str">
        <f>IF(NOTA[[#This Row],[JUMLAH]]="","",NOTA[[#This Row],[DISC 1-]]+NOTA[[#This Row],[DISC 2-]]+NOTA[[#This Row],[DISC 3-]])</f>
        <v/>
      </c>
      <c r="AC601" s="37" t="str">
        <f>IF(NOTA[[#This Row],[JUMLAH]]="","",NOTA[[#This Row],[JUMLAH]]-NOTA[[#This Row],[DISC]])</f>
        <v/>
      </c>
      <c r="AD601" s="37"/>
      <c r="AE6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1" s="37" t="str">
        <f>IF(OR(NOTA[[#This Row],[QTY]]="",NOTA[[#This Row],[HARGA SATUAN]]="",),"",NOTA[[#This Row],[QTY]]*NOTA[[#This Row],[HARGA SATUAN]])</f>
        <v/>
      </c>
      <c r="AI601" s="26" t="str">
        <f ca="1">IF(NOTA[[#This Row],[ID_H]]="","",INDEX(NOTA[TANGGAL],MATCH(,INDIRECT(ADDRESS(ROW(NOTA[TANGGAL]),COLUMN(NOTA[TANGGAL]))&amp;":"&amp;ADDRESS(ROW(),COLUMN(NOTA[TANGGAL]))),-1)))</f>
        <v/>
      </c>
      <c r="AJ601" s="26" t="str">
        <f ca="1">IF(NOTA[[#This Row],[ID_H]]="","",INDEX(NOTA[TGL.NOTA],MATCH(,INDIRECT(ADDRESS(ROW(NOTA[TGL.NOTA]),COLUMN(NOTA[TGL.NOTA]))&amp;":"&amp;ADDRESS(ROW(),COLUMN(NOTA[TGL.NOTA]))),-1)))</f>
        <v/>
      </c>
      <c r="AK601" s="26" t="str">
        <f ca="1">IF(NOTA[[#This Row],[ID_H]]="","",INDEX(NOTA[NO.NOTA],MATCH(NOTA[[#This Row],[ID_H]],NOTA[ID_H],0)))</f>
        <v/>
      </c>
      <c r="AL601" s="28" t="str">
        <f ca="1">IF(NOTA[[#This Row],[NAMA BARANG]]="","",INDEX(NOTA[SUPPLIER],MATCH(,INDIRECT(ADDRESS(ROW(NOTA[ID]),COLUMN(NOTA[ID]))&amp;":"&amp;ADDRESS(ROW(),COLUMN(NOTA[ID]))),-1)))</f>
        <v/>
      </c>
      <c r="AM601" s="28" t="str">
        <f ca="1">IF(NOTA[[#This Row],[ID_H]]="","",IF(NOTA[[#This Row],[FAKTUR]]="",INDIRECT(ADDRESS(ROW()-1,COLUMN())),NOTA[[#This Row],[FAKTUR]]))</f>
        <v/>
      </c>
      <c r="AN601" s="25" t="str">
        <f ca="1">IF(NOTA[[#This Row],[ID]]="","",COUNTIF(NOTA[ID_H],NOTA[[#This Row],[ID_H]]))</f>
        <v/>
      </c>
      <c r="AO601" s="25" t="str">
        <f ca="1">IF(NOTA[[#This Row],[TGL.NOTA]]="",IF(NOTA[[#This Row],[SUPPLIER_H]]="","",AO600),MONTH(NOTA[[#This Row],[TGL.NOTA]]))</f>
        <v/>
      </c>
      <c r="AP6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1" s="25"/>
      <c r="AU601" s="25" t="str">
        <f>IF(NOTA[[#This Row],[CONCAT1]]="","",MATCH(NOTA[[#This Row],[CONCAT1]],[3]!db[NB NOTA_C],0))</f>
        <v/>
      </c>
      <c r="AV601" s="25" t="str">
        <f>IF(NOTA[[#This Row],[QTY/ CTN]]="","",TRUE)</f>
        <v/>
      </c>
      <c r="AW601" s="25" t="str">
        <f ca="1">IF(NOTA[[#This Row],[ID_H]]="","",IF(NOTA[[#This Row],[Column3]]=TRUE,NOTA[[#This Row],[QTY/ CTN]],INDEX([3]!db[QTY/ CTN],NOTA[[#This Row],[//DB]])))</f>
        <v/>
      </c>
      <c r="AX6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1" s="25" t="str">
        <f ca="1">IF(NOTA[[#This Row],[ID_H]]="","",MATCH(NOTA[[#This Row],[NB NOTA_C_QTY]],[3]!db[NB NOTA_C_QTY+F],0))</f>
        <v/>
      </c>
      <c r="AZ601" s="38" t="str">
        <f ca="1">IF(NOTA[[#This Row],[NB NOTA_C_QTY]]="","",ROW()-2)</f>
        <v/>
      </c>
    </row>
    <row r="602" spans="1:52" ht="20.100000000000001" customHeight="1">
      <c r="A6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2" s="25" t="str">
        <f ca="1">IF(NOTA[[#This Row],[NAMA BARANG]]="","",INDEX(NOTA[ID],MATCH(,INDIRECT(ADDRESS(ROW(NOTA[ID]),COLUMN(NOTA[ID]))&amp;":"&amp;ADDRESS(ROW(),COLUMN(NOTA[ID]))),-1)))</f>
        <v/>
      </c>
      <c r="E602" s="33"/>
      <c r="H602" s="34"/>
      <c r="Q602" s="29"/>
      <c r="R602" s="35"/>
      <c r="S602" s="36"/>
      <c r="V602" s="37"/>
      <c r="W602" s="32"/>
      <c r="X602" s="37" t="str">
        <f>IF(NOTA[[#This Row],[HARGA/ CTN]]="",NOTA[[#This Row],[JUMLAH_H]],NOTA[[#This Row],[HARGA/ CTN]]*IF(NOTA[[#This Row],[C]]="",0,NOTA[[#This Row],[C]]))</f>
        <v/>
      </c>
      <c r="Y602" s="37" t="str">
        <f>IF(NOTA[[#This Row],[JUMLAH]]="","",NOTA[[#This Row],[JUMLAH]]*NOTA[[#This Row],[DISC 1]])</f>
        <v/>
      </c>
      <c r="Z602" s="37" t="str">
        <f>IF(NOTA[[#This Row],[JUMLAH]]="","",(NOTA[[#This Row],[JUMLAH]]-NOTA[[#This Row],[DISC 1-]])*NOTA[[#This Row],[DISC 2]])</f>
        <v/>
      </c>
      <c r="AA602" s="37" t="str">
        <f>IF(NOTA[[#This Row],[JUMLAH]]="","",(NOTA[[#This Row],[JUMLAH]]-NOTA[[#This Row],[DISC 1-]]-NOTA[[#This Row],[DISC 2-]])*NOTA[[#This Row],[DISC 3]])</f>
        <v/>
      </c>
      <c r="AB602" s="37" t="str">
        <f>IF(NOTA[[#This Row],[JUMLAH]]="","",NOTA[[#This Row],[DISC 1-]]+NOTA[[#This Row],[DISC 2-]]+NOTA[[#This Row],[DISC 3-]])</f>
        <v/>
      </c>
      <c r="AC602" s="37" t="str">
        <f>IF(NOTA[[#This Row],[JUMLAH]]="","",NOTA[[#This Row],[JUMLAH]]-NOTA[[#This Row],[DISC]])</f>
        <v/>
      </c>
      <c r="AD602" s="37"/>
      <c r="AE6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2" s="37" t="str">
        <f>IF(OR(NOTA[[#This Row],[QTY]]="",NOTA[[#This Row],[HARGA SATUAN]]="",),"",NOTA[[#This Row],[QTY]]*NOTA[[#This Row],[HARGA SATUAN]])</f>
        <v/>
      </c>
      <c r="AI602" s="26" t="str">
        <f ca="1">IF(NOTA[[#This Row],[ID_H]]="","",INDEX(NOTA[TANGGAL],MATCH(,INDIRECT(ADDRESS(ROW(NOTA[TANGGAL]),COLUMN(NOTA[TANGGAL]))&amp;":"&amp;ADDRESS(ROW(),COLUMN(NOTA[TANGGAL]))),-1)))</f>
        <v/>
      </c>
      <c r="AJ602" s="26" t="str">
        <f ca="1">IF(NOTA[[#This Row],[ID_H]]="","",INDEX(NOTA[TGL.NOTA],MATCH(,INDIRECT(ADDRESS(ROW(NOTA[TGL.NOTA]),COLUMN(NOTA[TGL.NOTA]))&amp;":"&amp;ADDRESS(ROW(),COLUMN(NOTA[TGL.NOTA]))),-1)))</f>
        <v/>
      </c>
      <c r="AK602" s="26" t="str">
        <f ca="1">IF(NOTA[[#This Row],[ID_H]]="","",INDEX(NOTA[NO.NOTA],MATCH(NOTA[[#This Row],[ID_H]],NOTA[ID_H],0)))</f>
        <v/>
      </c>
      <c r="AL602" s="28" t="str">
        <f ca="1">IF(NOTA[[#This Row],[NAMA BARANG]]="","",INDEX(NOTA[SUPPLIER],MATCH(,INDIRECT(ADDRESS(ROW(NOTA[ID]),COLUMN(NOTA[ID]))&amp;":"&amp;ADDRESS(ROW(),COLUMN(NOTA[ID]))),-1)))</f>
        <v/>
      </c>
      <c r="AM602" s="28" t="str">
        <f ca="1">IF(NOTA[[#This Row],[ID_H]]="","",IF(NOTA[[#This Row],[FAKTUR]]="",INDIRECT(ADDRESS(ROW()-1,COLUMN())),NOTA[[#This Row],[FAKTUR]]))</f>
        <v/>
      </c>
      <c r="AN602" s="25" t="str">
        <f ca="1">IF(NOTA[[#This Row],[ID]]="","",COUNTIF(NOTA[ID_H],NOTA[[#This Row],[ID_H]]))</f>
        <v/>
      </c>
      <c r="AO602" s="25" t="str">
        <f ca="1">IF(NOTA[[#This Row],[TGL.NOTA]]="",IF(NOTA[[#This Row],[SUPPLIER_H]]="","",AO601),MONTH(NOTA[[#This Row],[TGL.NOTA]]))</f>
        <v/>
      </c>
      <c r="AP6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2" s="25"/>
      <c r="AU602" s="25" t="str">
        <f>IF(NOTA[[#This Row],[CONCAT1]]="","",MATCH(NOTA[[#This Row],[CONCAT1]],[3]!db[NB NOTA_C],0))</f>
        <v/>
      </c>
      <c r="AV602" s="25" t="str">
        <f>IF(NOTA[[#This Row],[QTY/ CTN]]="","",TRUE)</f>
        <v/>
      </c>
      <c r="AW602" s="25" t="str">
        <f ca="1">IF(NOTA[[#This Row],[ID_H]]="","",IF(NOTA[[#This Row],[Column3]]=TRUE,NOTA[[#This Row],[QTY/ CTN]],INDEX([3]!db[QTY/ CTN],NOTA[[#This Row],[//DB]])))</f>
        <v/>
      </c>
      <c r="AX6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2" s="25" t="str">
        <f ca="1">IF(NOTA[[#This Row],[ID_H]]="","",MATCH(NOTA[[#This Row],[NB NOTA_C_QTY]],[3]!db[NB NOTA_C_QTY+F],0))</f>
        <v/>
      </c>
      <c r="AZ602" s="38" t="str">
        <f ca="1">IF(NOTA[[#This Row],[NB NOTA_C_QTY]]="","",ROW()-2)</f>
        <v/>
      </c>
    </row>
    <row r="603" spans="1:52" ht="20.100000000000001" customHeight="1">
      <c r="A6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3" s="25" t="str">
        <f ca="1">IF(NOTA[[#This Row],[NAMA BARANG]]="","",INDEX(NOTA[ID],MATCH(,INDIRECT(ADDRESS(ROW(NOTA[ID]),COLUMN(NOTA[ID]))&amp;":"&amp;ADDRESS(ROW(),COLUMN(NOTA[ID]))),-1)))</f>
        <v/>
      </c>
      <c r="E603" s="33"/>
      <c r="H603" s="34"/>
      <c r="Q603" s="29"/>
      <c r="R603" s="35"/>
      <c r="S603" s="36"/>
      <c r="V603" s="37"/>
      <c r="W603" s="32"/>
      <c r="X603" s="37" t="str">
        <f>IF(NOTA[[#This Row],[HARGA/ CTN]]="",NOTA[[#This Row],[JUMLAH_H]],NOTA[[#This Row],[HARGA/ CTN]]*IF(NOTA[[#This Row],[C]]="",0,NOTA[[#This Row],[C]]))</f>
        <v/>
      </c>
      <c r="Y603" s="37" t="str">
        <f>IF(NOTA[[#This Row],[JUMLAH]]="","",NOTA[[#This Row],[JUMLAH]]*NOTA[[#This Row],[DISC 1]])</f>
        <v/>
      </c>
      <c r="Z603" s="37" t="str">
        <f>IF(NOTA[[#This Row],[JUMLAH]]="","",(NOTA[[#This Row],[JUMLAH]]-NOTA[[#This Row],[DISC 1-]])*NOTA[[#This Row],[DISC 2]])</f>
        <v/>
      </c>
      <c r="AA603" s="37" t="str">
        <f>IF(NOTA[[#This Row],[JUMLAH]]="","",(NOTA[[#This Row],[JUMLAH]]-NOTA[[#This Row],[DISC 1-]]-NOTA[[#This Row],[DISC 2-]])*NOTA[[#This Row],[DISC 3]])</f>
        <v/>
      </c>
      <c r="AB603" s="37" t="str">
        <f>IF(NOTA[[#This Row],[JUMLAH]]="","",NOTA[[#This Row],[DISC 1-]]+NOTA[[#This Row],[DISC 2-]]+NOTA[[#This Row],[DISC 3-]])</f>
        <v/>
      </c>
      <c r="AC603" s="37" t="str">
        <f>IF(NOTA[[#This Row],[JUMLAH]]="","",NOTA[[#This Row],[JUMLAH]]-NOTA[[#This Row],[DISC]])</f>
        <v/>
      </c>
      <c r="AD603" s="37"/>
      <c r="AE6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3" s="37" t="str">
        <f>IF(OR(NOTA[[#This Row],[QTY]]="",NOTA[[#This Row],[HARGA SATUAN]]="",),"",NOTA[[#This Row],[QTY]]*NOTA[[#This Row],[HARGA SATUAN]])</f>
        <v/>
      </c>
      <c r="AI603" s="26" t="str">
        <f ca="1">IF(NOTA[[#This Row],[ID_H]]="","",INDEX(NOTA[TANGGAL],MATCH(,INDIRECT(ADDRESS(ROW(NOTA[TANGGAL]),COLUMN(NOTA[TANGGAL]))&amp;":"&amp;ADDRESS(ROW(),COLUMN(NOTA[TANGGAL]))),-1)))</f>
        <v/>
      </c>
      <c r="AJ603" s="26" t="str">
        <f ca="1">IF(NOTA[[#This Row],[ID_H]]="","",INDEX(NOTA[TGL.NOTA],MATCH(,INDIRECT(ADDRESS(ROW(NOTA[TGL.NOTA]),COLUMN(NOTA[TGL.NOTA]))&amp;":"&amp;ADDRESS(ROW(),COLUMN(NOTA[TGL.NOTA]))),-1)))</f>
        <v/>
      </c>
      <c r="AK603" s="26" t="str">
        <f ca="1">IF(NOTA[[#This Row],[ID_H]]="","",INDEX(NOTA[NO.NOTA],MATCH(NOTA[[#This Row],[ID_H]],NOTA[ID_H],0)))</f>
        <v/>
      </c>
      <c r="AL603" s="28" t="str">
        <f ca="1">IF(NOTA[[#This Row],[NAMA BARANG]]="","",INDEX(NOTA[SUPPLIER],MATCH(,INDIRECT(ADDRESS(ROW(NOTA[ID]),COLUMN(NOTA[ID]))&amp;":"&amp;ADDRESS(ROW(),COLUMN(NOTA[ID]))),-1)))</f>
        <v/>
      </c>
      <c r="AM603" s="28" t="str">
        <f ca="1">IF(NOTA[[#This Row],[ID_H]]="","",IF(NOTA[[#This Row],[FAKTUR]]="",INDIRECT(ADDRESS(ROW()-1,COLUMN())),NOTA[[#This Row],[FAKTUR]]))</f>
        <v/>
      </c>
      <c r="AN603" s="25" t="str">
        <f ca="1">IF(NOTA[[#This Row],[ID]]="","",COUNTIF(NOTA[ID_H],NOTA[[#This Row],[ID_H]]))</f>
        <v/>
      </c>
      <c r="AO603" s="25" t="str">
        <f ca="1">IF(NOTA[[#This Row],[TGL.NOTA]]="",IF(NOTA[[#This Row],[SUPPLIER_H]]="","",AO602),MONTH(NOTA[[#This Row],[TGL.NOTA]]))</f>
        <v/>
      </c>
      <c r="AP6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3" s="25"/>
      <c r="AU603" s="25" t="str">
        <f>IF(NOTA[[#This Row],[CONCAT1]]="","",MATCH(NOTA[[#This Row],[CONCAT1]],[3]!db[NB NOTA_C],0))</f>
        <v/>
      </c>
      <c r="AV603" s="25" t="str">
        <f>IF(NOTA[[#This Row],[QTY/ CTN]]="","",TRUE)</f>
        <v/>
      </c>
      <c r="AW603" s="25" t="str">
        <f ca="1">IF(NOTA[[#This Row],[ID_H]]="","",IF(NOTA[[#This Row],[Column3]]=TRUE,NOTA[[#This Row],[QTY/ CTN]],INDEX([3]!db[QTY/ CTN],NOTA[[#This Row],[//DB]])))</f>
        <v/>
      </c>
      <c r="AX6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3" s="25" t="str">
        <f ca="1">IF(NOTA[[#This Row],[ID_H]]="","",MATCH(NOTA[[#This Row],[NB NOTA_C_QTY]],[3]!db[NB NOTA_C_QTY+F],0))</f>
        <v/>
      </c>
      <c r="AZ603" s="38" t="str">
        <f ca="1">IF(NOTA[[#This Row],[NB NOTA_C_QTY]]="","",ROW()-2)</f>
        <v/>
      </c>
    </row>
    <row r="604" spans="1:52" ht="20.100000000000001" customHeight="1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4" s="25" t="str">
        <f ca="1">IF(NOTA[[#This Row],[NAMA BARANG]]="","",INDEX(NOTA[ID],MATCH(,INDIRECT(ADDRESS(ROW(NOTA[ID]),COLUMN(NOTA[ID]))&amp;":"&amp;ADDRESS(ROW(),COLUMN(NOTA[ID]))),-1)))</f>
        <v/>
      </c>
      <c r="E604" s="33"/>
      <c r="H604" s="34"/>
      <c r="Q604" s="29"/>
      <c r="R604" s="35"/>
      <c r="S604" s="36"/>
      <c r="V604" s="37"/>
      <c r="W604" s="32"/>
      <c r="X604" s="37" t="str">
        <f>IF(NOTA[[#This Row],[HARGA/ CTN]]="",NOTA[[#This Row],[JUMLAH_H]],NOTA[[#This Row],[HARGA/ CTN]]*IF(NOTA[[#This Row],[C]]="",0,NOTA[[#This Row],[C]]))</f>
        <v/>
      </c>
      <c r="Y604" s="37" t="str">
        <f>IF(NOTA[[#This Row],[JUMLAH]]="","",NOTA[[#This Row],[JUMLAH]]*NOTA[[#This Row],[DISC 1]])</f>
        <v/>
      </c>
      <c r="Z604" s="37" t="str">
        <f>IF(NOTA[[#This Row],[JUMLAH]]="","",(NOTA[[#This Row],[JUMLAH]]-NOTA[[#This Row],[DISC 1-]])*NOTA[[#This Row],[DISC 2]])</f>
        <v/>
      </c>
      <c r="AA604" s="37" t="str">
        <f>IF(NOTA[[#This Row],[JUMLAH]]="","",(NOTA[[#This Row],[JUMLAH]]-NOTA[[#This Row],[DISC 1-]]-NOTA[[#This Row],[DISC 2-]])*NOTA[[#This Row],[DISC 3]])</f>
        <v/>
      </c>
      <c r="AB604" s="37" t="str">
        <f>IF(NOTA[[#This Row],[JUMLAH]]="","",NOTA[[#This Row],[DISC 1-]]+NOTA[[#This Row],[DISC 2-]]+NOTA[[#This Row],[DISC 3-]])</f>
        <v/>
      </c>
      <c r="AC604" s="37" t="str">
        <f>IF(NOTA[[#This Row],[JUMLAH]]="","",NOTA[[#This Row],[JUMLAH]]-NOTA[[#This Row],[DISC]])</f>
        <v/>
      </c>
      <c r="AD604" s="37"/>
      <c r="AE6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4" s="37" t="str">
        <f>IF(OR(NOTA[[#This Row],[QTY]]="",NOTA[[#This Row],[HARGA SATUAN]]="",),"",NOTA[[#This Row],[QTY]]*NOTA[[#This Row],[HARGA SATUAN]])</f>
        <v/>
      </c>
      <c r="AI604" s="26" t="str">
        <f ca="1">IF(NOTA[[#This Row],[ID_H]]="","",INDEX(NOTA[TANGGAL],MATCH(,INDIRECT(ADDRESS(ROW(NOTA[TANGGAL]),COLUMN(NOTA[TANGGAL]))&amp;":"&amp;ADDRESS(ROW(),COLUMN(NOTA[TANGGAL]))),-1)))</f>
        <v/>
      </c>
      <c r="AJ604" s="26" t="str">
        <f ca="1">IF(NOTA[[#This Row],[ID_H]]="","",INDEX(NOTA[TGL.NOTA],MATCH(,INDIRECT(ADDRESS(ROW(NOTA[TGL.NOTA]),COLUMN(NOTA[TGL.NOTA]))&amp;":"&amp;ADDRESS(ROW(),COLUMN(NOTA[TGL.NOTA]))),-1)))</f>
        <v/>
      </c>
      <c r="AK604" s="26" t="str">
        <f ca="1">IF(NOTA[[#This Row],[ID_H]]="","",INDEX(NOTA[NO.NOTA],MATCH(NOTA[[#This Row],[ID_H]],NOTA[ID_H],0)))</f>
        <v/>
      </c>
      <c r="AL604" s="28" t="str">
        <f ca="1">IF(NOTA[[#This Row],[NAMA BARANG]]="","",INDEX(NOTA[SUPPLIER],MATCH(,INDIRECT(ADDRESS(ROW(NOTA[ID]),COLUMN(NOTA[ID]))&amp;":"&amp;ADDRESS(ROW(),COLUMN(NOTA[ID]))),-1)))</f>
        <v/>
      </c>
      <c r="AM604" s="28" t="str">
        <f ca="1">IF(NOTA[[#This Row],[ID_H]]="","",IF(NOTA[[#This Row],[FAKTUR]]="",INDIRECT(ADDRESS(ROW()-1,COLUMN())),NOTA[[#This Row],[FAKTUR]]))</f>
        <v/>
      </c>
      <c r="AN604" s="25" t="str">
        <f ca="1">IF(NOTA[[#This Row],[ID]]="","",COUNTIF(NOTA[ID_H],NOTA[[#This Row],[ID_H]]))</f>
        <v/>
      </c>
      <c r="AO604" s="25" t="str">
        <f ca="1">IF(NOTA[[#This Row],[TGL.NOTA]]="",IF(NOTA[[#This Row],[SUPPLIER_H]]="","",AO603),MONTH(NOTA[[#This Row],[TGL.NOTA]]))</f>
        <v/>
      </c>
      <c r="AP6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4" s="25"/>
      <c r="AU604" s="25" t="str">
        <f>IF(NOTA[[#This Row],[CONCAT1]]="","",MATCH(NOTA[[#This Row],[CONCAT1]],[3]!db[NB NOTA_C],0))</f>
        <v/>
      </c>
      <c r="AV604" s="25" t="str">
        <f>IF(NOTA[[#This Row],[QTY/ CTN]]="","",TRUE)</f>
        <v/>
      </c>
      <c r="AW604" s="25" t="str">
        <f ca="1">IF(NOTA[[#This Row],[ID_H]]="","",IF(NOTA[[#This Row],[Column3]]=TRUE,NOTA[[#This Row],[QTY/ CTN]],INDEX([3]!db[QTY/ CTN],NOTA[[#This Row],[//DB]])))</f>
        <v/>
      </c>
      <c r="AX6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4" s="25" t="str">
        <f ca="1">IF(NOTA[[#This Row],[ID_H]]="","",MATCH(NOTA[[#This Row],[NB NOTA_C_QTY]],[3]!db[NB NOTA_C_QTY+F],0))</f>
        <v/>
      </c>
      <c r="AZ604" s="38" t="str">
        <f ca="1">IF(NOTA[[#This Row],[NB NOTA_C_QTY]]="","",ROW()-2)</f>
        <v/>
      </c>
    </row>
    <row r="605" spans="1:52" ht="20.100000000000001" customHeight="1">
      <c r="A6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5" s="25" t="str">
        <f ca="1">IF(NOTA[[#This Row],[NAMA BARANG]]="","",INDEX(NOTA[ID],MATCH(,INDIRECT(ADDRESS(ROW(NOTA[ID]),COLUMN(NOTA[ID]))&amp;":"&amp;ADDRESS(ROW(),COLUMN(NOTA[ID]))),-1)))</f>
        <v/>
      </c>
      <c r="E605" s="33"/>
      <c r="H605" s="34"/>
      <c r="Q605" s="29"/>
      <c r="R605" s="35"/>
      <c r="S605" s="36"/>
      <c r="V605" s="37"/>
      <c r="W605" s="32"/>
      <c r="X605" s="37" t="str">
        <f>IF(NOTA[[#This Row],[HARGA/ CTN]]="",NOTA[[#This Row],[JUMLAH_H]],NOTA[[#This Row],[HARGA/ CTN]]*IF(NOTA[[#This Row],[C]]="",0,NOTA[[#This Row],[C]]))</f>
        <v/>
      </c>
      <c r="Y605" s="37" t="str">
        <f>IF(NOTA[[#This Row],[JUMLAH]]="","",NOTA[[#This Row],[JUMLAH]]*NOTA[[#This Row],[DISC 1]])</f>
        <v/>
      </c>
      <c r="Z605" s="37" t="str">
        <f>IF(NOTA[[#This Row],[JUMLAH]]="","",(NOTA[[#This Row],[JUMLAH]]-NOTA[[#This Row],[DISC 1-]])*NOTA[[#This Row],[DISC 2]])</f>
        <v/>
      </c>
      <c r="AA605" s="37" t="str">
        <f>IF(NOTA[[#This Row],[JUMLAH]]="","",(NOTA[[#This Row],[JUMLAH]]-NOTA[[#This Row],[DISC 1-]]-NOTA[[#This Row],[DISC 2-]])*NOTA[[#This Row],[DISC 3]])</f>
        <v/>
      </c>
      <c r="AB605" s="37" t="str">
        <f>IF(NOTA[[#This Row],[JUMLAH]]="","",NOTA[[#This Row],[DISC 1-]]+NOTA[[#This Row],[DISC 2-]]+NOTA[[#This Row],[DISC 3-]])</f>
        <v/>
      </c>
      <c r="AC605" s="37" t="str">
        <f>IF(NOTA[[#This Row],[JUMLAH]]="","",NOTA[[#This Row],[JUMLAH]]-NOTA[[#This Row],[DISC]])</f>
        <v/>
      </c>
      <c r="AD605" s="37"/>
      <c r="AE6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5" s="37" t="str">
        <f>IF(OR(NOTA[[#This Row],[QTY]]="",NOTA[[#This Row],[HARGA SATUAN]]="",),"",NOTA[[#This Row],[QTY]]*NOTA[[#This Row],[HARGA SATUAN]])</f>
        <v/>
      </c>
      <c r="AI605" s="26" t="str">
        <f ca="1">IF(NOTA[[#This Row],[ID_H]]="","",INDEX(NOTA[TANGGAL],MATCH(,INDIRECT(ADDRESS(ROW(NOTA[TANGGAL]),COLUMN(NOTA[TANGGAL]))&amp;":"&amp;ADDRESS(ROW(),COLUMN(NOTA[TANGGAL]))),-1)))</f>
        <v/>
      </c>
      <c r="AJ605" s="26" t="str">
        <f ca="1">IF(NOTA[[#This Row],[ID_H]]="","",INDEX(NOTA[TGL.NOTA],MATCH(,INDIRECT(ADDRESS(ROW(NOTA[TGL.NOTA]),COLUMN(NOTA[TGL.NOTA]))&amp;":"&amp;ADDRESS(ROW(),COLUMN(NOTA[TGL.NOTA]))),-1)))</f>
        <v/>
      </c>
      <c r="AK605" s="26" t="str">
        <f ca="1">IF(NOTA[[#This Row],[ID_H]]="","",INDEX(NOTA[NO.NOTA],MATCH(NOTA[[#This Row],[ID_H]],NOTA[ID_H],0)))</f>
        <v/>
      </c>
      <c r="AL605" s="28" t="str">
        <f ca="1">IF(NOTA[[#This Row],[NAMA BARANG]]="","",INDEX(NOTA[SUPPLIER],MATCH(,INDIRECT(ADDRESS(ROW(NOTA[ID]),COLUMN(NOTA[ID]))&amp;":"&amp;ADDRESS(ROW(),COLUMN(NOTA[ID]))),-1)))</f>
        <v/>
      </c>
      <c r="AM605" s="28" t="str">
        <f ca="1">IF(NOTA[[#This Row],[ID_H]]="","",IF(NOTA[[#This Row],[FAKTUR]]="",INDIRECT(ADDRESS(ROW()-1,COLUMN())),NOTA[[#This Row],[FAKTUR]]))</f>
        <v/>
      </c>
      <c r="AN605" s="25" t="str">
        <f ca="1">IF(NOTA[[#This Row],[ID]]="","",COUNTIF(NOTA[ID_H],NOTA[[#This Row],[ID_H]]))</f>
        <v/>
      </c>
      <c r="AO605" s="25" t="str">
        <f ca="1">IF(NOTA[[#This Row],[TGL.NOTA]]="",IF(NOTA[[#This Row],[SUPPLIER_H]]="","",AO604),MONTH(NOTA[[#This Row],[TGL.NOTA]]))</f>
        <v/>
      </c>
      <c r="AP6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5" s="25"/>
      <c r="AU605" s="25" t="str">
        <f>IF(NOTA[[#This Row],[CONCAT1]]="","",MATCH(NOTA[[#This Row],[CONCAT1]],[3]!db[NB NOTA_C],0))</f>
        <v/>
      </c>
      <c r="AV605" s="25" t="str">
        <f>IF(NOTA[[#This Row],[QTY/ CTN]]="","",TRUE)</f>
        <v/>
      </c>
      <c r="AW605" s="25" t="str">
        <f ca="1">IF(NOTA[[#This Row],[ID_H]]="","",IF(NOTA[[#This Row],[Column3]]=TRUE,NOTA[[#This Row],[QTY/ CTN]],INDEX([3]!db[QTY/ CTN],NOTA[[#This Row],[//DB]])))</f>
        <v/>
      </c>
      <c r="AX6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5" s="25" t="str">
        <f ca="1">IF(NOTA[[#This Row],[ID_H]]="","",MATCH(NOTA[[#This Row],[NB NOTA_C_QTY]],[3]!db[NB NOTA_C_QTY+F],0))</f>
        <v/>
      </c>
      <c r="AZ605" s="38" t="str">
        <f ca="1">IF(NOTA[[#This Row],[NB NOTA_C_QTY]]="","",ROW()-2)</f>
        <v/>
      </c>
    </row>
    <row r="606" spans="1:52" ht="20.100000000000001" customHeight="1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6" s="25" t="str">
        <f ca="1">IF(NOTA[[#This Row],[NAMA BARANG]]="","",INDEX(NOTA[ID],MATCH(,INDIRECT(ADDRESS(ROW(NOTA[ID]),COLUMN(NOTA[ID]))&amp;":"&amp;ADDRESS(ROW(),COLUMN(NOTA[ID]))),-1)))</f>
        <v/>
      </c>
      <c r="E606" s="33"/>
      <c r="H606" s="34"/>
      <c r="Q606" s="29"/>
      <c r="R606" s="35"/>
      <c r="S606" s="36"/>
      <c r="V606" s="37"/>
      <c r="W606" s="32"/>
      <c r="X606" s="37" t="str">
        <f>IF(NOTA[[#This Row],[HARGA/ CTN]]="",NOTA[[#This Row],[JUMLAH_H]],NOTA[[#This Row],[HARGA/ CTN]]*IF(NOTA[[#This Row],[C]]="",0,NOTA[[#This Row],[C]]))</f>
        <v/>
      </c>
      <c r="Y606" s="37" t="str">
        <f>IF(NOTA[[#This Row],[JUMLAH]]="","",NOTA[[#This Row],[JUMLAH]]*NOTA[[#This Row],[DISC 1]])</f>
        <v/>
      </c>
      <c r="Z606" s="37" t="str">
        <f>IF(NOTA[[#This Row],[JUMLAH]]="","",(NOTA[[#This Row],[JUMLAH]]-NOTA[[#This Row],[DISC 1-]])*NOTA[[#This Row],[DISC 2]])</f>
        <v/>
      </c>
      <c r="AA606" s="37" t="str">
        <f>IF(NOTA[[#This Row],[JUMLAH]]="","",(NOTA[[#This Row],[JUMLAH]]-NOTA[[#This Row],[DISC 1-]]-NOTA[[#This Row],[DISC 2-]])*NOTA[[#This Row],[DISC 3]])</f>
        <v/>
      </c>
      <c r="AB606" s="37" t="str">
        <f>IF(NOTA[[#This Row],[JUMLAH]]="","",NOTA[[#This Row],[DISC 1-]]+NOTA[[#This Row],[DISC 2-]]+NOTA[[#This Row],[DISC 3-]])</f>
        <v/>
      </c>
      <c r="AC606" s="37" t="str">
        <f>IF(NOTA[[#This Row],[JUMLAH]]="","",NOTA[[#This Row],[JUMLAH]]-NOTA[[#This Row],[DISC]])</f>
        <v/>
      </c>
      <c r="AD606" s="37"/>
      <c r="AE6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6" s="37" t="str">
        <f>IF(OR(NOTA[[#This Row],[QTY]]="",NOTA[[#This Row],[HARGA SATUAN]]="",),"",NOTA[[#This Row],[QTY]]*NOTA[[#This Row],[HARGA SATUAN]])</f>
        <v/>
      </c>
      <c r="AI606" s="26" t="str">
        <f ca="1">IF(NOTA[[#This Row],[ID_H]]="","",INDEX(NOTA[TANGGAL],MATCH(,INDIRECT(ADDRESS(ROW(NOTA[TANGGAL]),COLUMN(NOTA[TANGGAL]))&amp;":"&amp;ADDRESS(ROW(),COLUMN(NOTA[TANGGAL]))),-1)))</f>
        <v/>
      </c>
      <c r="AJ606" s="26" t="str">
        <f ca="1">IF(NOTA[[#This Row],[ID_H]]="","",INDEX(NOTA[TGL.NOTA],MATCH(,INDIRECT(ADDRESS(ROW(NOTA[TGL.NOTA]),COLUMN(NOTA[TGL.NOTA]))&amp;":"&amp;ADDRESS(ROW(),COLUMN(NOTA[TGL.NOTA]))),-1)))</f>
        <v/>
      </c>
      <c r="AK606" s="26" t="str">
        <f ca="1">IF(NOTA[[#This Row],[ID_H]]="","",INDEX(NOTA[NO.NOTA],MATCH(NOTA[[#This Row],[ID_H]],NOTA[ID_H],0)))</f>
        <v/>
      </c>
      <c r="AL606" s="28" t="str">
        <f ca="1">IF(NOTA[[#This Row],[NAMA BARANG]]="","",INDEX(NOTA[SUPPLIER],MATCH(,INDIRECT(ADDRESS(ROW(NOTA[ID]),COLUMN(NOTA[ID]))&amp;":"&amp;ADDRESS(ROW(),COLUMN(NOTA[ID]))),-1)))</f>
        <v/>
      </c>
      <c r="AM606" s="28" t="str">
        <f ca="1">IF(NOTA[[#This Row],[ID_H]]="","",IF(NOTA[[#This Row],[FAKTUR]]="",INDIRECT(ADDRESS(ROW()-1,COLUMN())),NOTA[[#This Row],[FAKTUR]]))</f>
        <v/>
      </c>
      <c r="AN606" s="25" t="str">
        <f ca="1">IF(NOTA[[#This Row],[ID]]="","",COUNTIF(NOTA[ID_H],NOTA[[#This Row],[ID_H]]))</f>
        <v/>
      </c>
      <c r="AO606" s="25" t="str">
        <f ca="1">IF(NOTA[[#This Row],[TGL.NOTA]]="",IF(NOTA[[#This Row],[SUPPLIER_H]]="","",AO605),MONTH(NOTA[[#This Row],[TGL.NOTA]]))</f>
        <v/>
      </c>
      <c r="AP6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6" s="25"/>
      <c r="AU606" s="25" t="str">
        <f>IF(NOTA[[#This Row],[CONCAT1]]="","",MATCH(NOTA[[#This Row],[CONCAT1]],[3]!db[NB NOTA_C],0))</f>
        <v/>
      </c>
      <c r="AV606" s="25" t="str">
        <f>IF(NOTA[[#This Row],[QTY/ CTN]]="","",TRUE)</f>
        <v/>
      </c>
      <c r="AW606" s="25" t="str">
        <f ca="1">IF(NOTA[[#This Row],[ID_H]]="","",IF(NOTA[[#This Row],[Column3]]=TRUE,NOTA[[#This Row],[QTY/ CTN]],INDEX([3]!db[QTY/ CTN],NOTA[[#This Row],[//DB]])))</f>
        <v/>
      </c>
      <c r="AX6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6" s="25" t="str">
        <f ca="1">IF(NOTA[[#This Row],[ID_H]]="","",MATCH(NOTA[[#This Row],[NB NOTA_C_QTY]],[3]!db[NB NOTA_C_QTY+F],0))</f>
        <v/>
      </c>
      <c r="AZ606" s="38" t="str">
        <f ca="1">IF(NOTA[[#This Row],[NB NOTA_C_QTY]]="","",ROW()-2)</f>
        <v/>
      </c>
    </row>
    <row r="607" spans="1:52" ht="20.100000000000001" customHeight="1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7" s="25" t="str">
        <f ca="1">IF(NOTA[[#This Row],[NAMA BARANG]]="","",INDEX(NOTA[ID],MATCH(,INDIRECT(ADDRESS(ROW(NOTA[ID]),COLUMN(NOTA[ID]))&amp;":"&amp;ADDRESS(ROW(),COLUMN(NOTA[ID]))),-1)))</f>
        <v/>
      </c>
      <c r="E607" s="33"/>
      <c r="H607" s="34"/>
      <c r="Q607" s="29"/>
      <c r="R607" s="35"/>
      <c r="S607" s="36"/>
      <c r="V607" s="37"/>
      <c r="W607" s="32"/>
      <c r="X607" s="37" t="str">
        <f>IF(NOTA[[#This Row],[HARGA/ CTN]]="",NOTA[[#This Row],[JUMLAH_H]],NOTA[[#This Row],[HARGA/ CTN]]*IF(NOTA[[#This Row],[C]]="",0,NOTA[[#This Row],[C]]))</f>
        <v/>
      </c>
      <c r="Y607" s="37" t="str">
        <f>IF(NOTA[[#This Row],[JUMLAH]]="","",NOTA[[#This Row],[JUMLAH]]*NOTA[[#This Row],[DISC 1]])</f>
        <v/>
      </c>
      <c r="Z607" s="37" t="str">
        <f>IF(NOTA[[#This Row],[JUMLAH]]="","",(NOTA[[#This Row],[JUMLAH]]-NOTA[[#This Row],[DISC 1-]])*NOTA[[#This Row],[DISC 2]])</f>
        <v/>
      </c>
      <c r="AA607" s="37" t="str">
        <f>IF(NOTA[[#This Row],[JUMLAH]]="","",(NOTA[[#This Row],[JUMLAH]]-NOTA[[#This Row],[DISC 1-]]-NOTA[[#This Row],[DISC 2-]])*NOTA[[#This Row],[DISC 3]])</f>
        <v/>
      </c>
      <c r="AB607" s="37" t="str">
        <f>IF(NOTA[[#This Row],[JUMLAH]]="","",NOTA[[#This Row],[DISC 1-]]+NOTA[[#This Row],[DISC 2-]]+NOTA[[#This Row],[DISC 3-]])</f>
        <v/>
      </c>
      <c r="AC607" s="37" t="str">
        <f>IF(NOTA[[#This Row],[JUMLAH]]="","",NOTA[[#This Row],[JUMLAH]]-NOTA[[#This Row],[DISC]])</f>
        <v/>
      </c>
      <c r="AD607" s="37"/>
      <c r="AE6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7" s="37" t="str">
        <f>IF(OR(NOTA[[#This Row],[QTY]]="",NOTA[[#This Row],[HARGA SATUAN]]="",),"",NOTA[[#This Row],[QTY]]*NOTA[[#This Row],[HARGA SATUAN]])</f>
        <v/>
      </c>
      <c r="AI607" s="26" t="str">
        <f ca="1">IF(NOTA[[#This Row],[ID_H]]="","",INDEX(NOTA[TANGGAL],MATCH(,INDIRECT(ADDRESS(ROW(NOTA[TANGGAL]),COLUMN(NOTA[TANGGAL]))&amp;":"&amp;ADDRESS(ROW(),COLUMN(NOTA[TANGGAL]))),-1)))</f>
        <v/>
      </c>
      <c r="AJ607" s="26" t="str">
        <f ca="1">IF(NOTA[[#This Row],[ID_H]]="","",INDEX(NOTA[TGL.NOTA],MATCH(,INDIRECT(ADDRESS(ROW(NOTA[TGL.NOTA]),COLUMN(NOTA[TGL.NOTA]))&amp;":"&amp;ADDRESS(ROW(),COLUMN(NOTA[TGL.NOTA]))),-1)))</f>
        <v/>
      </c>
      <c r="AK607" s="26" t="str">
        <f ca="1">IF(NOTA[[#This Row],[ID_H]]="","",INDEX(NOTA[NO.NOTA],MATCH(NOTA[[#This Row],[ID_H]],NOTA[ID_H],0)))</f>
        <v/>
      </c>
      <c r="AL607" s="28" t="str">
        <f ca="1">IF(NOTA[[#This Row],[NAMA BARANG]]="","",INDEX(NOTA[SUPPLIER],MATCH(,INDIRECT(ADDRESS(ROW(NOTA[ID]),COLUMN(NOTA[ID]))&amp;":"&amp;ADDRESS(ROW(),COLUMN(NOTA[ID]))),-1)))</f>
        <v/>
      </c>
      <c r="AM607" s="28" t="str">
        <f ca="1">IF(NOTA[[#This Row],[ID_H]]="","",IF(NOTA[[#This Row],[FAKTUR]]="",INDIRECT(ADDRESS(ROW()-1,COLUMN())),NOTA[[#This Row],[FAKTUR]]))</f>
        <v/>
      </c>
      <c r="AN607" s="25" t="str">
        <f ca="1">IF(NOTA[[#This Row],[ID]]="","",COUNTIF(NOTA[ID_H],NOTA[[#This Row],[ID_H]]))</f>
        <v/>
      </c>
      <c r="AO607" s="25" t="str">
        <f ca="1">IF(NOTA[[#This Row],[TGL.NOTA]]="",IF(NOTA[[#This Row],[SUPPLIER_H]]="","",AO606),MONTH(NOTA[[#This Row],[TGL.NOTA]]))</f>
        <v/>
      </c>
      <c r="AP6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7" s="25"/>
      <c r="AU607" s="25" t="str">
        <f>IF(NOTA[[#This Row],[CONCAT1]]="","",MATCH(NOTA[[#This Row],[CONCAT1]],[3]!db[NB NOTA_C],0))</f>
        <v/>
      </c>
      <c r="AV607" s="25" t="str">
        <f>IF(NOTA[[#This Row],[QTY/ CTN]]="","",TRUE)</f>
        <v/>
      </c>
      <c r="AW607" s="25" t="str">
        <f ca="1">IF(NOTA[[#This Row],[ID_H]]="","",IF(NOTA[[#This Row],[Column3]]=TRUE,NOTA[[#This Row],[QTY/ CTN]],INDEX([3]!db[QTY/ CTN],NOTA[[#This Row],[//DB]])))</f>
        <v/>
      </c>
      <c r="AX6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7" s="25" t="str">
        <f ca="1">IF(NOTA[[#This Row],[ID_H]]="","",MATCH(NOTA[[#This Row],[NB NOTA_C_QTY]],[3]!db[NB NOTA_C_QTY+F],0))</f>
        <v/>
      </c>
      <c r="AZ607" s="38" t="str">
        <f ca="1">IF(NOTA[[#This Row],[NB NOTA_C_QTY]]="","",ROW()-2)</f>
        <v/>
      </c>
    </row>
    <row r="608" spans="1:52" ht="20.100000000000001" customHeight="1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8" s="25" t="str">
        <f ca="1">IF(NOTA[[#This Row],[NAMA BARANG]]="","",INDEX(NOTA[ID],MATCH(,INDIRECT(ADDRESS(ROW(NOTA[ID]),COLUMN(NOTA[ID]))&amp;":"&amp;ADDRESS(ROW(),COLUMN(NOTA[ID]))),-1)))</f>
        <v/>
      </c>
      <c r="E608" s="33"/>
      <c r="H608" s="34"/>
      <c r="Q608" s="29"/>
      <c r="R608" s="35"/>
      <c r="S608" s="36"/>
      <c r="V608" s="37"/>
      <c r="W608" s="32"/>
      <c r="X608" s="37" t="str">
        <f>IF(NOTA[[#This Row],[HARGA/ CTN]]="",NOTA[[#This Row],[JUMLAH_H]],NOTA[[#This Row],[HARGA/ CTN]]*IF(NOTA[[#This Row],[C]]="",0,NOTA[[#This Row],[C]]))</f>
        <v/>
      </c>
      <c r="Y608" s="37" t="str">
        <f>IF(NOTA[[#This Row],[JUMLAH]]="","",NOTA[[#This Row],[JUMLAH]]*NOTA[[#This Row],[DISC 1]])</f>
        <v/>
      </c>
      <c r="Z608" s="37" t="str">
        <f>IF(NOTA[[#This Row],[JUMLAH]]="","",(NOTA[[#This Row],[JUMLAH]]-NOTA[[#This Row],[DISC 1-]])*NOTA[[#This Row],[DISC 2]])</f>
        <v/>
      </c>
      <c r="AA608" s="37" t="str">
        <f>IF(NOTA[[#This Row],[JUMLAH]]="","",(NOTA[[#This Row],[JUMLAH]]-NOTA[[#This Row],[DISC 1-]]-NOTA[[#This Row],[DISC 2-]])*NOTA[[#This Row],[DISC 3]])</f>
        <v/>
      </c>
      <c r="AB608" s="37" t="str">
        <f>IF(NOTA[[#This Row],[JUMLAH]]="","",NOTA[[#This Row],[DISC 1-]]+NOTA[[#This Row],[DISC 2-]]+NOTA[[#This Row],[DISC 3-]])</f>
        <v/>
      </c>
      <c r="AC608" s="37" t="str">
        <f>IF(NOTA[[#This Row],[JUMLAH]]="","",NOTA[[#This Row],[JUMLAH]]-NOTA[[#This Row],[DISC]])</f>
        <v/>
      </c>
      <c r="AD608" s="37"/>
      <c r="AE6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8" s="37" t="str">
        <f>IF(OR(NOTA[[#This Row],[QTY]]="",NOTA[[#This Row],[HARGA SATUAN]]="",),"",NOTA[[#This Row],[QTY]]*NOTA[[#This Row],[HARGA SATUAN]])</f>
        <v/>
      </c>
      <c r="AI608" s="26" t="str">
        <f ca="1">IF(NOTA[[#This Row],[ID_H]]="","",INDEX(NOTA[TANGGAL],MATCH(,INDIRECT(ADDRESS(ROW(NOTA[TANGGAL]),COLUMN(NOTA[TANGGAL]))&amp;":"&amp;ADDRESS(ROW(),COLUMN(NOTA[TANGGAL]))),-1)))</f>
        <v/>
      </c>
      <c r="AJ608" s="26" t="str">
        <f ca="1">IF(NOTA[[#This Row],[ID_H]]="","",INDEX(NOTA[TGL.NOTA],MATCH(,INDIRECT(ADDRESS(ROW(NOTA[TGL.NOTA]),COLUMN(NOTA[TGL.NOTA]))&amp;":"&amp;ADDRESS(ROW(),COLUMN(NOTA[TGL.NOTA]))),-1)))</f>
        <v/>
      </c>
      <c r="AK608" s="26" t="str">
        <f ca="1">IF(NOTA[[#This Row],[ID_H]]="","",INDEX(NOTA[NO.NOTA],MATCH(NOTA[[#This Row],[ID_H]],NOTA[ID_H],0)))</f>
        <v/>
      </c>
      <c r="AL608" s="28" t="str">
        <f ca="1">IF(NOTA[[#This Row],[NAMA BARANG]]="","",INDEX(NOTA[SUPPLIER],MATCH(,INDIRECT(ADDRESS(ROW(NOTA[ID]),COLUMN(NOTA[ID]))&amp;":"&amp;ADDRESS(ROW(),COLUMN(NOTA[ID]))),-1)))</f>
        <v/>
      </c>
      <c r="AM608" s="28" t="str">
        <f ca="1">IF(NOTA[[#This Row],[ID_H]]="","",IF(NOTA[[#This Row],[FAKTUR]]="",INDIRECT(ADDRESS(ROW()-1,COLUMN())),NOTA[[#This Row],[FAKTUR]]))</f>
        <v/>
      </c>
      <c r="AN608" s="25" t="str">
        <f ca="1">IF(NOTA[[#This Row],[ID]]="","",COUNTIF(NOTA[ID_H],NOTA[[#This Row],[ID_H]]))</f>
        <v/>
      </c>
      <c r="AO608" s="25" t="str">
        <f ca="1">IF(NOTA[[#This Row],[TGL.NOTA]]="",IF(NOTA[[#This Row],[SUPPLIER_H]]="","",AO607),MONTH(NOTA[[#This Row],[TGL.NOTA]]))</f>
        <v/>
      </c>
      <c r="AP6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8" s="25"/>
      <c r="AU608" s="25" t="str">
        <f>IF(NOTA[[#This Row],[CONCAT1]]="","",MATCH(NOTA[[#This Row],[CONCAT1]],[3]!db[NB NOTA_C],0))</f>
        <v/>
      </c>
      <c r="AV608" s="25" t="str">
        <f>IF(NOTA[[#This Row],[QTY/ CTN]]="","",TRUE)</f>
        <v/>
      </c>
      <c r="AW608" s="25" t="str">
        <f ca="1">IF(NOTA[[#This Row],[ID_H]]="","",IF(NOTA[[#This Row],[Column3]]=TRUE,NOTA[[#This Row],[QTY/ CTN]],INDEX([3]!db[QTY/ CTN],NOTA[[#This Row],[//DB]])))</f>
        <v/>
      </c>
      <c r="AX6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8" s="25" t="str">
        <f ca="1">IF(NOTA[[#This Row],[ID_H]]="","",MATCH(NOTA[[#This Row],[NB NOTA_C_QTY]],[3]!db[NB NOTA_C_QTY+F],0))</f>
        <v/>
      </c>
      <c r="AZ608" s="38" t="str">
        <f ca="1">IF(NOTA[[#This Row],[NB NOTA_C_QTY]]="","",ROW()-2)</f>
        <v/>
      </c>
    </row>
    <row r="609" spans="1:52" ht="20.100000000000001" customHeight="1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9" s="25" t="str">
        <f ca="1">IF(NOTA[[#This Row],[NAMA BARANG]]="","",INDEX(NOTA[ID],MATCH(,INDIRECT(ADDRESS(ROW(NOTA[ID]),COLUMN(NOTA[ID]))&amp;":"&amp;ADDRESS(ROW(),COLUMN(NOTA[ID]))),-1)))</f>
        <v/>
      </c>
      <c r="E609" s="33"/>
      <c r="H609" s="34"/>
      <c r="Q609" s="29"/>
      <c r="R609" s="35"/>
      <c r="S609" s="36"/>
      <c r="V609" s="37"/>
      <c r="W609" s="32"/>
      <c r="X609" s="37" t="str">
        <f>IF(NOTA[[#This Row],[HARGA/ CTN]]="",NOTA[[#This Row],[JUMLAH_H]],NOTA[[#This Row],[HARGA/ CTN]]*IF(NOTA[[#This Row],[C]]="",0,NOTA[[#This Row],[C]]))</f>
        <v/>
      </c>
      <c r="Y609" s="37" t="str">
        <f>IF(NOTA[[#This Row],[JUMLAH]]="","",NOTA[[#This Row],[JUMLAH]]*NOTA[[#This Row],[DISC 1]])</f>
        <v/>
      </c>
      <c r="Z609" s="37" t="str">
        <f>IF(NOTA[[#This Row],[JUMLAH]]="","",(NOTA[[#This Row],[JUMLAH]]-NOTA[[#This Row],[DISC 1-]])*NOTA[[#This Row],[DISC 2]])</f>
        <v/>
      </c>
      <c r="AA609" s="37" t="str">
        <f>IF(NOTA[[#This Row],[JUMLAH]]="","",(NOTA[[#This Row],[JUMLAH]]-NOTA[[#This Row],[DISC 1-]]-NOTA[[#This Row],[DISC 2-]])*NOTA[[#This Row],[DISC 3]])</f>
        <v/>
      </c>
      <c r="AB609" s="37" t="str">
        <f>IF(NOTA[[#This Row],[JUMLAH]]="","",NOTA[[#This Row],[DISC 1-]]+NOTA[[#This Row],[DISC 2-]]+NOTA[[#This Row],[DISC 3-]])</f>
        <v/>
      </c>
      <c r="AC609" s="37" t="str">
        <f>IF(NOTA[[#This Row],[JUMLAH]]="","",NOTA[[#This Row],[JUMLAH]]-NOTA[[#This Row],[DISC]])</f>
        <v/>
      </c>
      <c r="AD609" s="37"/>
      <c r="AE6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9" s="37" t="str">
        <f>IF(OR(NOTA[[#This Row],[QTY]]="",NOTA[[#This Row],[HARGA SATUAN]]="",),"",NOTA[[#This Row],[QTY]]*NOTA[[#This Row],[HARGA SATUAN]])</f>
        <v/>
      </c>
      <c r="AI609" s="26" t="str">
        <f ca="1">IF(NOTA[[#This Row],[ID_H]]="","",INDEX(NOTA[TANGGAL],MATCH(,INDIRECT(ADDRESS(ROW(NOTA[TANGGAL]),COLUMN(NOTA[TANGGAL]))&amp;":"&amp;ADDRESS(ROW(),COLUMN(NOTA[TANGGAL]))),-1)))</f>
        <v/>
      </c>
      <c r="AJ609" s="26" t="str">
        <f ca="1">IF(NOTA[[#This Row],[ID_H]]="","",INDEX(NOTA[TGL.NOTA],MATCH(,INDIRECT(ADDRESS(ROW(NOTA[TGL.NOTA]),COLUMN(NOTA[TGL.NOTA]))&amp;":"&amp;ADDRESS(ROW(),COLUMN(NOTA[TGL.NOTA]))),-1)))</f>
        <v/>
      </c>
      <c r="AK609" s="26" t="str">
        <f ca="1">IF(NOTA[[#This Row],[ID_H]]="","",INDEX(NOTA[NO.NOTA],MATCH(NOTA[[#This Row],[ID_H]],NOTA[ID_H],0)))</f>
        <v/>
      </c>
      <c r="AL609" s="28" t="str">
        <f ca="1">IF(NOTA[[#This Row],[NAMA BARANG]]="","",INDEX(NOTA[SUPPLIER],MATCH(,INDIRECT(ADDRESS(ROW(NOTA[ID]),COLUMN(NOTA[ID]))&amp;":"&amp;ADDRESS(ROW(),COLUMN(NOTA[ID]))),-1)))</f>
        <v/>
      </c>
      <c r="AM609" s="28" t="str">
        <f ca="1">IF(NOTA[[#This Row],[ID_H]]="","",IF(NOTA[[#This Row],[FAKTUR]]="",INDIRECT(ADDRESS(ROW()-1,COLUMN())),NOTA[[#This Row],[FAKTUR]]))</f>
        <v/>
      </c>
      <c r="AN609" s="25" t="str">
        <f ca="1">IF(NOTA[[#This Row],[ID]]="","",COUNTIF(NOTA[ID_H],NOTA[[#This Row],[ID_H]]))</f>
        <v/>
      </c>
      <c r="AO609" s="25" t="str">
        <f ca="1">IF(NOTA[[#This Row],[TGL.NOTA]]="",IF(NOTA[[#This Row],[SUPPLIER_H]]="","",AO608),MONTH(NOTA[[#This Row],[TGL.NOTA]]))</f>
        <v/>
      </c>
      <c r="AP6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9" s="25"/>
      <c r="AU609" s="25" t="str">
        <f>IF(NOTA[[#This Row],[CONCAT1]]="","",MATCH(NOTA[[#This Row],[CONCAT1]],[3]!db[NB NOTA_C],0))</f>
        <v/>
      </c>
      <c r="AV609" s="25" t="str">
        <f>IF(NOTA[[#This Row],[QTY/ CTN]]="","",TRUE)</f>
        <v/>
      </c>
      <c r="AW609" s="25" t="str">
        <f ca="1">IF(NOTA[[#This Row],[ID_H]]="","",IF(NOTA[[#This Row],[Column3]]=TRUE,NOTA[[#This Row],[QTY/ CTN]],INDEX([3]!db[QTY/ CTN],NOTA[[#This Row],[//DB]])))</f>
        <v/>
      </c>
      <c r="AX6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9" s="25" t="str">
        <f ca="1">IF(NOTA[[#This Row],[ID_H]]="","",MATCH(NOTA[[#This Row],[NB NOTA_C_QTY]],[3]!db[NB NOTA_C_QTY+F],0))</f>
        <v/>
      </c>
      <c r="AZ609" s="38" t="str">
        <f ca="1">IF(NOTA[[#This Row],[NB NOTA_C_QTY]]="","",ROW()-2)</f>
        <v/>
      </c>
    </row>
    <row r="610" spans="1:52" ht="20.100000000000001" customHeight="1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0" s="25" t="str">
        <f ca="1">IF(NOTA[[#This Row],[NAMA BARANG]]="","",INDEX(NOTA[ID],MATCH(,INDIRECT(ADDRESS(ROW(NOTA[ID]),COLUMN(NOTA[ID]))&amp;":"&amp;ADDRESS(ROW(),COLUMN(NOTA[ID]))),-1)))</f>
        <v/>
      </c>
      <c r="E610" s="33"/>
      <c r="H610" s="34"/>
      <c r="Q610" s="29"/>
      <c r="R610" s="35"/>
      <c r="S610" s="36"/>
      <c r="V610" s="37"/>
      <c r="W610" s="32"/>
      <c r="X610" s="37" t="str">
        <f>IF(NOTA[[#This Row],[HARGA/ CTN]]="",NOTA[[#This Row],[JUMLAH_H]],NOTA[[#This Row],[HARGA/ CTN]]*IF(NOTA[[#This Row],[C]]="",0,NOTA[[#This Row],[C]]))</f>
        <v/>
      </c>
      <c r="Y610" s="37" t="str">
        <f>IF(NOTA[[#This Row],[JUMLAH]]="","",NOTA[[#This Row],[JUMLAH]]*NOTA[[#This Row],[DISC 1]])</f>
        <v/>
      </c>
      <c r="Z610" s="37" t="str">
        <f>IF(NOTA[[#This Row],[JUMLAH]]="","",(NOTA[[#This Row],[JUMLAH]]-NOTA[[#This Row],[DISC 1-]])*NOTA[[#This Row],[DISC 2]])</f>
        <v/>
      </c>
      <c r="AA610" s="37" t="str">
        <f>IF(NOTA[[#This Row],[JUMLAH]]="","",(NOTA[[#This Row],[JUMLAH]]-NOTA[[#This Row],[DISC 1-]]-NOTA[[#This Row],[DISC 2-]])*NOTA[[#This Row],[DISC 3]])</f>
        <v/>
      </c>
      <c r="AB610" s="37" t="str">
        <f>IF(NOTA[[#This Row],[JUMLAH]]="","",NOTA[[#This Row],[DISC 1-]]+NOTA[[#This Row],[DISC 2-]]+NOTA[[#This Row],[DISC 3-]])</f>
        <v/>
      </c>
      <c r="AC610" s="37" t="str">
        <f>IF(NOTA[[#This Row],[JUMLAH]]="","",NOTA[[#This Row],[JUMLAH]]-NOTA[[#This Row],[DISC]])</f>
        <v/>
      </c>
      <c r="AD610" s="37"/>
      <c r="AE6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0" s="37" t="str">
        <f>IF(OR(NOTA[[#This Row],[QTY]]="",NOTA[[#This Row],[HARGA SATUAN]]="",),"",NOTA[[#This Row],[QTY]]*NOTA[[#This Row],[HARGA SATUAN]])</f>
        <v/>
      </c>
      <c r="AI610" s="26" t="str">
        <f ca="1">IF(NOTA[[#This Row],[ID_H]]="","",INDEX(NOTA[TANGGAL],MATCH(,INDIRECT(ADDRESS(ROW(NOTA[TANGGAL]),COLUMN(NOTA[TANGGAL]))&amp;":"&amp;ADDRESS(ROW(),COLUMN(NOTA[TANGGAL]))),-1)))</f>
        <v/>
      </c>
      <c r="AJ610" s="26" t="str">
        <f ca="1">IF(NOTA[[#This Row],[ID_H]]="","",INDEX(NOTA[TGL.NOTA],MATCH(,INDIRECT(ADDRESS(ROW(NOTA[TGL.NOTA]),COLUMN(NOTA[TGL.NOTA]))&amp;":"&amp;ADDRESS(ROW(),COLUMN(NOTA[TGL.NOTA]))),-1)))</f>
        <v/>
      </c>
      <c r="AK610" s="26" t="str">
        <f ca="1">IF(NOTA[[#This Row],[ID_H]]="","",INDEX(NOTA[NO.NOTA],MATCH(NOTA[[#This Row],[ID_H]],NOTA[ID_H],0)))</f>
        <v/>
      </c>
      <c r="AL610" s="28" t="str">
        <f ca="1">IF(NOTA[[#This Row],[NAMA BARANG]]="","",INDEX(NOTA[SUPPLIER],MATCH(,INDIRECT(ADDRESS(ROW(NOTA[ID]),COLUMN(NOTA[ID]))&amp;":"&amp;ADDRESS(ROW(),COLUMN(NOTA[ID]))),-1)))</f>
        <v/>
      </c>
      <c r="AM610" s="28" t="str">
        <f ca="1">IF(NOTA[[#This Row],[ID_H]]="","",IF(NOTA[[#This Row],[FAKTUR]]="",INDIRECT(ADDRESS(ROW()-1,COLUMN())),NOTA[[#This Row],[FAKTUR]]))</f>
        <v/>
      </c>
      <c r="AN610" s="25" t="str">
        <f ca="1">IF(NOTA[[#This Row],[ID]]="","",COUNTIF(NOTA[ID_H],NOTA[[#This Row],[ID_H]]))</f>
        <v/>
      </c>
      <c r="AO610" s="25" t="str">
        <f ca="1">IF(NOTA[[#This Row],[TGL.NOTA]]="",IF(NOTA[[#This Row],[SUPPLIER_H]]="","",AO609),MONTH(NOTA[[#This Row],[TGL.NOTA]]))</f>
        <v/>
      </c>
      <c r="AP6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0" s="25"/>
      <c r="AU610" s="25" t="str">
        <f>IF(NOTA[[#This Row],[CONCAT1]]="","",MATCH(NOTA[[#This Row],[CONCAT1]],[3]!db[NB NOTA_C],0))</f>
        <v/>
      </c>
      <c r="AV610" s="25" t="str">
        <f>IF(NOTA[[#This Row],[QTY/ CTN]]="","",TRUE)</f>
        <v/>
      </c>
      <c r="AW610" s="25" t="str">
        <f ca="1">IF(NOTA[[#This Row],[ID_H]]="","",IF(NOTA[[#This Row],[Column3]]=TRUE,NOTA[[#This Row],[QTY/ CTN]],INDEX([3]!db[QTY/ CTN],NOTA[[#This Row],[//DB]])))</f>
        <v/>
      </c>
      <c r="AX6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0" s="25" t="str">
        <f ca="1">IF(NOTA[[#This Row],[ID_H]]="","",MATCH(NOTA[[#This Row],[NB NOTA_C_QTY]],[3]!db[NB NOTA_C_QTY+F],0))</f>
        <v/>
      </c>
      <c r="AZ610" s="38" t="str">
        <f ca="1">IF(NOTA[[#This Row],[NB NOTA_C_QTY]]="","",ROW()-2)</f>
        <v/>
      </c>
    </row>
    <row r="611" spans="1:52" ht="20.100000000000001" customHeight="1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1" s="25" t="str">
        <f ca="1">IF(NOTA[[#This Row],[NAMA BARANG]]="","",INDEX(NOTA[ID],MATCH(,INDIRECT(ADDRESS(ROW(NOTA[ID]),COLUMN(NOTA[ID]))&amp;":"&amp;ADDRESS(ROW(),COLUMN(NOTA[ID]))),-1)))</f>
        <v/>
      </c>
      <c r="E611" s="33"/>
      <c r="H611" s="34"/>
      <c r="Q611" s="29"/>
      <c r="R611" s="35"/>
      <c r="S611" s="36"/>
      <c r="V611" s="37"/>
      <c r="W611" s="32"/>
      <c r="X611" s="37" t="str">
        <f>IF(NOTA[[#This Row],[HARGA/ CTN]]="",NOTA[[#This Row],[JUMLAH_H]],NOTA[[#This Row],[HARGA/ CTN]]*IF(NOTA[[#This Row],[C]]="",0,NOTA[[#This Row],[C]]))</f>
        <v/>
      </c>
      <c r="Y611" s="37" t="str">
        <f>IF(NOTA[[#This Row],[JUMLAH]]="","",NOTA[[#This Row],[JUMLAH]]*NOTA[[#This Row],[DISC 1]])</f>
        <v/>
      </c>
      <c r="Z611" s="37" t="str">
        <f>IF(NOTA[[#This Row],[JUMLAH]]="","",(NOTA[[#This Row],[JUMLAH]]-NOTA[[#This Row],[DISC 1-]])*NOTA[[#This Row],[DISC 2]])</f>
        <v/>
      </c>
      <c r="AA611" s="37" t="str">
        <f>IF(NOTA[[#This Row],[JUMLAH]]="","",(NOTA[[#This Row],[JUMLAH]]-NOTA[[#This Row],[DISC 1-]]-NOTA[[#This Row],[DISC 2-]])*NOTA[[#This Row],[DISC 3]])</f>
        <v/>
      </c>
      <c r="AB611" s="37" t="str">
        <f>IF(NOTA[[#This Row],[JUMLAH]]="","",NOTA[[#This Row],[DISC 1-]]+NOTA[[#This Row],[DISC 2-]]+NOTA[[#This Row],[DISC 3-]])</f>
        <v/>
      </c>
      <c r="AC611" s="37" t="str">
        <f>IF(NOTA[[#This Row],[JUMLAH]]="","",NOTA[[#This Row],[JUMLAH]]-NOTA[[#This Row],[DISC]])</f>
        <v/>
      </c>
      <c r="AD611" s="37"/>
      <c r="AE6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1" s="37" t="str">
        <f>IF(OR(NOTA[[#This Row],[QTY]]="",NOTA[[#This Row],[HARGA SATUAN]]="",),"",NOTA[[#This Row],[QTY]]*NOTA[[#This Row],[HARGA SATUAN]])</f>
        <v/>
      </c>
      <c r="AI611" s="26" t="str">
        <f ca="1">IF(NOTA[[#This Row],[ID_H]]="","",INDEX(NOTA[TANGGAL],MATCH(,INDIRECT(ADDRESS(ROW(NOTA[TANGGAL]),COLUMN(NOTA[TANGGAL]))&amp;":"&amp;ADDRESS(ROW(),COLUMN(NOTA[TANGGAL]))),-1)))</f>
        <v/>
      </c>
      <c r="AJ611" s="26" t="str">
        <f ca="1">IF(NOTA[[#This Row],[ID_H]]="","",INDEX(NOTA[TGL.NOTA],MATCH(,INDIRECT(ADDRESS(ROW(NOTA[TGL.NOTA]),COLUMN(NOTA[TGL.NOTA]))&amp;":"&amp;ADDRESS(ROW(),COLUMN(NOTA[TGL.NOTA]))),-1)))</f>
        <v/>
      </c>
      <c r="AK611" s="26" t="str">
        <f ca="1">IF(NOTA[[#This Row],[ID_H]]="","",INDEX(NOTA[NO.NOTA],MATCH(NOTA[[#This Row],[ID_H]],NOTA[ID_H],0)))</f>
        <v/>
      </c>
      <c r="AL611" s="28" t="str">
        <f ca="1">IF(NOTA[[#This Row],[NAMA BARANG]]="","",INDEX(NOTA[SUPPLIER],MATCH(,INDIRECT(ADDRESS(ROW(NOTA[ID]),COLUMN(NOTA[ID]))&amp;":"&amp;ADDRESS(ROW(),COLUMN(NOTA[ID]))),-1)))</f>
        <v/>
      </c>
      <c r="AM611" s="28" t="str">
        <f ca="1">IF(NOTA[[#This Row],[ID_H]]="","",IF(NOTA[[#This Row],[FAKTUR]]="",INDIRECT(ADDRESS(ROW()-1,COLUMN())),NOTA[[#This Row],[FAKTUR]]))</f>
        <v/>
      </c>
      <c r="AN611" s="25" t="str">
        <f ca="1">IF(NOTA[[#This Row],[ID]]="","",COUNTIF(NOTA[ID_H],NOTA[[#This Row],[ID_H]]))</f>
        <v/>
      </c>
      <c r="AO611" s="25" t="str">
        <f ca="1">IF(NOTA[[#This Row],[TGL.NOTA]]="",IF(NOTA[[#This Row],[SUPPLIER_H]]="","",AO610),MONTH(NOTA[[#This Row],[TGL.NOTA]]))</f>
        <v/>
      </c>
      <c r="AP6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1" s="25"/>
      <c r="AU611" s="25" t="str">
        <f>IF(NOTA[[#This Row],[CONCAT1]]="","",MATCH(NOTA[[#This Row],[CONCAT1]],[3]!db[NB NOTA_C],0))</f>
        <v/>
      </c>
      <c r="AV611" s="25" t="str">
        <f>IF(NOTA[[#This Row],[QTY/ CTN]]="","",TRUE)</f>
        <v/>
      </c>
      <c r="AW611" s="25" t="str">
        <f ca="1">IF(NOTA[[#This Row],[ID_H]]="","",IF(NOTA[[#This Row],[Column3]]=TRUE,NOTA[[#This Row],[QTY/ CTN]],INDEX([3]!db[QTY/ CTN],NOTA[[#This Row],[//DB]])))</f>
        <v/>
      </c>
      <c r="AX6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1" s="25" t="str">
        <f ca="1">IF(NOTA[[#This Row],[ID_H]]="","",MATCH(NOTA[[#This Row],[NB NOTA_C_QTY]],[3]!db[NB NOTA_C_QTY+F],0))</f>
        <v/>
      </c>
      <c r="AZ611" s="38" t="str">
        <f ca="1">IF(NOTA[[#This Row],[NB NOTA_C_QTY]]="","",ROW()-2)</f>
        <v/>
      </c>
    </row>
    <row r="612" spans="1:52" ht="20.100000000000001" customHeight="1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2" s="25" t="str">
        <f ca="1">IF(NOTA[[#This Row],[NAMA BARANG]]="","",INDEX(NOTA[ID],MATCH(,INDIRECT(ADDRESS(ROW(NOTA[ID]),COLUMN(NOTA[ID]))&amp;":"&amp;ADDRESS(ROW(),COLUMN(NOTA[ID]))),-1)))</f>
        <v/>
      </c>
      <c r="E612" s="33"/>
      <c r="H612" s="34"/>
      <c r="Q612" s="29"/>
      <c r="R612" s="35"/>
      <c r="S612" s="36"/>
      <c r="V612" s="37"/>
      <c r="W612" s="32"/>
      <c r="X612" s="37" t="str">
        <f>IF(NOTA[[#This Row],[HARGA/ CTN]]="",NOTA[[#This Row],[JUMLAH_H]],NOTA[[#This Row],[HARGA/ CTN]]*IF(NOTA[[#This Row],[C]]="",0,NOTA[[#This Row],[C]]))</f>
        <v/>
      </c>
      <c r="Y612" s="37" t="str">
        <f>IF(NOTA[[#This Row],[JUMLAH]]="","",NOTA[[#This Row],[JUMLAH]]*NOTA[[#This Row],[DISC 1]])</f>
        <v/>
      </c>
      <c r="Z612" s="37" t="str">
        <f>IF(NOTA[[#This Row],[JUMLAH]]="","",(NOTA[[#This Row],[JUMLAH]]-NOTA[[#This Row],[DISC 1-]])*NOTA[[#This Row],[DISC 2]])</f>
        <v/>
      </c>
      <c r="AA612" s="37" t="str">
        <f>IF(NOTA[[#This Row],[JUMLAH]]="","",(NOTA[[#This Row],[JUMLAH]]-NOTA[[#This Row],[DISC 1-]]-NOTA[[#This Row],[DISC 2-]])*NOTA[[#This Row],[DISC 3]])</f>
        <v/>
      </c>
      <c r="AB612" s="37" t="str">
        <f>IF(NOTA[[#This Row],[JUMLAH]]="","",NOTA[[#This Row],[DISC 1-]]+NOTA[[#This Row],[DISC 2-]]+NOTA[[#This Row],[DISC 3-]])</f>
        <v/>
      </c>
      <c r="AC612" s="37" t="str">
        <f>IF(NOTA[[#This Row],[JUMLAH]]="","",NOTA[[#This Row],[JUMLAH]]-NOTA[[#This Row],[DISC]])</f>
        <v/>
      </c>
      <c r="AD612" s="37"/>
      <c r="AE6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2" s="37" t="str">
        <f>IF(OR(NOTA[[#This Row],[QTY]]="",NOTA[[#This Row],[HARGA SATUAN]]="",),"",NOTA[[#This Row],[QTY]]*NOTA[[#This Row],[HARGA SATUAN]])</f>
        <v/>
      </c>
      <c r="AI612" s="26" t="str">
        <f ca="1">IF(NOTA[[#This Row],[ID_H]]="","",INDEX(NOTA[TANGGAL],MATCH(,INDIRECT(ADDRESS(ROW(NOTA[TANGGAL]),COLUMN(NOTA[TANGGAL]))&amp;":"&amp;ADDRESS(ROW(),COLUMN(NOTA[TANGGAL]))),-1)))</f>
        <v/>
      </c>
      <c r="AJ612" s="26" t="str">
        <f ca="1">IF(NOTA[[#This Row],[ID_H]]="","",INDEX(NOTA[TGL.NOTA],MATCH(,INDIRECT(ADDRESS(ROW(NOTA[TGL.NOTA]),COLUMN(NOTA[TGL.NOTA]))&amp;":"&amp;ADDRESS(ROW(),COLUMN(NOTA[TGL.NOTA]))),-1)))</f>
        <v/>
      </c>
      <c r="AK612" s="26" t="str">
        <f ca="1">IF(NOTA[[#This Row],[ID_H]]="","",INDEX(NOTA[NO.NOTA],MATCH(NOTA[[#This Row],[ID_H]],NOTA[ID_H],0)))</f>
        <v/>
      </c>
      <c r="AL612" s="28" t="str">
        <f ca="1">IF(NOTA[[#This Row],[NAMA BARANG]]="","",INDEX(NOTA[SUPPLIER],MATCH(,INDIRECT(ADDRESS(ROW(NOTA[ID]),COLUMN(NOTA[ID]))&amp;":"&amp;ADDRESS(ROW(),COLUMN(NOTA[ID]))),-1)))</f>
        <v/>
      </c>
      <c r="AM612" s="28" t="str">
        <f ca="1">IF(NOTA[[#This Row],[ID_H]]="","",IF(NOTA[[#This Row],[FAKTUR]]="",INDIRECT(ADDRESS(ROW()-1,COLUMN())),NOTA[[#This Row],[FAKTUR]]))</f>
        <v/>
      </c>
      <c r="AN612" s="25" t="str">
        <f ca="1">IF(NOTA[[#This Row],[ID]]="","",COUNTIF(NOTA[ID_H],NOTA[[#This Row],[ID_H]]))</f>
        <v/>
      </c>
      <c r="AO612" s="25" t="str">
        <f ca="1">IF(NOTA[[#This Row],[TGL.NOTA]]="",IF(NOTA[[#This Row],[SUPPLIER_H]]="","",AO611),MONTH(NOTA[[#This Row],[TGL.NOTA]]))</f>
        <v/>
      </c>
      <c r="AP6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2" s="25"/>
      <c r="AU612" s="25" t="str">
        <f>IF(NOTA[[#This Row],[CONCAT1]]="","",MATCH(NOTA[[#This Row],[CONCAT1]],[3]!db[NB NOTA_C],0))</f>
        <v/>
      </c>
      <c r="AV612" s="25" t="str">
        <f>IF(NOTA[[#This Row],[QTY/ CTN]]="","",TRUE)</f>
        <v/>
      </c>
      <c r="AW612" s="25" t="str">
        <f ca="1">IF(NOTA[[#This Row],[ID_H]]="","",IF(NOTA[[#This Row],[Column3]]=TRUE,NOTA[[#This Row],[QTY/ CTN]],INDEX([3]!db[QTY/ CTN],NOTA[[#This Row],[//DB]])))</f>
        <v/>
      </c>
      <c r="AX6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2" s="25" t="str">
        <f ca="1">IF(NOTA[[#This Row],[ID_H]]="","",MATCH(NOTA[[#This Row],[NB NOTA_C_QTY]],[3]!db[NB NOTA_C_QTY+F],0))</f>
        <v/>
      </c>
      <c r="AZ612" s="38" t="str">
        <f ca="1">IF(NOTA[[#This Row],[NB NOTA_C_QTY]]="","",ROW()-2)</f>
        <v/>
      </c>
    </row>
    <row r="613" spans="1:52" ht="20.100000000000001" customHeight="1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3" s="25" t="str">
        <f ca="1">IF(NOTA[[#This Row],[NAMA BARANG]]="","",INDEX(NOTA[ID],MATCH(,INDIRECT(ADDRESS(ROW(NOTA[ID]),COLUMN(NOTA[ID]))&amp;":"&amp;ADDRESS(ROW(),COLUMN(NOTA[ID]))),-1)))</f>
        <v/>
      </c>
      <c r="E613" s="33"/>
      <c r="H613" s="34"/>
      <c r="Q613" s="29"/>
      <c r="R613" s="35"/>
      <c r="S613" s="36"/>
      <c r="V613" s="37"/>
      <c r="W613" s="32"/>
      <c r="X613" s="37" t="str">
        <f>IF(NOTA[[#This Row],[HARGA/ CTN]]="",NOTA[[#This Row],[JUMLAH_H]],NOTA[[#This Row],[HARGA/ CTN]]*IF(NOTA[[#This Row],[C]]="",0,NOTA[[#This Row],[C]]))</f>
        <v/>
      </c>
      <c r="Y613" s="37" t="str">
        <f>IF(NOTA[[#This Row],[JUMLAH]]="","",NOTA[[#This Row],[JUMLAH]]*NOTA[[#This Row],[DISC 1]])</f>
        <v/>
      </c>
      <c r="Z613" s="37" t="str">
        <f>IF(NOTA[[#This Row],[JUMLAH]]="","",(NOTA[[#This Row],[JUMLAH]]-NOTA[[#This Row],[DISC 1-]])*NOTA[[#This Row],[DISC 2]])</f>
        <v/>
      </c>
      <c r="AA613" s="37" t="str">
        <f>IF(NOTA[[#This Row],[JUMLAH]]="","",(NOTA[[#This Row],[JUMLAH]]-NOTA[[#This Row],[DISC 1-]]-NOTA[[#This Row],[DISC 2-]])*NOTA[[#This Row],[DISC 3]])</f>
        <v/>
      </c>
      <c r="AB613" s="37" t="str">
        <f>IF(NOTA[[#This Row],[JUMLAH]]="","",NOTA[[#This Row],[DISC 1-]]+NOTA[[#This Row],[DISC 2-]]+NOTA[[#This Row],[DISC 3-]])</f>
        <v/>
      </c>
      <c r="AC613" s="37" t="str">
        <f>IF(NOTA[[#This Row],[JUMLAH]]="","",NOTA[[#This Row],[JUMLAH]]-NOTA[[#This Row],[DISC]])</f>
        <v/>
      </c>
      <c r="AD613" s="37"/>
      <c r="AE6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3" s="37" t="str">
        <f>IF(OR(NOTA[[#This Row],[QTY]]="",NOTA[[#This Row],[HARGA SATUAN]]="",),"",NOTA[[#This Row],[QTY]]*NOTA[[#This Row],[HARGA SATUAN]])</f>
        <v/>
      </c>
      <c r="AI613" s="26" t="str">
        <f ca="1">IF(NOTA[[#This Row],[ID_H]]="","",INDEX(NOTA[TANGGAL],MATCH(,INDIRECT(ADDRESS(ROW(NOTA[TANGGAL]),COLUMN(NOTA[TANGGAL]))&amp;":"&amp;ADDRESS(ROW(),COLUMN(NOTA[TANGGAL]))),-1)))</f>
        <v/>
      </c>
      <c r="AJ613" s="26" t="str">
        <f ca="1">IF(NOTA[[#This Row],[ID_H]]="","",INDEX(NOTA[TGL.NOTA],MATCH(,INDIRECT(ADDRESS(ROW(NOTA[TGL.NOTA]),COLUMN(NOTA[TGL.NOTA]))&amp;":"&amp;ADDRESS(ROW(),COLUMN(NOTA[TGL.NOTA]))),-1)))</f>
        <v/>
      </c>
      <c r="AK613" s="26" t="str">
        <f ca="1">IF(NOTA[[#This Row],[ID_H]]="","",INDEX(NOTA[NO.NOTA],MATCH(NOTA[[#This Row],[ID_H]],NOTA[ID_H],0)))</f>
        <v/>
      </c>
      <c r="AL613" s="28" t="str">
        <f ca="1">IF(NOTA[[#This Row],[NAMA BARANG]]="","",INDEX(NOTA[SUPPLIER],MATCH(,INDIRECT(ADDRESS(ROW(NOTA[ID]),COLUMN(NOTA[ID]))&amp;":"&amp;ADDRESS(ROW(),COLUMN(NOTA[ID]))),-1)))</f>
        <v/>
      </c>
      <c r="AM613" s="28" t="str">
        <f ca="1">IF(NOTA[[#This Row],[ID_H]]="","",IF(NOTA[[#This Row],[FAKTUR]]="",INDIRECT(ADDRESS(ROW()-1,COLUMN())),NOTA[[#This Row],[FAKTUR]]))</f>
        <v/>
      </c>
      <c r="AN613" s="25" t="str">
        <f ca="1">IF(NOTA[[#This Row],[ID]]="","",COUNTIF(NOTA[ID_H],NOTA[[#This Row],[ID_H]]))</f>
        <v/>
      </c>
      <c r="AO613" s="25" t="str">
        <f ca="1">IF(NOTA[[#This Row],[TGL.NOTA]]="",IF(NOTA[[#This Row],[SUPPLIER_H]]="","",AO612),MONTH(NOTA[[#This Row],[TGL.NOTA]]))</f>
        <v/>
      </c>
      <c r="AP6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3" s="25"/>
      <c r="AU613" s="25" t="str">
        <f>IF(NOTA[[#This Row],[CONCAT1]]="","",MATCH(NOTA[[#This Row],[CONCAT1]],[3]!db[NB NOTA_C],0))</f>
        <v/>
      </c>
      <c r="AV613" s="25" t="str">
        <f>IF(NOTA[[#This Row],[QTY/ CTN]]="","",TRUE)</f>
        <v/>
      </c>
      <c r="AW613" s="25" t="str">
        <f ca="1">IF(NOTA[[#This Row],[ID_H]]="","",IF(NOTA[[#This Row],[Column3]]=TRUE,NOTA[[#This Row],[QTY/ CTN]],INDEX([3]!db[QTY/ CTN],NOTA[[#This Row],[//DB]])))</f>
        <v/>
      </c>
      <c r="AX6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3" s="25" t="str">
        <f ca="1">IF(NOTA[[#This Row],[ID_H]]="","",MATCH(NOTA[[#This Row],[NB NOTA_C_QTY]],[3]!db[NB NOTA_C_QTY+F],0))</f>
        <v/>
      </c>
      <c r="AZ613" s="38" t="str">
        <f ca="1">IF(NOTA[[#This Row],[NB NOTA_C_QTY]]="","",ROW()-2)</f>
        <v/>
      </c>
    </row>
    <row r="614" spans="1:52" ht="20.100000000000001" customHeight="1">
      <c r="A6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4" s="25" t="str">
        <f ca="1">IF(NOTA[[#This Row],[NAMA BARANG]]="","",INDEX(NOTA[ID],MATCH(,INDIRECT(ADDRESS(ROW(NOTA[ID]),COLUMN(NOTA[ID]))&amp;":"&amp;ADDRESS(ROW(),COLUMN(NOTA[ID]))),-1)))</f>
        <v/>
      </c>
      <c r="E614" s="33"/>
      <c r="H614" s="34"/>
      <c r="Q614" s="29"/>
      <c r="R614" s="35"/>
      <c r="S614" s="36"/>
      <c r="V614" s="37"/>
      <c r="W614" s="32"/>
      <c r="X614" s="37" t="str">
        <f>IF(NOTA[[#This Row],[HARGA/ CTN]]="",NOTA[[#This Row],[JUMLAH_H]],NOTA[[#This Row],[HARGA/ CTN]]*IF(NOTA[[#This Row],[C]]="",0,NOTA[[#This Row],[C]]))</f>
        <v/>
      </c>
      <c r="Y614" s="37" t="str">
        <f>IF(NOTA[[#This Row],[JUMLAH]]="","",NOTA[[#This Row],[JUMLAH]]*NOTA[[#This Row],[DISC 1]])</f>
        <v/>
      </c>
      <c r="Z614" s="37" t="str">
        <f>IF(NOTA[[#This Row],[JUMLAH]]="","",(NOTA[[#This Row],[JUMLAH]]-NOTA[[#This Row],[DISC 1-]])*NOTA[[#This Row],[DISC 2]])</f>
        <v/>
      </c>
      <c r="AA614" s="37" t="str">
        <f>IF(NOTA[[#This Row],[JUMLAH]]="","",(NOTA[[#This Row],[JUMLAH]]-NOTA[[#This Row],[DISC 1-]]-NOTA[[#This Row],[DISC 2-]])*NOTA[[#This Row],[DISC 3]])</f>
        <v/>
      </c>
      <c r="AB614" s="37" t="str">
        <f>IF(NOTA[[#This Row],[JUMLAH]]="","",NOTA[[#This Row],[DISC 1-]]+NOTA[[#This Row],[DISC 2-]]+NOTA[[#This Row],[DISC 3-]])</f>
        <v/>
      </c>
      <c r="AC614" s="37" t="str">
        <f>IF(NOTA[[#This Row],[JUMLAH]]="","",NOTA[[#This Row],[JUMLAH]]-NOTA[[#This Row],[DISC]])</f>
        <v/>
      </c>
      <c r="AD614" s="37"/>
      <c r="AE6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4" s="37" t="str">
        <f>IF(OR(NOTA[[#This Row],[QTY]]="",NOTA[[#This Row],[HARGA SATUAN]]="",),"",NOTA[[#This Row],[QTY]]*NOTA[[#This Row],[HARGA SATUAN]])</f>
        <v/>
      </c>
      <c r="AI614" s="26" t="str">
        <f ca="1">IF(NOTA[[#This Row],[ID_H]]="","",INDEX(NOTA[TANGGAL],MATCH(,INDIRECT(ADDRESS(ROW(NOTA[TANGGAL]),COLUMN(NOTA[TANGGAL]))&amp;":"&amp;ADDRESS(ROW(),COLUMN(NOTA[TANGGAL]))),-1)))</f>
        <v/>
      </c>
      <c r="AJ614" s="26" t="str">
        <f ca="1">IF(NOTA[[#This Row],[ID_H]]="","",INDEX(NOTA[TGL.NOTA],MATCH(,INDIRECT(ADDRESS(ROW(NOTA[TGL.NOTA]),COLUMN(NOTA[TGL.NOTA]))&amp;":"&amp;ADDRESS(ROW(),COLUMN(NOTA[TGL.NOTA]))),-1)))</f>
        <v/>
      </c>
      <c r="AK614" s="26" t="str">
        <f ca="1">IF(NOTA[[#This Row],[ID_H]]="","",INDEX(NOTA[NO.NOTA],MATCH(NOTA[[#This Row],[ID_H]],NOTA[ID_H],0)))</f>
        <v/>
      </c>
      <c r="AL614" s="28" t="str">
        <f ca="1">IF(NOTA[[#This Row],[NAMA BARANG]]="","",INDEX(NOTA[SUPPLIER],MATCH(,INDIRECT(ADDRESS(ROW(NOTA[ID]),COLUMN(NOTA[ID]))&amp;":"&amp;ADDRESS(ROW(),COLUMN(NOTA[ID]))),-1)))</f>
        <v/>
      </c>
      <c r="AM614" s="28" t="str">
        <f ca="1">IF(NOTA[[#This Row],[ID_H]]="","",IF(NOTA[[#This Row],[FAKTUR]]="",INDIRECT(ADDRESS(ROW()-1,COLUMN())),NOTA[[#This Row],[FAKTUR]]))</f>
        <v/>
      </c>
      <c r="AN614" s="25" t="str">
        <f ca="1">IF(NOTA[[#This Row],[ID]]="","",COUNTIF(NOTA[ID_H],NOTA[[#This Row],[ID_H]]))</f>
        <v/>
      </c>
      <c r="AO614" s="25" t="str">
        <f ca="1">IF(NOTA[[#This Row],[TGL.NOTA]]="",IF(NOTA[[#This Row],[SUPPLIER_H]]="","",AO613),MONTH(NOTA[[#This Row],[TGL.NOTA]]))</f>
        <v/>
      </c>
      <c r="AP6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4" s="25"/>
      <c r="AU614" s="25" t="str">
        <f>IF(NOTA[[#This Row],[CONCAT1]]="","",MATCH(NOTA[[#This Row],[CONCAT1]],[3]!db[NB NOTA_C],0))</f>
        <v/>
      </c>
      <c r="AV614" s="25" t="str">
        <f>IF(NOTA[[#This Row],[QTY/ CTN]]="","",TRUE)</f>
        <v/>
      </c>
      <c r="AW614" s="25" t="str">
        <f ca="1">IF(NOTA[[#This Row],[ID_H]]="","",IF(NOTA[[#This Row],[Column3]]=TRUE,NOTA[[#This Row],[QTY/ CTN]],INDEX([3]!db[QTY/ CTN],NOTA[[#This Row],[//DB]])))</f>
        <v/>
      </c>
      <c r="AX6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4" s="25" t="str">
        <f ca="1">IF(NOTA[[#This Row],[ID_H]]="","",MATCH(NOTA[[#This Row],[NB NOTA_C_QTY]],[3]!db[NB NOTA_C_QTY+F],0))</f>
        <v/>
      </c>
      <c r="AZ614" s="38" t="str">
        <f ca="1">IF(NOTA[[#This Row],[NB NOTA_C_QTY]]="","",ROW()-2)</f>
        <v/>
      </c>
    </row>
    <row r="615" spans="1:52" ht="20.100000000000001" customHeight="1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5" s="25" t="str">
        <f ca="1">IF(NOTA[[#This Row],[NAMA BARANG]]="","",INDEX(NOTA[ID],MATCH(,INDIRECT(ADDRESS(ROW(NOTA[ID]),COLUMN(NOTA[ID]))&amp;":"&amp;ADDRESS(ROW(),COLUMN(NOTA[ID]))),-1)))</f>
        <v/>
      </c>
      <c r="E615" s="33"/>
      <c r="H615" s="34"/>
      <c r="Q615" s="29"/>
      <c r="R615" s="35"/>
      <c r="S615" s="36"/>
      <c r="V615" s="37"/>
      <c r="W615" s="32"/>
      <c r="X615" s="37" t="str">
        <f>IF(NOTA[[#This Row],[HARGA/ CTN]]="",NOTA[[#This Row],[JUMLAH_H]],NOTA[[#This Row],[HARGA/ CTN]]*IF(NOTA[[#This Row],[C]]="",0,NOTA[[#This Row],[C]]))</f>
        <v/>
      </c>
      <c r="Y615" s="37" t="str">
        <f>IF(NOTA[[#This Row],[JUMLAH]]="","",NOTA[[#This Row],[JUMLAH]]*NOTA[[#This Row],[DISC 1]])</f>
        <v/>
      </c>
      <c r="Z615" s="37" t="str">
        <f>IF(NOTA[[#This Row],[JUMLAH]]="","",(NOTA[[#This Row],[JUMLAH]]-NOTA[[#This Row],[DISC 1-]])*NOTA[[#This Row],[DISC 2]])</f>
        <v/>
      </c>
      <c r="AA615" s="37" t="str">
        <f>IF(NOTA[[#This Row],[JUMLAH]]="","",(NOTA[[#This Row],[JUMLAH]]-NOTA[[#This Row],[DISC 1-]]-NOTA[[#This Row],[DISC 2-]])*NOTA[[#This Row],[DISC 3]])</f>
        <v/>
      </c>
      <c r="AB615" s="37" t="str">
        <f>IF(NOTA[[#This Row],[JUMLAH]]="","",NOTA[[#This Row],[DISC 1-]]+NOTA[[#This Row],[DISC 2-]]+NOTA[[#This Row],[DISC 3-]])</f>
        <v/>
      </c>
      <c r="AC615" s="37" t="str">
        <f>IF(NOTA[[#This Row],[JUMLAH]]="","",NOTA[[#This Row],[JUMLAH]]-NOTA[[#This Row],[DISC]])</f>
        <v/>
      </c>
      <c r="AD615" s="37"/>
      <c r="AE6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5" s="37" t="str">
        <f>IF(OR(NOTA[[#This Row],[QTY]]="",NOTA[[#This Row],[HARGA SATUAN]]="",),"",NOTA[[#This Row],[QTY]]*NOTA[[#This Row],[HARGA SATUAN]])</f>
        <v/>
      </c>
      <c r="AI615" s="26" t="str">
        <f ca="1">IF(NOTA[[#This Row],[ID_H]]="","",INDEX(NOTA[TANGGAL],MATCH(,INDIRECT(ADDRESS(ROW(NOTA[TANGGAL]),COLUMN(NOTA[TANGGAL]))&amp;":"&amp;ADDRESS(ROW(),COLUMN(NOTA[TANGGAL]))),-1)))</f>
        <v/>
      </c>
      <c r="AJ615" s="26" t="str">
        <f ca="1">IF(NOTA[[#This Row],[ID_H]]="","",INDEX(NOTA[TGL.NOTA],MATCH(,INDIRECT(ADDRESS(ROW(NOTA[TGL.NOTA]),COLUMN(NOTA[TGL.NOTA]))&amp;":"&amp;ADDRESS(ROW(),COLUMN(NOTA[TGL.NOTA]))),-1)))</f>
        <v/>
      </c>
      <c r="AK615" s="26" t="str">
        <f ca="1">IF(NOTA[[#This Row],[ID_H]]="","",INDEX(NOTA[NO.NOTA],MATCH(NOTA[[#This Row],[ID_H]],NOTA[ID_H],0)))</f>
        <v/>
      </c>
      <c r="AL615" s="28" t="str">
        <f ca="1">IF(NOTA[[#This Row],[NAMA BARANG]]="","",INDEX(NOTA[SUPPLIER],MATCH(,INDIRECT(ADDRESS(ROW(NOTA[ID]),COLUMN(NOTA[ID]))&amp;":"&amp;ADDRESS(ROW(),COLUMN(NOTA[ID]))),-1)))</f>
        <v/>
      </c>
      <c r="AM615" s="28" t="str">
        <f ca="1">IF(NOTA[[#This Row],[ID_H]]="","",IF(NOTA[[#This Row],[FAKTUR]]="",INDIRECT(ADDRESS(ROW()-1,COLUMN())),NOTA[[#This Row],[FAKTUR]]))</f>
        <v/>
      </c>
      <c r="AN615" s="25" t="str">
        <f ca="1">IF(NOTA[[#This Row],[ID]]="","",COUNTIF(NOTA[ID_H],NOTA[[#This Row],[ID_H]]))</f>
        <v/>
      </c>
      <c r="AO615" s="25" t="str">
        <f ca="1">IF(NOTA[[#This Row],[TGL.NOTA]]="",IF(NOTA[[#This Row],[SUPPLIER_H]]="","",AO614),MONTH(NOTA[[#This Row],[TGL.NOTA]]))</f>
        <v/>
      </c>
      <c r="AP6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5" s="25"/>
      <c r="AU615" s="25" t="str">
        <f>IF(NOTA[[#This Row],[CONCAT1]]="","",MATCH(NOTA[[#This Row],[CONCAT1]],[3]!db[NB NOTA_C],0))</f>
        <v/>
      </c>
      <c r="AV615" s="25" t="str">
        <f>IF(NOTA[[#This Row],[QTY/ CTN]]="","",TRUE)</f>
        <v/>
      </c>
      <c r="AW615" s="25" t="str">
        <f ca="1">IF(NOTA[[#This Row],[ID_H]]="","",IF(NOTA[[#This Row],[Column3]]=TRUE,NOTA[[#This Row],[QTY/ CTN]],INDEX([3]!db[QTY/ CTN],NOTA[[#This Row],[//DB]])))</f>
        <v/>
      </c>
      <c r="AX6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5" s="25" t="str">
        <f ca="1">IF(NOTA[[#This Row],[ID_H]]="","",MATCH(NOTA[[#This Row],[NB NOTA_C_QTY]],[3]!db[NB NOTA_C_QTY+F],0))</f>
        <v/>
      </c>
      <c r="AZ615" s="38" t="str">
        <f ca="1">IF(NOTA[[#This Row],[NB NOTA_C_QTY]]="","",ROW()-2)</f>
        <v/>
      </c>
    </row>
    <row r="616" spans="1:52" ht="20.100000000000001" customHeight="1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6" s="25" t="str">
        <f ca="1">IF(NOTA[[#This Row],[NAMA BARANG]]="","",INDEX(NOTA[ID],MATCH(,INDIRECT(ADDRESS(ROW(NOTA[ID]),COLUMN(NOTA[ID]))&amp;":"&amp;ADDRESS(ROW(),COLUMN(NOTA[ID]))),-1)))</f>
        <v/>
      </c>
      <c r="E616" s="33"/>
      <c r="H616" s="34"/>
      <c r="Q616" s="29"/>
      <c r="R616" s="35"/>
      <c r="S616" s="36"/>
      <c r="V616" s="37"/>
      <c r="W616" s="32"/>
      <c r="X616" s="37" t="str">
        <f>IF(NOTA[[#This Row],[HARGA/ CTN]]="",NOTA[[#This Row],[JUMLAH_H]],NOTA[[#This Row],[HARGA/ CTN]]*IF(NOTA[[#This Row],[C]]="",0,NOTA[[#This Row],[C]]))</f>
        <v/>
      </c>
      <c r="Y616" s="37" t="str">
        <f>IF(NOTA[[#This Row],[JUMLAH]]="","",NOTA[[#This Row],[JUMLAH]]*NOTA[[#This Row],[DISC 1]])</f>
        <v/>
      </c>
      <c r="Z616" s="37" t="str">
        <f>IF(NOTA[[#This Row],[JUMLAH]]="","",(NOTA[[#This Row],[JUMLAH]]-NOTA[[#This Row],[DISC 1-]])*NOTA[[#This Row],[DISC 2]])</f>
        <v/>
      </c>
      <c r="AA616" s="37" t="str">
        <f>IF(NOTA[[#This Row],[JUMLAH]]="","",(NOTA[[#This Row],[JUMLAH]]-NOTA[[#This Row],[DISC 1-]]-NOTA[[#This Row],[DISC 2-]])*NOTA[[#This Row],[DISC 3]])</f>
        <v/>
      </c>
      <c r="AB616" s="37" t="str">
        <f>IF(NOTA[[#This Row],[JUMLAH]]="","",NOTA[[#This Row],[DISC 1-]]+NOTA[[#This Row],[DISC 2-]]+NOTA[[#This Row],[DISC 3-]])</f>
        <v/>
      </c>
      <c r="AC616" s="37" t="str">
        <f>IF(NOTA[[#This Row],[JUMLAH]]="","",NOTA[[#This Row],[JUMLAH]]-NOTA[[#This Row],[DISC]])</f>
        <v/>
      </c>
      <c r="AD616" s="37"/>
      <c r="AE6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6" s="37" t="str">
        <f>IF(OR(NOTA[[#This Row],[QTY]]="",NOTA[[#This Row],[HARGA SATUAN]]="",),"",NOTA[[#This Row],[QTY]]*NOTA[[#This Row],[HARGA SATUAN]])</f>
        <v/>
      </c>
      <c r="AI616" s="26" t="str">
        <f ca="1">IF(NOTA[[#This Row],[ID_H]]="","",INDEX(NOTA[TANGGAL],MATCH(,INDIRECT(ADDRESS(ROW(NOTA[TANGGAL]),COLUMN(NOTA[TANGGAL]))&amp;":"&amp;ADDRESS(ROW(),COLUMN(NOTA[TANGGAL]))),-1)))</f>
        <v/>
      </c>
      <c r="AJ616" s="26" t="str">
        <f ca="1">IF(NOTA[[#This Row],[ID_H]]="","",INDEX(NOTA[TGL.NOTA],MATCH(,INDIRECT(ADDRESS(ROW(NOTA[TGL.NOTA]),COLUMN(NOTA[TGL.NOTA]))&amp;":"&amp;ADDRESS(ROW(),COLUMN(NOTA[TGL.NOTA]))),-1)))</f>
        <v/>
      </c>
      <c r="AK616" s="26" t="str">
        <f ca="1">IF(NOTA[[#This Row],[ID_H]]="","",INDEX(NOTA[NO.NOTA],MATCH(NOTA[[#This Row],[ID_H]],NOTA[ID_H],0)))</f>
        <v/>
      </c>
      <c r="AL616" s="28" t="str">
        <f ca="1">IF(NOTA[[#This Row],[NAMA BARANG]]="","",INDEX(NOTA[SUPPLIER],MATCH(,INDIRECT(ADDRESS(ROW(NOTA[ID]),COLUMN(NOTA[ID]))&amp;":"&amp;ADDRESS(ROW(),COLUMN(NOTA[ID]))),-1)))</f>
        <v/>
      </c>
      <c r="AM616" s="28" t="str">
        <f ca="1">IF(NOTA[[#This Row],[ID_H]]="","",IF(NOTA[[#This Row],[FAKTUR]]="",INDIRECT(ADDRESS(ROW()-1,COLUMN())),NOTA[[#This Row],[FAKTUR]]))</f>
        <v/>
      </c>
      <c r="AN616" s="25" t="str">
        <f ca="1">IF(NOTA[[#This Row],[ID]]="","",COUNTIF(NOTA[ID_H],NOTA[[#This Row],[ID_H]]))</f>
        <v/>
      </c>
      <c r="AO616" s="25" t="str">
        <f ca="1">IF(NOTA[[#This Row],[TGL.NOTA]]="",IF(NOTA[[#This Row],[SUPPLIER_H]]="","",AO615),MONTH(NOTA[[#This Row],[TGL.NOTA]]))</f>
        <v/>
      </c>
      <c r="AP6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6" s="25"/>
      <c r="AU616" s="25" t="str">
        <f>IF(NOTA[[#This Row],[CONCAT1]]="","",MATCH(NOTA[[#This Row],[CONCAT1]],[3]!db[NB NOTA_C],0))</f>
        <v/>
      </c>
      <c r="AV616" s="25" t="str">
        <f>IF(NOTA[[#This Row],[QTY/ CTN]]="","",TRUE)</f>
        <v/>
      </c>
      <c r="AW616" s="25" t="str">
        <f ca="1">IF(NOTA[[#This Row],[ID_H]]="","",IF(NOTA[[#This Row],[Column3]]=TRUE,NOTA[[#This Row],[QTY/ CTN]],INDEX([3]!db[QTY/ CTN],NOTA[[#This Row],[//DB]])))</f>
        <v/>
      </c>
      <c r="AX6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6" s="25" t="str">
        <f ca="1">IF(NOTA[[#This Row],[ID_H]]="","",MATCH(NOTA[[#This Row],[NB NOTA_C_QTY]],[3]!db[NB NOTA_C_QTY+F],0))</f>
        <v/>
      </c>
      <c r="AZ616" s="38" t="str">
        <f ca="1">IF(NOTA[[#This Row],[NB NOTA_C_QTY]]="","",ROW()-2)</f>
        <v/>
      </c>
    </row>
    <row r="617" spans="1:52" ht="20.100000000000001" customHeight="1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7" s="25" t="str">
        <f ca="1">IF(NOTA[[#This Row],[NAMA BARANG]]="","",INDEX(NOTA[ID],MATCH(,INDIRECT(ADDRESS(ROW(NOTA[ID]),COLUMN(NOTA[ID]))&amp;":"&amp;ADDRESS(ROW(),COLUMN(NOTA[ID]))),-1)))</f>
        <v/>
      </c>
      <c r="E617" s="33"/>
      <c r="H617" s="34"/>
      <c r="Q617" s="29"/>
      <c r="R617" s="35"/>
      <c r="S617" s="36"/>
      <c r="V617" s="37"/>
      <c r="W617" s="32"/>
      <c r="X617" s="37" t="str">
        <f>IF(NOTA[[#This Row],[HARGA/ CTN]]="",NOTA[[#This Row],[JUMLAH_H]],NOTA[[#This Row],[HARGA/ CTN]]*IF(NOTA[[#This Row],[C]]="",0,NOTA[[#This Row],[C]]))</f>
        <v/>
      </c>
      <c r="Y617" s="37" t="str">
        <f>IF(NOTA[[#This Row],[JUMLAH]]="","",NOTA[[#This Row],[JUMLAH]]*NOTA[[#This Row],[DISC 1]])</f>
        <v/>
      </c>
      <c r="Z617" s="37" t="str">
        <f>IF(NOTA[[#This Row],[JUMLAH]]="","",(NOTA[[#This Row],[JUMLAH]]-NOTA[[#This Row],[DISC 1-]])*NOTA[[#This Row],[DISC 2]])</f>
        <v/>
      </c>
      <c r="AA617" s="37" t="str">
        <f>IF(NOTA[[#This Row],[JUMLAH]]="","",(NOTA[[#This Row],[JUMLAH]]-NOTA[[#This Row],[DISC 1-]]-NOTA[[#This Row],[DISC 2-]])*NOTA[[#This Row],[DISC 3]])</f>
        <v/>
      </c>
      <c r="AB617" s="37" t="str">
        <f>IF(NOTA[[#This Row],[JUMLAH]]="","",NOTA[[#This Row],[DISC 1-]]+NOTA[[#This Row],[DISC 2-]]+NOTA[[#This Row],[DISC 3-]])</f>
        <v/>
      </c>
      <c r="AC617" s="37" t="str">
        <f>IF(NOTA[[#This Row],[JUMLAH]]="","",NOTA[[#This Row],[JUMLAH]]-NOTA[[#This Row],[DISC]])</f>
        <v/>
      </c>
      <c r="AD617" s="37"/>
      <c r="AE6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7" s="37" t="str">
        <f>IF(OR(NOTA[[#This Row],[QTY]]="",NOTA[[#This Row],[HARGA SATUAN]]="",),"",NOTA[[#This Row],[QTY]]*NOTA[[#This Row],[HARGA SATUAN]])</f>
        <v/>
      </c>
      <c r="AI617" s="26" t="str">
        <f ca="1">IF(NOTA[[#This Row],[ID_H]]="","",INDEX(NOTA[TANGGAL],MATCH(,INDIRECT(ADDRESS(ROW(NOTA[TANGGAL]),COLUMN(NOTA[TANGGAL]))&amp;":"&amp;ADDRESS(ROW(),COLUMN(NOTA[TANGGAL]))),-1)))</f>
        <v/>
      </c>
      <c r="AJ617" s="26" t="str">
        <f ca="1">IF(NOTA[[#This Row],[ID_H]]="","",INDEX(NOTA[TGL.NOTA],MATCH(,INDIRECT(ADDRESS(ROW(NOTA[TGL.NOTA]),COLUMN(NOTA[TGL.NOTA]))&amp;":"&amp;ADDRESS(ROW(),COLUMN(NOTA[TGL.NOTA]))),-1)))</f>
        <v/>
      </c>
      <c r="AK617" s="26" t="str">
        <f ca="1">IF(NOTA[[#This Row],[ID_H]]="","",INDEX(NOTA[NO.NOTA],MATCH(NOTA[[#This Row],[ID_H]],NOTA[ID_H],0)))</f>
        <v/>
      </c>
      <c r="AL617" s="28" t="str">
        <f ca="1">IF(NOTA[[#This Row],[NAMA BARANG]]="","",INDEX(NOTA[SUPPLIER],MATCH(,INDIRECT(ADDRESS(ROW(NOTA[ID]),COLUMN(NOTA[ID]))&amp;":"&amp;ADDRESS(ROW(),COLUMN(NOTA[ID]))),-1)))</f>
        <v/>
      </c>
      <c r="AM617" s="28" t="str">
        <f ca="1">IF(NOTA[[#This Row],[ID_H]]="","",IF(NOTA[[#This Row],[FAKTUR]]="",INDIRECT(ADDRESS(ROW()-1,COLUMN())),NOTA[[#This Row],[FAKTUR]]))</f>
        <v/>
      </c>
      <c r="AN617" s="25" t="str">
        <f ca="1">IF(NOTA[[#This Row],[ID]]="","",COUNTIF(NOTA[ID_H],NOTA[[#This Row],[ID_H]]))</f>
        <v/>
      </c>
      <c r="AO617" s="25" t="str">
        <f ca="1">IF(NOTA[[#This Row],[TGL.NOTA]]="",IF(NOTA[[#This Row],[SUPPLIER_H]]="","",AO616),MONTH(NOTA[[#This Row],[TGL.NOTA]]))</f>
        <v/>
      </c>
      <c r="AP6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7" s="25"/>
      <c r="AU617" s="25" t="str">
        <f>IF(NOTA[[#This Row],[CONCAT1]]="","",MATCH(NOTA[[#This Row],[CONCAT1]],[3]!db[NB NOTA_C],0))</f>
        <v/>
      </c>
      <c r="AV617" s="25" t="str">
        <f>IF(NOTA[[#This Row],[QTY/ CTN]]="","",TRUE)</f>
        <v/>
      </c>
      <c r="AW617" s="25" t="str">
        <f ca="1">IF(NOTA[[#This Row],[ID_H]]="","",IF(NOTA[[#This Row],[Column3]]=TRUE,NOTA[[#This Row],[QTY/ CTN]],INDEX([3]!db[QTY/ CTN],NOTA[[#This Row],[//DB]])))</f>
        <v/>
      </c>
      <c r="AX6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7" s="25" t="str">
        <f ca="1">IF(NOTA[[#This Row],[ID_H]]="","",MATCH(NOTA[[#This Row],[NB NOTA_C_QTY]],[3]!db[NB NOTA_C_QTY+F],0))</f>
        <v/>
      </c>
      <c r="AZ617" s="38" t="str">
        <f ca="1">IF(NOTA[[#This Row],[NB NOTA_C_QTY]]="","",ROW()-2)</f>
        <v/>
      </c>
    </row>
    <row r="618" spans="1:52" ht="20.100000000000001" customHeight="1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8" s="25" t="str">
        <f ca="1">IF(NOTA[[#This Row],[NAMA BARANG]]="","",INDEX(NOTA[ID],MATCH(,INDIRECT(ADDRESS(ROW(NOTA[ID]),COLUMN(NOTA[ID]))&amp;":"&amp;ADDRESS(ROW(),COLUMN(NOTA[ID]))),-1)))</f>
        <v/>
      </c>
      <c r="E618" s="33"/>
      <c r="H618" s="34"/>
      <c r="Q618" s="29"/>
      <c r="R618" s="35"/>
      <c r="S618" s="36"/>
      <c r="V618" s="37"/>
      <c r="W618" s="32"/>
      <c r="X618" s="37" t="str">
        <f>IF(NOTA[[#This Row],[HARGA/ CTN]]="",NOTA[[#This Row],[JUMLAH_H]],NOTA[[#This Row],[HARGA/ CTN]]*IF(NOTA[[#This Row],[C]]="",0,NOTA[[#This Row],[C]]))</f>
        <v/>
      </c>
      <c r="Y618" s="37" t="str">
        <f>IF(NOTA[[#This Row],[JUMLAH]]="","",NOTA[[#This Row],[JUMLAH]]*NOTA[[#This Row],[DISC 1]])</f>
        <v/>
      </c>
      <c r="Z618" s="37" t="str">
        <f>IF(NOTA[[#This Row],[JUMLAH]]="","",(NOTA[[#This Row],[JUMLAH]]-NOTA[[#This Row],[DISC 1-]])*NOTA[[#This Row],[DISC 2]])</f>
        <v/>
      </c>
      <c r="AA618" s="37" t="str">
        <f>IF(NOTA[[#This Row],[JUMLAH]]="","",(NOTA[[#This Row],[JUMLAH]]-NOTA[[#This Row],[DISC 1-]]-NOTA[[#This Row],[DISC 2-]])*NOTA[[#This Row],[DISC 3]])</f>
        <v/>
      </c>
      <c r="AB618" s="37" t="str">
        <f>IF(NOTA[[#This Row],[JUMLAH]]="","",NOTA[[#This Row],[DISC 1-]]+NOTA[[#This Row],[DISC 2-]]+NOTA[[#This Row],[DISC 3-]])</f>
        <v/>
      </c>
      <c r="AC618" s="37" t="str">
        <f>IF(NOTA[[#This Row],[JUMLAH]]="","",NOTA[[#This Row],[JUMLAH]]-NOTA[[#This Row],[DISC]])</f>
        <v/>
      </c>
      <c r="AD618" s="37"/>
      <c r="AE6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8" s="37" t="str">
        <f>IF(OR(NOTA[[#This Row],[QTY]]="",NOTA[[#This Row],[HARGA SATUAN]]="",),"",NOTA[[#This Row],[QTY]]*NOTA[[#This Row],[HARGA SATUAN]])</f>
        <v/>
      </c>
      <c r="AI618" s="26" t="str">
        <f ca="1">IF(NOTA[[#This Row],[ID_H]]="","",INDEX(NOTA[TANGGAL],MATCH(,INDIRECT(ADDRESS(ROW(NOTA[TANGGAL]),COLUMN(NOTA[TANGGAL]))&amp;":"&amp;ADDRESS(ROW(),COLUMN(NOTA[TANGGAL]))),-1)))</f>
        <v/>
      </c>
      <c r="AJ618" s="26" t="str">
        <f ca="1">IF(NOTA[[#This Row],[ID_H]]="","",INDEX(NOTA[TGL.NOTA],MATCH(,INDIRECT(ADDRESS(ROW(NOTA[TGL.NOTA]),COLUMN(NOTA[TGL.NOTA]))&amp;":"&amp;ADDRESS(ROW(),COLUMN(NOTA[TGL.NOTA]))),-1)))</f>
        <v/>
      </c>
      <c r="AK618" s="26" t="str">
        <f ca="1">IF(NOTA[[#This Row],[ID_H]]="","",INDEX(NOTA[NO.NOTA],MATCH(NOTA[[#This Row],[ID_H]],NOTA[ID_H],0)))</f>
        <v/>
      </c>
      <c r="AL618" s="28" t="str">
        <f ca="1">IF(NOTA[[#This Row],[NAMA BARANG]]="","",INDEX(NOTA[SUPPLIER],MATCH(,INDIRECT(ADDRESS(ROW(NOTA[ID]),COLUMN(NOTA[ID]))&amp;":"&amp;ADDRESS(ROW(),COLUMN(NOTA[ID]))),-1)))</f>
        <v/>
      </c>
      <c r="AM618" s="28" t="str">
        <f ca="1">IF(NOTA[[#This Row],[ID_H]]="","",IF(NOTA[[#This Row],[FAKTUR]]="",INDIRECT(ADDRESS(ROW()-1,COLUMN())),NOTA[[#This Row],[FAKTUR]]))</f>
        <v/>
      </c>
      <c r="AN618" s="25" t="str">
        <f ca="1">IF(NOTA[[#This Row],[ID]]="","",COUNTIF(NOTA[ID_H],NOTA[[#This Row],[ID_H]]))</f>
        <v/>
      </c>
      <c r="AO618" s="25" t="str">
        <f ca="1">IF(NOTA[[#This Row],[TGL.NOTA]]="",IF(NOTA[[#This Row],[SUPPLIER_H]]="","",AO617),MONTH(NOTA[[#This Row],[TGL.NOTA]]))</f>
        <v/>
      </c>
      <c r="AP6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8" s="25"/>
      <c r="AU618" s="25" t="str">
        <f>IF(NOTA[[#This Row],[CONCAT1]]="","",MATCH(NOTA[[#This Row],[CONCAT1]],[3]!db[NB NOTA_C],0))</f>
        <v/>
      </c>
      <c r="AV618" s="25" t="str">
        <f>IF(NOTA[[#This Row],[QTY/ CTN]]="","",TRUE)</f>
        <v/>
      </c>
      <c r="AW618" s="25" t="str">
        <f ca="1">IF(NOTA[[#This Row],[ID_H]]="","",IF(NOTA[[#This Row],[Column3]]=TRUE,NOTA[[#This Row],[QTY/ CTN]],INDEX([3]!db[QTY/ CTN],NOTA[[#This Row],[//DB]])))</f>
        <v/>
      </c>
      <c r="AX6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8" s="25" t="str">
        <f ca="1">IF(NOTA[[#This Row],[ID_H]]="","",MATCH(NOTA[[#This Row],[NB NOTA_C_QTY]],[3]!db[NB NOTA_C_QTY+F],0))</f>
        <v/>
      </c>
      <c r="AZ618" s="38" t="str">
        <f ca="1">IF(NOTA[[#This Row],[NB NOTA_C_QTY]]="","",ROW()-2)</f>
        <v/>
      </c>
    </row>
    <row r="619" spans="1:52" ht="20.100000000000001" customHeight="1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9" s="25" t="str">
        <f ca="1">IF(NOTA[[#This Row],[NAMA BARANG]]="","",INDEX(NOTA[ID],MATCH(,INDIRECT(ADDRESS(ROW(NOTA[ID]),COLUMN(NOTA[ID]))&amp;":"&amp;ADDRESS(ROW(),COLUMN(NOTA[ID]))),-1)))</f>
        <v/>
      </c>
      <c r="E619" s="33"/>
      <c r="H619" s="34"/>
      <c r="Q619" s="29"/>
      <c r="R619" s="35"/>
      <c r="S619" s="36"/>
      <c r="V619" s="37"/>
      <c r="W619" s="32"/>
      <c r="X619" s="37" t="str">
        <f>IF(NOTA[[#This Row],[HARGA/ CTN]]="",NOTA[[#This Row],[JUMLAH_H]],NOTA[[#This Row],[HARGA/ CTN]]*IF(NOTA[[#This Row],[C]]="",0,NOTA[[#This Row],[C]]))</f>
        <v/>
      </c>
      <c r="Y619" s="37" t="str">
        <f>IF(NOTA[[#This Row],[JUMLAH]]="","",NOTA[[#This Row],[JUMLAH]]*NOTA[[#This Row],[DISC 1]])</f>
        <v/>
      </c>
      <c r="Z619" s="37" t="str">
        <f>IF(NOTA[[#This Row],[JUMLAH]]="","",(NOTA[[#This Row],[JUMLAH]]-NOTA[[#This Row],[DISC 1-]])*NOTA[[#This Row],[DISC 2]])</f>
        <v/>
      </c>
      <c r="AA619" s="37" t="str">
        <f>IF(NOTA[[#This Row],[JUMLAH]]="","",(NOTA[[#This Row],[JUMLAH]]-NOTA[[#This Row],[DISC 1-]]-NOTA[[#This Row],[DISC 2-]])*NOTA[[#This Row],[DISC 3]])</f>
        <v/>
      </c>
      <c r="AB619" s="37" t="str">
        <f>IF(NOTA[[#This Row],[JUMLAH]]="","",NOTA[[#This Row],[DISC 1-]]+NOTA[[#This Row],[DISC 2-]]+NOTA[[#This Row],[DISC 3-]])</f>
        <v/>
      </c>
      <c r="AC619" s="37" t="str">
        <f>IF(NOTA[[#This Row],[JUMLAH]]="","",NOTA[[#This Row],[JUMLAH]]-NOTA[[#This Row],[DISC]])</f>
        <v/>
      </c>
      <c r="AD619" s="37"/>
      <c r="AE6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9" s="37" t="str">
        <f>IF(OR(NOTA[[#This Row],[QTY]]="",NOTA[[#This Row],[HARGA SATUAN]]="",),"",NOTA[[#This Row],[QTY]]*NOTA[[#This Row],[HARGA SATUAN]])</f>
        <v/>
      </c>
      <c r="AI619" s="26" t="str">
        <f ca="1">IF(NOTA[[#This Row],[ID_H]]="","",INDEX(NOTA[TANGGAL],MATCH(,INDIRECT(ADDRESS(ROW(NOTA[TANGGAL]),COLUMN(NOTA[TANGGAL]))&amp;":"&amp;ADDRESS(ROW(),COLUMN(NOTA[TANGGAL]))),-1)))</f>
        <v/>
      </c>
      <c r="AJ619" s="26" t="str">
        <f ca="1">IF(NOTA[[#This Row],[ID_H]]="","",INDEX(NOTA[TGL.NOTA],MATCH(,INDIRECT(ADDRESS(ROW(NOTA[TGL.NOTA]),COLUMN(NOTA[TGL.NOTA]))&amp;":"&amp;ADDRESS(ROW(),COLUMN(NOTA[TGL.NOTA]))),-1)))</f>
        <v/>
      </c>
      <c r="AK619" s="26" t="str">
        <f ca="1">IF(NOTA[[#This Row],[ID_H]]="","",INDEX(NOTA[NO.NOTA],MATCH(NOTA[[#This Row],[ID_H]],NOTA[ID_H],0)))</f>
        <v/>
      </c>
      <c r="AL619" s="28" t="str">
        <f ca="1">IF(NOTA[[#This Row],[NAMA BARANG]]="","",INDEX(NOTA[SUPPLIER],MATCH(,INDIRECT(ADDRESS(ROW(NOTA[ID]),COLUMN(NOTA[ID]))&amp;":"&amp;ADDRESS(ROW(),COLUMN(NOTA[ID]))),-1)))</f>
        <v/>
      </c>
      <c r="AM619" s="28" t="str">
        <f ca="1">IF(NOTA[[#This Row],[ID_H]]="","",IF(NOTA[[#This Row],[FAKTUR]]="",INDIRECT(ADDRESS(ROW()-1,COLUMN())),NOTA[[#This Row],[FAKTUR]]))</f>
        <v/>
      </c>
      <c r="AN619" s="25" t="str">
        <f ca="1">IF(NOTA[[#This Row],[ID]]="","",COUNTIF(NOTA[ID_H],NOTA[[#This Row],[ID_H]]))</f>
        <v/>
      </c>
      <c r="AO619" s="25" t="str">
        <f ca="1">IF(NOTA[[#This Row],[TGL.NOTA]]="",IF(NOTA[[#This Row],[SUPPLIER_H]]="","",AO618),MONTH(NOTA[[#This Row],[TGL.NOTA]]))</f>
        <v/>
      </c>
      <c r="AP6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9" s="25"/>
      <c r="AU619" s="25" t="str">
        <f>IF(NOTA[[#This Row],[CONCAT1]]="","",MATCH(NOTA[[#This Row],[CONCAT1]],[3]!db[NB NOTA_C],0))</f>
        <v/>
      </c>
      <c r="AV619" s="25" t="str">
        <f>IF(NOTA[[#This Row],[QTY/ CTN]]="","",TRUE)</f>
        <v/>
      </c>
      <c r="AW619" s="25" t="str">
        <f ca="1">IF(NOTA[[#This Row],[ID_H]]="","",IF(NOTA[[#This Row],[Column3]]=TRUE,NOTA[[#This Row],[QTY/ CTN]],INDEX([3]!db[QTY/ CTN],NOTA[[#This Row],[//DB]])))</f>
        <v/>
      </c>
      <c r="AX6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9" s="25" t="str">
        <f ca="1">IF(NOTA[[#This Row],[ID_H]]="","",MATCH(NOTA[[#This Row],[NB NOTA_C_QTY]],[3]!db[NB NOTA_C_QTY+F],0))</f>
        <v/>
      </c>
      <c r="AZ619" s="38" t="str">
        <f ca="1">IF(NOTA[[#This Row],[NB NOTA_C_QTY]]="","",ROW()-2)</f>
        <v/>
      </c>
    </row>
    <row r="620" spans="1:52" ht="20.100000000000001" customHeight="1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0" s="25" t="str">
        <f ca="1">IF(NOTA[[#This Row],[NAMA BARANG]]="","",INDEX(NOTA[ID],MATCH(,INDIRECT(ADDRESS(ROW(NOTA[ID]),COLUMN(NOTA[ID]))&amp;":"&amp;ADDRESS(ROW(),COLUMN(NOTA[ID]))),-1)))</f>
        <v/>
      </c>
      <c r="E620" s="33"/>
      <c r="H620" s="34"/>
      <c r="Q620" s="29"/>
      <c r="R620" s="35"/>
      <c r="S620" s="36"/>
      <c r="V620" s="37"/>
      <c r="W620" s="32"/>
      <c r="X620" s="37" t="str">
        <f>IF(NOTA[[#This Row],[HARGA/ CTN]]="",NOTA[[#This Row],[JUMLAH_H]],NOTA[[#This Row],[HARGA/ CTN]]*IF(NOTA[[#This Row],[C]]="",0,NOTA[[#This Row],[C]]))</f>
        <v/>
      </c>
      <c r="Y620" s="37" t="str">
        <f>IF(NOTA[[#This Row],[JUMLAH]]="","",NOTA[[#This Row],[JUMLAH]]*NOTA[[#This Row],[DISC 1]])</f>
        <v/>
      </c>
      <c r="Z620" s="37" t="str">
        <f>IF(NOTA[[#This Row],[JUMLAH]]="","",(NOTA[[#This Row],[JUMLAH]]-NOTA[[#This Row],[DISC 1-]])*NOTA[[#This Row],[DISC 2]])</f>
        <v/>
      </c>
      <c r="AA620" s="37" t="str">
        <f>IF(NOTA[[#This Row],[JUMLAH]]="","",(NOTA[[#This Row],[JUMLAH]]-NOTA[[#This Row],[DISC 1-]]-NOTA[[#This Row],[DISC 2-]])*NOTA[[#This Row],[DISC 3]])</f>
        <v/>
      </c>
      <c r="AB620" s="37" t="str">
        <f>IF(NOTA[[#This Row],[JUMLAH]]="","",NOTA[[#This Row],[DISC 1-]]+NOTA[[#This Row],[DISC 2-]]+NOTA[[#This Row],[DISC 3-]])</f>
        <v/>
      </c>
      <c r="AC620" s="37" t="str">
        <f>IF(NOTA[[#This Row],[JUMLAH]]="","",NOTA[[#This Row],[JUMLAH]]-NOTA[[#This Row],[DISC]])</f>
        <v/>
      </c>
      <c r="AD620" s="37"/>
      <c r="AE6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0" s="37" t="str">
        <f>IF(OR(NOTA[[#This Row],[QTY]]="",NOTA[[#This Row],[HARGA SATUAN]]="",),"",NOTA[[#This Row],[QTY]]*NOTA[[#This Row],[HARGA SATUAN]])</f>
        <v/>
      </c>
      <c r="AI620" s="26" t="str">
        <f ca="1">IF(NOTA[[#This Row],[ID_H]]="","",INDEX(NOTA[TANGGAL],MATCH(,INDIRECT(ADDRESS(ROW(NOTA[TANGGAL]),COLUMN(NOTA[TANGGAL]))&amp;":"&amp;ADDRESS(ROW(),COLUMN(NOTA[TANGGAL]))),-1)))</f>
        <v/>
      </c>
      <c r="AJ620" s="26" t="str">
        <f ca="1">IF(NOTA[[#This Row],[ID_H]]="","",INDEX(NOTA[TGL.NOTA],MATCH(,INDIRECT(ADDRESS(ROW(NOTA[TGL.NOTA]),COLUMN(NOTA[TGL.NOTA]))&amp;":"&amp;ADDRESS(ROW(),COLUMN(NOTA[TGL.NOTA]))),-1)))</f>
        <v/>
      </c>
      <c r="AK620" s="26" t="str">
        <f ca="1">IF(NOTA[[#This Row],[ID_H]]="","",INDEX(NOTA[NO.NOTA],MATCH(NOTA[[#This Row],[ID_H]],NOTA[ID_H],0)))</f>
        <v/>
      </c>
      <c r="AL620" s="28" t="str">
        <f ca="1">IF(NOTA[[#This Row],[NAMA BARANG]]="","",INDEX(NOTA[SUPPLIER],MATCH(,INDIRECT(ADDRESS(ROW(NOTA[ID]),COLUMN(NOTA[ID]))&amp;":"&amp;ADDRESS(ROW(),COLUMN(NOTA[ID]))),-1)))</f>
        <v/>
      </c>
      <c r="AM620" s="28" t="str">
        <f ca="1">IF(NOTA[[#This Row],[ID_H]]="","",IF(NOTA[[#This Row],[FAKTUR]]="",INDIRECT(ADDRESS(ROW()-1,COLUMN())),NOTA[[#This Row],[FAKTUR]]))</f>
        <v/>
      </c>
      <c r="AN620" s="25" t="str">
        <f ca="1">IF(NOTA[[#This Row],[ID]]="","",COUNTIF(NOTA[ID_H],NOTA[[#This Row],[ID_H]]))</f>
        <v/>
      </c>
      <c r="AO620" s="25" t="str">
        <f ca="1">IF(NOTA[[#This Row],[TGL.NOTA]]="",IF(NOTA[[#This Row],[SUPPLIER_H]]="","",AO619),MONTH(NOTA[[#This Row],[TGL.NOTA]]))</f>
        <v/>
      </c>
      <c r="AP6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0" s="25"/>
      <c r="AU620" s="25" t="str">
        <f>IF(NOTA[[#This Row],[CONCAT1]]="","",MATCH(NOTA[[#This Row],[CONCAT1]],[3]!db[NB NOTA_C],0))</f>
        <v/>
      </c>
      <c r="AV620" s="25" t="str">
        <f>IF(NOTA[[#This Row],[QTY/ CTN]]="","",TRUE)</f>
        <v/>
      </c>
      <c r="AW620" s="25" t="str">
        <f ca="1">IF(NOTA[[#This Row],[ID_H]]="","",IF(NOTA[[#This Row],[Column3]]=TRUE,NOTA[[#This Row],[QTY/ CTN]],INDEX([3]!db[QTY/ CTN],NOTA[[#This Row],[//DB]])))</f>
        <v/>
      </c>
      <c r="AX6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0" s="25" t="str">
        <f ca="1">IF(NOTA[[#This Row],[ID_H]]="","",MATCH(NOTA[[#This Row],[NB NOTA_C_QTY]],[3]!db[NB NOTA_C_QTY+F],0))</f>
        <v/>
      </c>
      <c r="AZ620" s="38" t="str">
        <f ca="1">IF(NOTA[[#This Row],[NB NOTA_C_QTY]]="","",ROW()-2)</f>
        <v/>
      </c>
    </row>
    <row r="621" spans="1:52" ht="20.100000000000001" customHeight="1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1" s="25" t="str">
        <f ca="1">IF(NOTA[[#This Row],[NAMA BARANG]]="","",INDEX(NOTA[ID],MATCH(,INDIRECT(ADDRESS(ROW(NOTA[ID]),COLUMN(NOTA[ID]))&amp;":"&amp;ADDRESS(ROW(),COLUMN(NOTA[ID]))),-1)))</f>
        <v/>
      </c>
      <c r="E621" s="33"/>
      <c r="H621" s="34"/>
      <c r="Q621" s="29"/>
      <c r="R621" s="35"/>
      <c r="S621" s="36"/>
      <c r="V621" s="37"/>
      <c r="W621" s="32"/>
      <c r="X621" s="37" t="str">
        <f>IF(NOTA[[#This Row],[HARGA/ CTN]]="",NOTA[[#This Row],[JUMLAH_H]],NOTA[[#This Row],[HARGA/ CTN]]*IF(NOTA[[#This Row],[C]]="",0,NOTA[[#This Row],[C]]))</f>
        <v/>
      </c>
      <c r="Y621" s="37" t="str">
        <f>IF(NOTA[[#This Row],[JUMLAH]]="","",NOTA[[#This Row],[JUMLAH]]*NOTA[[#This Row],[DISC 1]])</f>
        <v/>
      </c>
      <c r="Z621" s="37" t="str">
        <f>IF(NOTA[[#This Row],[JUMLAH]]="","",(NOTA[[#This Row],[JUMLAH]]-NOTA[[#This Row],[DISC 1-]])*NOTA[[#This Row],[DISC 2]])</f>
        <v/>
      </c>
      <c r="AA621" s="37" t="str">
        <f>IF(NOTA[[#This Row],[JUMLAH]]="","",(NOTA[[#This Row],[JUMLAH]]-NOTA[[#This Row],[DISC 1-]]-NOTA[[#This Row],[DISC 2-]])*NOTA[[#This Row],[DISC 3]])</f>
        <v/>
      </c>
      <c r="AB621" s="37" t="str">
        <f>IF(NOTA[[#This Row],[JUMLAH]]="","",NOTA[[#This Row],[DISC 1-]]+NOTA[[#This Row],[DISC 2-]]+NOTA[[#This Row],[DISC 3-]])</f>
        <v/>
      </c>
      <c r="AC621" s="37" t="str">
        <f>IF(NOTA[[#This Row],[JUMLAH]]="","",NOTA[[#This Row],[JUMLAH]]-NOTA[[#This Row],[DISC]])</f>
        <v/>
      </c>
      <c r="AD621" s="37"/>
      <c r="AE6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1" s="37" t="str">
        <f>IF(OR(NOTA[[#This Row],[QTY]]="",NOTA[[#This Row],[HARGA SATUAN]]="",),"",NOTA[[#This Row],[QTY]]*NOTA[[#This Row],[HARGA SATUAN]])</f>
        <v/>
      </c>
      <c r="AI621" s="26" t="str">
        <f ca="1">IF(NOTA[[#This Row],[ID_H]]="","",INDEX(NOTA[TANGGAL],MATCH(,INDIRECT(ADDRESS(ROW(NOTA[TANGGAL]),COLUMN(NOTA[TANGGAL]))&amp;":"&amp;ADDRESS(ROW(),COLUMN(NOTA[TANGGAL]))),-1)))</f>
        <v/>
      </c>
      <c r="AJ621" s="26" t="str">
        <f ca="1">IF(NOTA[[#This Row],[ID_H]]="","",INDEX(NOTA[TGL.NOTA],MATCH(,INDIRECT(ADDRESS(ROW(NOTA[TGL.NOTA]),COLUMN(NOTA[TGL.NOTA]))&amp;":"&amp;ADDRESS(ROW(),COLUMN(NOTA[TGL.NOTA]))),-1)))</f>
        <v/>
      </c>
      <c r="AK621" s="26" t="str">
        <f ca="1">IF(NOTA[[#This Row],[ID_H]]="","",INDEX(NOTA[NO.NOTA],MATCH(NOTA[[#This Row],[ID_H]],NOTA[ID_H],0)))</f>
        <v/>
      </c>
      <c r="AL621" s="28" t="str">
        <f ca="1">IF(NOTA[[#This Row],[NAMA BARANG]]="","",INDEX(NOTA[SUPPLIER],MATCH(,INDIRECT(ADDRESS(ROW(NOTA[ID]),COLUMN(NOTA[ID]))&amp;":"&amp;ADDRESS(ROW(),COLUMN(NOTA[ID]))),-1)))</f>
        <v/>
      </c>
      <c r="AM621" s="28" t="str">
        <f ca="1">IF(NOTA[[#This Row],[ID_H]]="","",IF(NOTA[[#This Row],[FAKTUR]]="",INDIRECT(ADDRESS(ROW()-1,COLUMN())),NOTA[[#This Row],[FAKTUR]]))</f>
        <v/>
      </c>
      <c r="AN621" s="25" t="str">
        <f ca="1">IF(NOTA[[#This Row],[ID]]="","",COUNTIF(NOTA[ID_H],NOTA[[#This Row],[ID_H]]))</f>
        <v/>
      </c>
      <c r="AO621" s="25" t="str">
        <f ca="1">IF(NOTA[[#This Row],[TGL.NOTA]]="",IF(NOTA[[#This Row],[SUPPLIER_H]]="","",AO620),MONTH(NOTA[[#This Row],[TGL.NOTA]]))</f>
        <v/>
      </c>
      <c r="AP6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1" s="25"/>
      <c r="AU621" s="25" t="str">
        <f>IF(NOTA[[#This Row],[CONCAT1]]="","",MATCH(NOTA[[#This Row],[CONCAT1]],[3]!db[NB NOTA_C],0))</f>
        <v/>
      </c>
      <c r="AV621" s="25" t="str">
        <f>IF(NOTA[[#This Row],[QTY/ CTN]]="","",TRUE)</f>
        <v/>
      </c>
      <c r="AW621" s="25" t="str">
        <f ca="1">IF(NOTA[[#This Row],[ID_H]]="","",IF(NOTA[[#This Row],[Column3]]=TRUE,NOTA[[#This Row],[QTY/ CTN]],INDEX([3]!db[QTY/ CTN],NOTA[[#This Row],[//DB]])))</f>
        <v/>
      </c>
      <c r="AX6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1" s="25" t="str">
        <f ca="1">IF(NOTA[[#This Row],[ID_H]]="","",MATCH(NOTA[[#This Row],[NB NOTA_C_QTY]],[3]!db[NB NOTA_C_QTY+F],0))</f>
        <v/>
      </c>
      <c r="AZ621" s="38" t="str">
        <f ca="1">IF(NOTA[[#This Row],[NB NOTA_C_QTY]]="","",ROW()-2)</f>
        <v/>
      </c>
    </row>
    <row r="622" spans="1:52" ht="20.100000000000001" customHeight="1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2" s="25" t="str">
        <f ca="1">IF(NOTA[[#This Row],[NAMA BARANG]]="","",INDEX(NOTA[ID],MATCH(,INDIRECT(ADDRESS(ROW(NOTA[ID]),COLUMN(NOTA[ID]))&amp;":"&amp;ADDRESS(ROW(),COLUMN(NOTA[ID]))),-1)))</f>
        <v/>
      </c>
      <c r="E622" s="33"/>
      <c r="H622" s="34"/>
      <c r="Q622" s="29"/>
      <c r="R622" s="35"/>
      <c r="S622" s="36"/>
      <c r="V622" s="37"/>
      <c r="W622" s="32"/>
      <c r="X622" s="37" t="str">
        <f>IF(NOTA[[#This Row],[HARGA/ CTN]]="",NOTA[[#This Row],[JUMLAH_H]],NOTA[[#This Row],[HARGA/ CTN]]*IF(NOTA[[#This Row],[C]]="",0,NOTA[[#This Row],[C]]))</f>
        <v/>
      </c>
      <c r="Y622" s="37" t="str">
        <f>IF(NOTA[[#This Row],[JUMLAH]]="","",NOTA[[#This Row],[JUMLAH]]*NOTA[[#This Row],[DISC 1]])</f>
        <v/>
      </c>
      <c r="Z622" s="37" t="str">
        <f>IF(NOTA[[#This Row],[JUMLAH]]="","",(NOTA[[#This Row],[JUMLAH]]-NOTA[[#This Row],[DISC 1-]])*NOTA[[#This Row],[DISC 2]])</f>
        <v/>
      </c>
      <c r="AA622" s="37" t="str">
        <f>IF(NOTA[[#This Row],[JUMLAH]]="","",(NOTA[[#This Row],[JUMLAH]]-NOTA[[#This Row],[DISC 1-]]-NOTA[[#This Row],[DISC 2-]])*NOTA[[#This Row],[DISC 3]])</f>
        <v/>
      </c>
      <c r="AB622" s="37" t="str">
        <f>IF(NOTA[[#This Row],[JUMLAH]]="","",NOTA[[#This Row],[DISC 1-]]+NOTA[[#This Row],[DISC 2-]]+NOTA[[#This Row],[DISC 3-]])</f>
        <v/>
      </c>
      <c r="AC622" s="37" t="str">
        <f>IF(NOTA[[#This Row],[JUMLAH]]="","",NOTA[[#This Row],[JUMLAH]]-NOTA[[#This Row],[DISC]])</f>
        <v/>
      </c>
      <c r="AD622" s="37"/>
      <c r="AE6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2" s="37" t="str">
        <f>IF(OR(NOTA[[#This Row],[QTY]]="",NOTA[[#This Row],[HARGA SATUAN]]="",),"",NOTA[[#This Row],[QTY]]*NOTA[[#This Row],[HARGA SATUAN]])</f>
        <v/>
      </c>
      <c r="AI622" s="26" t="str">
        <f ca="1">IF(NOTA[[#This Row],[ID_H]]="","",INDEX(NOTA[TANGGAL],MATCH(,INDIRECT(ADDRESS(ROW(NOTA[TANGGAL]),COLUMN(NOTA[TANGGAL]))&amp;":"&amp;ADDRESS(ROW(),COLUMN(NOTA[TANGGAL]))),-1)))</f>
        <v/>
      </c>
      <c r="AJ622" s="26" t="str">
        <f ca="1">IF(NOTA[[#This Row],[ID_H]]="","",INDEX(NOTA[TGL.NOTA],MATCH(,INDIRECT(ADDRESS(ROW(NOTA[TGL.NOTA]),COLUMN(NOTA[TGL.NOTA]))&amp;":"&amp;ADDRESS(ROW(),COLUMN(NOTA[TGL.NOTA]))),-1)))</f>
        <v/>
      </c>
      <c r="AK622" s="26" t="str">
        <f ca="1">IF(NOTA[[#This Row],[ID_H]]="","",INDEX(NOTA[NO.NOTA],MATCH(NOTA[[#This Row],[ID_H]],NOTA[ID_H],0)))</f>
        <v/>
      </c>
      <c r="AL622" s="28" t="str">
        <f ca="1">IF(NOTA[[#This Row],[NAMA BARANG]]="","",INDEX(NOTA[SUPPLIER],MATCH(,INDIRECT(ADDRESS(ROW(NOTA[ID]),COLUMN(NOTA[ID]))&amp;":"&amp;ADDRESS(ROW(),COLUMN(NOTA[ID]))),-1)))</f>
        <v/>
      </c>
      <c r="AM622" s="28" t="str">
        <f ca="1">IF(NOTA[[#This Row],[ID_H]]="","",IF(NOTA[[#This Row],[FAKTUR]]="",INDIRECT(ADDRESS(ROW()-1,COLUMN())),NOTA[[#This Row],[FAKTUR]]))</f>
        <v/>
      </c>
      <c r="AN622" s="25" t="str">
        <f ca="1">IF(NOTA[[#This Row],[ID]]="","",COUNTIF(NOTA[ID_H],NOTA[[#This Row],[ID_H]]))</f>
        <v/>
      </c>
      <c r="AO622" s="25" t="str">
        <f ca="1">IF(NOTA[[#This Row],[TGL.NOTA]]="",IF(NOTA[[#This Row],[SUPPLIER_H]]="","",AO621),MONTH(NOTA[[#This Row],[TGL.NOTA]]))</f>
        <v/>
      </c>
      <c r="AP6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2" s="25"/>
      <c r="AU622" s="25" t="str">
        <f>IF(NOTA[[#This Row],[CONCAT1]]="","",MATCH(NOTA[[#This Row],[CONCAT1]],[3]!db[NB NOTA_C],0))</f>
        <v/>
      </c>
      <c r="AV622" s="25" t="str">
        <f>IF(NOTA[[#This Row],[QTY/ CTN]]="","",TRUE)</f>
        <v/>
      </c>
      <c r="AW622" s="25" t="str">
        <f ca="1">IF(NOTA[[#This Row],[ID_H]]="","",IF(NOTA[[#This Row],[Column3]]=TRUE,NOTA[[#This Row],[QTY/ CTN]],INDEX([3]!db[QTY/ CTN],NOTA[[#This Row],[//DB]])))</f>
        <v/>
      </c>
      <c r="AX6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2" s="25" t="str">
        <f ca="1">IF(NOTA[[#This Row],[ID_H]]="","",MATCH(NOTA[[#This Row],[NB NOTA_C_QTY]],[3]!db[NB NOTA_C_QTY+F],0))</f>
        <v/>
      </c>
      <c r="AZ622" s="38" t="str">
        <f ca="1">IF(NOTA[[#This Row],[NB NOTA_C_QTY]]="","",ROW()-2)</f>
        <v/>
      </c>
    </row>
    <row r="623" spans="1:52" ht="20.100000000000001" customHeight="1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3" s="25" t="str">
        <f ca="1">IF(NOTA[[#This Row],[NAMA BARANG]]="","",INDEX(NOTA[ID],MATCH(,INDIRECT(ADDRESS(ROW(NOTA[ID]),COLUMN(NOTA[ID]))&amp;":"&amp;ADDRESS(ROW(),COLUMN(NOTA[ID]))),-1)))</f>
        <v/>
      </c>
      <c r="E623" s="33"/>
      <c r="H623" s="34"/>
      <c r="Q623" s="29"/>
      <c r="R623" s="35"/>
      <c r="S623" s="36"/>
      <c r="V623" s="37"/>
      <c r="W623" s="32"/>
      <c r="X623" s="37" t="str">
        <f>IF(NOTA[[#This Row],[HARGA/ CTN]]="",NOTA[[#This Row],[JUMLAH_H]],NOTA[[#This Row],[HARGA/ CTN]]*IF(NOTA[[#This Row],[C]]="",0,NOTA[[#This Row],[C]]))</f>
        <v/>
      </c>
      <c r="Y623" s="37" t="str">
        <f>IF(NOTA[[#This Row],[JUMLAH]]="","",NOTA[[#This Row],[JUMLAH]]*NOTA[[#This Row],[DISC 1]])</f>
        <v/>
      </c>
      <c r="Z623" s="37" t="str">
        <f>IF(NOTA[[#This Row],[JUMLAH]]="","",(NOTA[[#This Row],[JUMLAH]]-NOTA[[#This Row],[DISC 1-]])*NOTA[[#This Row],[DISC 2]])</f>
        <v/>
      </c>
      <c r="AA623" s="37" t="str">
        <f>IF(NOTA[[#This Row],[JUMLAH]]="","",(NOTA[[#This Row],[JUMLAH]]-NOTA[[#This Row],[DISC 1-]]-NOTA[[#This Row],[DISC 2-]])*NOTA[[#This Row],[DISC 3]])</f>
        <v/>
      </c>
      <c r="AB623" s="37" t="str">
        <f>IF(NOTA[[#This Row],[JUMLAH]]="","",NOTA[[#This Row],[DISC 1-]]+NOTA[[#This Row],[DISC 2-]]+NOTA[[#This Row],[DISC 3-]])</f>
        <v/>
      </c>
      <c r="AC623" s="37" t="str">
        <f>IF(NOTA[[#This Row],[JUMLAH]]="","",NOTA[[#This Row],[JUMLAH]]-NOTA[[#This Row],[DISC]])</f>
        <v/>
      </c>
      <c r="AD623" s="37"/>
      <c r="AE6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3" s="37" t="str">
        <f>IF(OR(NOTA[[#This Row],[QTY]]="",NOTA[[#This Row],[HARGA SATUAN]]="",),"",NOTA[[#This Row],[QTY]]*NOTA[[#This Row],[HARGA SATUAN]])</f>
        <v/>
      </c>
      <c r="AI623" s="26" t="str">
        <f ca="1">IF(NOTA[[#This Row],[ID_H]]="","",INDEX(NOTA[TANGGAL],MATCH(,INDIRECT(ADDRESS(ROW(NOTA[TANGGAL]),COLUMN(NOTA[TANGGAL]))&amp;":"&amp;ADDRESS(ROW(),COLUMN(NOTA[TANGGAL]))),-1)))</f>
        <v/>
      </c>
      <c r="AJ623" s="26" t="str">
        <f ca="1">IF(NOTA[[#This Row],[ID_H]]="","",INDEX(NOTA[TGL.NOTA],MATCH(,INDIRECT(ADDRESS(ROW(NOTA[TGL.NOTA]),COLUMN(NOTA[TGL.NOTA]))&amp;":"&amp;ADDRESS(ROW(),COLUMN(NOTA[TGL.NOTA]))),-1)))</f>
        <v/>
      </c>
      <c r="AK623" s="26" t="str">
        <f ca="1">IF(NOTA[[#This Row],[ID_H]]="","",INDEX(NOTA[NO.NOTA],MATCH(NOTA[[#This Row],[ID_H]],NOTA[ID_H],0)))</f>
        <v/>
      </c>
      <c r="AL623" s="28" t="str">
        <f ca="1">IF(NOTA[[#This Row],[NAMA BARANG]]="","",INDEX(NOTA[SUPPLIER],MATCH(,INDIRECT(ADDRESS(ROW(NOTA[ID]),COLUMN(NOTA[ID]))&amp;":"&amp;ADDRESS(ROW(),COLUMN(NOTA[ID]))),-1)))</f>
        <v/>
      </c>
      <c r="AM623" s="28" t="str">
        <f ca="1">IF(NOTA[[#This Row],[ID_H]]="","",IF(NOTA[[#This Row],[FAKTUR]]="",INDIRECT(ADDRESS(ROW()-1,COLUMN())),NOTA[[#This Row],[FAKTUR]]))</f>
        <v/>
      </c>
      <c r="AN623" s="25" t="str">
        <f ca="1">IF(NOTA[[#This Row],[ID]]="","",COUNTIF(NOTA[ID_H],NOTA[[#This Row],[ID_H]]))</f>
        <v/>
      </c>
      <c r="AO623" s="25" t="str">
        <f ca="1">IF(NOTA[[#This Row],[TGL.NOTA]]="",IF(NOTA[[#This Row],[SUPPLIER_H]]="","",AO622),MONTH(NOTA[[#This Row],[TGL.NOTA]]))</f>
        <v/>
      </c>
      <c r="AP6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3" s="25"/>
      <c r="AU623" s="25" t="str">
        <f>IF(NOTA[[#This Row],[CONCAT1]]="","",MATCH(NOTA[[#This Row],[CONCAT1]],[3]!db[NB NOTA_C],0))</f>
        <v/>
      </c>
      <c r="AV623" s="25" t="str">
        <f>IF(NOTA[[#This Row],[QTY/ CTN]]="","",TRUE)</f>
        <v/>
      </c>
      <c r="AW623" s="25" t="str">
        <f ca="1">IF(NOTA[[#This Row],[ID_H]]="","",IF(NOTA[[#This Row],[Column3]]=TRUE,NOTA[[#This Row],[QTY/ CTN]],INDEX([3]!db[QTY/ CTN],NOTA[[#This Row],[//DB]])))</f>
        <v/>
      </c>
      <c r="AX6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3" s="25" t="str">
        <f ca="1">IF(NOTA[[#This Row],[ID_H]]="","",MATCH(NOTA[[#This Row],[NB NOTA_C_QTY]],[3]!db[NB NOTA_C_QTY+F],0))</f>
        <v/>
      </c>
      <c r="AZ623" s="38" t="str">
        <f ca="1">IF(NOTA[[#This Row],[NB NOTA_C_QTY]]="","",ROW()-2)</f>
        <v/>
      </c>
    </row>
    <row r="624" spans="1:52" ht="20.100000000000001" customHeight="1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4" s="25" t="str">
        <f ca="1">IF(NOTA[[#This Row],[NAMA BARANG]]="","",INDEX(NOTA[ID],MATCH(,INDIRECT(ADDRESS(ROW(NOTA[ID]),COLUMN(NOTA[ID]))&amp;":"&amp;ADDRESS(ROW(),COLUMN(NOTA[ID]))),-1)))</f>
        <v/>
      </c>
      <c r="E624" s="33"/>
      <c r="H624" s="34"/>
      <c r="Q624" s="29"/>
      <c r="R624" s="35"/>
      <c r="S624" s="36"/>
      <c r="V624" s="37"/>
      <c r="W624" s="32"/>
      <c r="X624" s="37" t="str">
        <f>IF(NOTA[[#This Row],[HARGA/ CTN]]="",NOTA[[#This Row],[JUMLAH_H]],NOTA[[#This Row],[HARGA/ CTN]]*IF(NOTA[[#This Row],[C]]="",0,NOTA[[#This Row],[C]]))</f>
        <v/>
      </c>
      <c r="Y624" s="37" t="str">
        <f>IF(NOTA[[#This Row],[JUMLAH]]="","",NOTA[[#This Row],[JUMLAH]]*NOTA[[#This Row],[DISC 1]])</f>
        <v/>
      </c>
      <c r="Z624" s="37" t="str">
        <f>IF(NOTA[[#This Row],[JUMLAH]]="","",(NOTA[[#This Row],[JUMLAH]]-NOTA[[#This Row],[DISC 1-]])*NOTA[[#This Row],[DISC 2]])</f>
        <v/>
      </c>
      <c r="AA624" s="37" t="str">
        <f>IF(NOTA[[#This Row],[JUMLAH]]="","",(NOTA[[#This Row],[JUMLAH]]-NOTA[[#This Row],[DISC 1-]]-NOTA[[#This Row],[DISC 2-]])*NOTA[[#This Row],[DISC 3]])</f>
        <v/>
      </c>
      <c r="AB624" s="37" t="str">
        <f>IF(NOTA[[#This Row],[JUMLAH]]="","",NOTA[[#This Row],[DISC 1-]]+NOTA[[#This Row],[DISC 2-]]+NOTA[[#This Row],[DISC 3-]])</f>
        <v/>
      </c>
      <c r="AC624" s="37" t="str">
        <f>IF(NOTA[[#This Row],[JUMLAH]]="","",NOTA[[#This Row],[JUMLAH]]-NOTA[[#This Row],[DISC]])</f>
        <v/>
      </c>
      <c r="AD624" s="37"/>
      <c r="AE6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4" s="37" t="str">
        <f>IF(OR(NOTA[[#This Row],[QTY]]="",NOTA[[#This Row],[HARGA SATUAN]]="",),"",NOTA[[#This Row],[QTY]]*NOTA[[#This Row],[HARGA SATUAN]])</f>
        <v/>
      </c>
      <c r="AI624" s="26" t="str">
        <f ca="1">IF(NOTA[[#This Row],[ID_H]]="","",INDEX(NOTA[TANGGAL],MATCH(,INDIRECT(ADDRESS(ROW(NOTA[TANGGAL]),COLUMN(NOTA[TANGGAL]))&amp;":"&amp;ADDRESS(ROW(),COLUMN(NOTA[TANGGAL]))),-1)))</f>
        <v/>
      </c>
      <c r="AJ624" s="26" t="str">
        <f ca="1">IF(NOTA[[#This Row],[ID_H]]="","",INDEX(NOTA[TGL.NOTA],MATCH(,INDIRECT(ADDRESS(ROW(NOTA[TGL.NOTA]),COLUMN(NOTA[TGL.NOTA]))&amp;":"&amp;ADDRESS(ROW(),COLUMN(NOTA[TGL.NOTA]))),-1)))</f>
        <v/>
      </c>
      <c r="AK624" s="26" t="str">
        <f ca="1">IF(NOTA[[#This Row],[ID_H]]="","",INDEX(NOTA[NO.NOTA],MATCH(NOTA[[#This Row],[ID_H]],NOTA[ID_H],0)))</f>
        <v/>
      </c>
      <c r="AL624" s="28" t="str">
        <f ca="1">IF(NOTA[[#This Row],[NAMA BARANG]]="","",INDEX(NOTA[SUPPLIER],MATCH(,INDIRECT(ADDRESS(ROW(NOTA[ID]),COLUMN(NOTA[ID]))&amp;":"&amp;ADDRESS(ROW(),COLUMN(NOTA[ID]))),-1)))</f>
        <v/>
      </c>
      <c r="AM624" s="28" t="str">
        <f ca="1">IF(NOTA[[#This Row],[ID_H]]="","",IF(NOTA[[#This Row],[FAKTUR]]="",INDIRECT(ADDRESS(ROW()-1,COLUMN())),NOTA[[#This Row],[FAKTUR]]))</f>
        <v/>
      </c>
      <c r="AN624" s="25" t="str">
        <f ca="1">IF(NOTA[[#This Row],[ID]]="","",COUNTIF(NOTA[ID_H],NOTA[[#This Row],[ID_H]]))</f>
        <v/>
      </c>
      <c r="AO624" s="25" t="str">
        <f ca="1">IF(NOTA[[#This Row],[TGL.NOTA]]="",IF(NOTA[[#This Row],[SUPPLIER_H]]="","",AO623),MONTH(NOTA[[#This Row],[TGL.NOTA]]))</f>
        <v/>
      </c>
      <c r="AP6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4" s="25"/>
      <c r="AU624" s="25" t="str">
        <f>IF(NOTA[[#This Row],[CONCAT1]]="","",MATCH(NOTA[[#This Row],[CONCAT1]],[3]!db[NB NOTA_C],0))</f>
        <v/>
      </c>
      <c r="AV624" s="25" t="str">
        <f>IF(NOTA[[#This Row],[QTY/ CTN]]="","",TRUE)</f>
        <v/>
      </c>
      <c r="AW624" s="25" t="str">
        <f ca="1">IF(NOTA[[#This Row],[ID_H]]="","",IF(NOTA[[#This Row],[Column3]]=TRUE,NOTA[[#This Row],[QTY/ CTN]],INDEX([3]!db[QTY/ CTN],NOTA[[#This Row],[//DB]])))</f>
        <v/>
      </c>
      <c r="AX6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4" s="25" t="str">
        <f ca="1">IF(NOTA[[#This Row],[ID_H]]="","",MATCH(NOTA[[#This Row],[NB NOTA_C_QTY]],[3]!db[NB NOTA_C_QTY+F],0))</f>
        <v/>
      </c>
      <c r="AZ624" s="38" t="str">
        <f ca="1">IF(NOTA[[#This Row],[NB NOTA_C_QTY]]="","",ROW()-2)</f>
        <v/>
      </c>
    </row>
    <row r="625" spans="1:52" ht="20.100000000000001" customHeight="1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5" s="25" t="str">
        <f ca="1">IF(NOTA[[#This Row],[NAMA BARANG]]="","",INDEX(NOTA[ID],MATCH(,INDIRECT(ADDRESS(ROW(NOTA[ID]),COLUMN(NOTA[ID]))&amp;":"&amp;ADDRESS(ROW(),COLUMN(NOTA[ID]))),-1)))</f>
        <v/>
      </c>
      <c r="E625" s="33"/>
      <c r="H625" s="34"/>
      <c r="Q625" s="29"/>
      <c r="R625" s="35"/>
      <c r="S625" s="36"/>
      <c r="V625" s="37"/>
      <c r="W625" s="32"/>
      <c r="X625" s="37" t="str">
        <f>IF(NOTA[[#This Row],[HARGA/ CTN]]="",NOTA[[#This Row],[JUMLAH_H]],NOTA[[#This Row],[HARGA/ CTN]]*IF(NOTA[[#This Row],[C]]="",0,NOTA[[#This Row],[C]]))</f>
        <v/>
      </c>
      <c r="Y625" s="37" t="str">
        <f>IF(NOTA[[#This Row],[JUMLAH]]="","",NOTA[[#This Row],[JUMLAH]]*NOTA[[#This Row],[DISC 1]])</f>
        <v/>
      </c>
      <c r="Z625" s="37" t="str">
        <f>IF(NOTA[[#This Row],[JUMLAH]]="","",(NOTA[[#This Row],[JUMLAH]]-NOTA[[#This Row],[DISC 1-]])*NOTA[[#This Row],[DISC 2]])</f>
        <v/>
      </c>
      <c r="AA625" s="37" t="str">
        <f>IF(NOTA[[#This Row],[JUMLAH]]="","",(NOTA[[#This Row],[JUMLAH]]-NOTA[[#This Row],[DISC 1-]]-NOTA[[#This Row],[DISC 2-]])*NOTA[[#This Row],[DISC 3]])</f>
        <v/>
      </c>
      <c r="AB625" s="37" t="str">
        <f>IF(NOTA[[#This Row],[JUMLAH]]="","",NOTA[[#This Row],[DISC 1-]]+NOTA[[#This Row],[DISC 2-]]+NOTA[[#This Row],[DISC 3-]])</f>
        <v/>
      </c>
      <c r="AC625" s="37" t="str">
        <f>IF(NOTA[[#This Row],[JUMLAH]]="","",NOTA[[#This Row],[JUMLAH]]-NOTA[[#This Row],[DISC]])</f>
        <v/>
      </c>
      <c r="AD625" s="37"/>
      <c r="AE6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5" s="37" t="str">
        <f>IF(OR(NOTA[[#This Row],[QTY]]="",NOTA[[#This Row],[HARGA SATUAN]]="",),"",NOTA[[#This Row],[QTY]]*NOTA[[#This Row],[HARGA SATUAN]])</f>
        <v/>
      </c>
      <c r="AI625" s="26" t="str">
        <f ca="1">IF(NOTA[[#This Row],[ID_H]]="","",INDEX(NOTA[TANGGAL],MATCH(,INDIRECT(ADDRESS(ROW(NOTA[TANGGAL]),COLUMN(NOTA[TANGGAL]))&amp;":"&amp;ADDRESS(ROW(),COLUMN(NOTA[TANGGAL]))),-1)))</f>
        <v/>
      </c>
      <c r="AJ625" s="26" t="str">
        <f ca="1">IF(NOTA[[#This Row],[ID_H]]="","",INDEX(NOTA[TGL.NOTA],MATCH(,INDIRECT(ADDRESS(ROW(NOTA[TGL.NOTA]),COLUMN(NOTA[TGL.NOTA]))&amp;":"&amp;ADDRESS(ROW(),COLUMN(NOTA[TGL.NOTA]))),-1)))</f>
        <v/>
      </c>
      <c r="AK625" s="26" t="str">
        <f ca="1">IF(NOTA[[#This Row],[ID_H]]="","",INDEX(NOTA[NO.NOTA],MATCH(NOTA[[#This Row],[ID_H]],NOTA[ID_H],0)))</f>
        <v/>
      </c>
      <c r="AL625" s="28" t="str">
        <f ca="1">IF(NOTA[[#This Row],[NAMA BARANG]]="","",INDEX(NOTA[SUPPLIER],MATCH(,INDIRECT(ADDRESS(ROW(NOTA[ID]),COLUMN(NOTA[ID]))&amp;":"&amp;ADDRESS(ROW(),COLUMN(NOTA[ID]))),-1)))</f>
        <v/>
      </c>
      <c r="AM625" s="28" t="str">
        <f ca="1">IF(NOTA[[#This Row],[ID_H]]="","",IF(NOTA[[#This Row],[FAKTUR]]="",INDIRECT(ADDRESS(ROW()-1,COLUMN())),NOTA[[#This Row],[FAKTUR]]))</f>
        <v/>
      </c>
      <c r="AN625" s="25" t="str">
        <f ca="1">IF(NOTA[[#This Row],[ID]]="","",COUNTIF(NOTA[ID_H],NOTA[[#This Row],[ID_H]]))</f>
        <v/>
      </c>
      <c r="AO625" s="25" t="str">
        <f ca="1">IF(NOTA[[#This Row],[TGL.NOTA]]="",IF(NOTA[[#This Row],[SUPPLIER_H]]="","",AO624),MONTH(NOTA[[#This Row],[TGL.NOTA]]))</f>
        <v/>
      </c>
      <c r="AP6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5" s="25"/>
      <c r="AU625" s="25" t="str">
        <f>IF(NOTA[[#This Row],[CONCAT1]]="","",MATCH(NOTA[[#This Row],[CONCAT1]],[3]!db[NB NOTA_C],0))</f>
        <v/>
      </c>
      <c r="AV625" s="25" t="str">
        <f>IF(NOTA[[#This Row],[QTY/ CTN]]="","",TRUE)</f>
        <v/>
      </c>
      <c r="AW625" s="25" t="str">
        <f ca="1">IF(NOTA[[#This Row],[ID_H]]="","",IF(NOTA[[#This Row],[Column3]]=TRUE,NOTA[[#This Row],[QTY/ CTN]],INDEX([3]!db[QTY/ CTN],NOTA[[#This Row],[//DB]])))</f>
        <v/>
      </c>
      <c r="AX6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5" s="25" t="str">
        <f ca="1">IF(NOTA[[#This Row],[ID_H]]="","",MATCH(NOTA[[#This Row],[NB NOTA_C_QTY]],[3]!db[NB NOTA_C_QTY+F],0))</f>
        <v/>
      </c>
      <c r="AZ625" s="38" t="str">
        <f ca="1">IF(NOTA[[#This Row],[NB NOTA_C_QTY]]="","",ROW()-2)</f>
        <v/>
      </c>
    </row>
    <row r="626" spans="1:52" ht="20.100000000000001" customHeight="1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6" s="25" t="str">
        <f ca="1">IF(NOTA[[#This Row],[NAMA BARANG]]="","",INDEX(NOTA[ID],MATCH(,INDIRECT(ADDRESS(ROW(NOTA[ID]),COLUMN(NOTA[ID]))&amp;":"&amp;ADDRESS(ROW(),COLUMN(NOTA[ID]))),-1)))</f>
        <v/>
      </c>
      <c r="E626" s="33"/>
      <c r="H626" s="34"/>
      <c r="Q626" s="29"/>
      <c r="R626" s="35"/>
      <c r="S626" s="36"/>
      <c r="V626" s="37"/>
      <c r="W626" s="32"/>
      <c r="X626" s="37" t="str">
        <f>IF(NOTA[[#This Row],[HARGA/ CTN]]="",NOTA[[#This Row],[JUMLAH_H]],NOTA[[#This Row],[HARGA/ CTN]]*IF(NOTA[[#This Row],[C]]="",0,NOTA[[#This Row],[C]]))</f>
        <v/>
      </c>
      <c r="Y626" s="37" t="str">
        <f>IF(NOTA[[#This Row],[JUMLAH]]="","",NOTA[[#This Row],[JUMLAH]]*NOTA[[#This Row],[DISC 1]])</f>
        <v/>
      </c>
      <c r="Z626" s="37" t="str">
        <f>IF(NOTA[[#This Row],[JUMLAH]]="","",(NOTA[[#This Row],[JUMLAH]]-NOTA[[#This Row],[DISC 1-]])*NOTA[[#This Row],[DISC 2]])</f>
        <v/>
      </c>
      <c r="AA626" s="37" t="str">
        <f>IF(NOTA[[#This Row],[JUMLAH]]="","",(NOTA[[#This Row],[JUMLAH]]-NOTA[[#This Row],[DISC 1-]]-NOTA[[#This Row],[DISC 2-]])*NOTA[[#This Row],[DISC 3]])</f>
        <v/>
      </c>
      <c r="AB626" s="37" t="str">
        <f>IF(NOTA[[#This Row],[JUMLAH]]="","",NOTA[[#This Row],[DISC 1-]]+NOTA[[#This Row],[DISC 2-]]+NOTA[[#This Row],[DISC 3-]])</f>
        <v/>
      </c>
      <c r="AC626" s="37" t="str">
        <f>IF(NOTA[[#This Row],[JUMLAH]]="","",NOTA[[#This Row],[JUMLAH]]-NOTA[[#This Row],[DISC]])</f>
        <v/>
      </c>
      <c r="AD626" s="37"/>
      <c r="AE6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6" s="37" t="str">
        <f>IF(OR(NOTA[[#This Row],[QTY]]="",NOTA[[#This Row],[HARGA SATUAN]]="",),"",NOTA[[#This Row],[QTY]]*NOTA[[#This Row],[HARGA SATUAN]])</f>
        <v/>
      </c>
      <c r="AI626" s="26" t="str">
        <f ca="1">IF(NOTA[[#This Row],[ID_H]]="","",INDEX(NOTA[TANGGAL],MATCH(,INDIRECT(ADDRESS(ROW(NOTA[TANGGAL]),COLUMN(NOTA[TANGGAL]))&amp;":"&amp;ADDRESS(ROW(),COLUMN(NOTA[TANGGAL]))),-1)))</f>
        <v/>
      </c>
      <c r="AJ626" s="26" t="str">
        <f ca="1">IF(NOTA[[#This Row],[ID_H]]="","",INDEX(NOTA[TGL.NOTA],MATCH(,INDIRECT(ADDRESS(ROW(NOTA[TGL.NOTA]),COLUMN(NOTA[TGL.NOTA]))&amp;":"&amp;ADDRESS(ROW(),COLUMN(NOTA[TGL.NOTA]))),-1)))</f>
        <v/>
      </c>
      <c r="AK626" s="26" t="str">
        <f ca="1">IF(NOTA[[#This Row],[ID_H]]="","",INDEX(NOTA[NO.NOTA],MATCH(NOTA[[#This Row],[ID_H]],NOTA[ID_H],0)))</f>
        <v/>
      </c>
      <c r="AL626" s="28" t="str">
        <f ca="1">IF(NOTA[[#This Row],[NAMA BARANG]]="","",INDEX(NOTA[SUPPLIER],MATCH(,INDIRECT(ADDRESS(ROW(NOTA[ID]),COLUMN(NOTA[ID]))&amp;":"&amp;ADDRESS(ROW(),COLUMN(NOTA[ID]))),-1)))</f>
        <v/>
      </c>
      <c r="AM626" s="28" t="str">
        <f ca="1">IF(NOTA[[#This Row],[ID_H]]="","",IF(NOTA[[#This Row],[FAKTUR]]="",INDIRECT(ADDRESS(ROW()-1,COLUMN())),NOTA[[#This Row],[FAKTUR]]))</f>
        <v/>
      </c>
      <c r="AN626" s="25" t="str">
        <f ca="1">IF(NOTA[[#This Row],[ID]]="","",COUNTIF(NOTA[ID_H],NOTA[[#This Row],[ID_H]]))</f>
        <v/>
      </c>
      <c r="AO626" s="25" t="str">
        <f ca="1">IF(NOTA[[#This Row],[TGL.NOTA]]="",IF(NOTA[[#This Row],[SUPPLIER_H]]="","",AO625),MONTH(NOTA[[#This Row],[TGL.NOTA]]))</f>
        <v/>
      </c>
      <c r="AP6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6" s="25"/>
      <c r="AU626" s="25" t="str">
        <f>IF(NOTA[[#This Row],[CONCAT1]]="","",MATCH(NOTA[[#This Row],[CONCAT1]],[3]!db[NB NOTA_C],0))</f>
        <v/>
      </c>
      <c r="AV626" s="25" t="str">
        <f>IF(NOTA[[#This Row],[QTY/ CTN]]="","",TRUE)</f>
        <v/>
      </c>
      <c r="AW626" s="25" t="str">
        <f ca="1">IF(NOTA[[#This Row],[ID_H]]="","",IF(NOTA[[#This Row],[Column3]]=TRUE,NOTA[[#This Row],[QTY/ CTN]],INDEX([3]!db[QTY/ CTN],NOTA[[#This Row],[//DB]])))</f>
        <v/>
      </c>
      <c r="AX6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6" s="25" t="str">
        <f ca="1">IF(NOTA[[#This Row],[ID_H]]="","",MATCH(NOTA[[#This Row],[NB NOTA_C_QTY]],[3]!db[NB NOTA_C_QTY+F],0))</f>
        <v/>
      </c>
      <c r="AZ626" s="38" t="str">
        <f ca="1">IF(NOTA[[#This Row],[NB NOTA_C_QTY]]="","",ROW()-2)</f>
        <v/>
      </c>
    </row>
    <row r="627" spans="1:52" ht="20.100000000000001" customHeight="1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7" s="25" t="str">
        <f ca="1">IF(NOTA[[#This Row],[NAMA BARANG]]="","",INDEX(NOTA[ID],MATCH(,INDIRECT(ADDRESS(ROW(NOTA[ID]),COLUMN(NOTA[ID]))&amp;":"&amp;ADDRESS(ROW(),COLUMN(NOTA[ID]))),-1)))</f>
        <v/>
      </c>
      <c r="E627" s="33"/>
      <c r="H627" s="34"/>
      <c r="Q627" s="29"/>
      <c r="R627" s="35"/>
      <c r="S627" s="36"/>
      <c r="V627" s="37"/>
      <c r="W627" s="32"/>
      <c r="X627" s="37" t="str">
        <f>IF(NOTA[[#This Row],[HARGA/ CTN]]="",NOTA[[#This Row],[JUMLAH_H]],NOTA[[#This Row],[HARGA/ CTN]]*IF(NOTA[[#This Row],[C]]="",0,NOTA[[#This Row],[C]]))</f>
        <v/>
      </c>
      <c r="Y627" s="37" t="str">
        <f>IF(NOTA[[#This Row],[JUMLAH]]="","",NOTA[[#This Row],[JUMLAH]]*NOTA[[#This Row],[DISC 1]])</f>
        <v/>
      </c>
      <c r="Z627" s="37" t="str">
        <f>IF(NOTA[[#This Row],[JUMLAH]]="","",(NOTA[[#This Row],[JUMLAH]]-NOTA[[#This Row],[DISC 1-]])*NOTA[[#This Row],[DISC 2]])</f>
        <v/>
      </c>
      <c r="AA627" s="37" t="str">
        <f>IF(NOTA[[#This Row],[JUMLAH]]="","",(NOTA[[#This Row],[JUMLAH]]-NOTA[[#This Row],[DISC 1-]]-NOTA[[#This Row],[DISC 2-]])*NOTA[[#This Row],[DISC 3]])</f>
        <v/>
      </c>
      <c r="AB627" s="37" t="str">
        <f>IF(NOTA[[#This Row],[JUMLAH]]="","",NOTA[[#This Row],[DISC 1-]]+NOTA[[#This Row],[DISC 2-]]+NOTA[[#This Row],[DISC 3-]])</f>
        <v/>
      </c>
      <c r="AC627" s="37" t="str">
        <f>IF(NOTA[[#This Row],[JUMLAH]]="","",NOTA[[#This Row],[JUMLAH]]-NOTA[[#This Row],[DISC]])</f>
        <v/>
      </c>
      <c r="AD627" s="37"/>
      <c r="AE6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7" s="37" t="str">
        <f>IF(OR(NOTA[[#This Row],[QTY]]="",NOTA[[#This Row],[HARGA SATUAN]]="",),"",NOTA[[#This Row],[QTY]]*NOTA[[#This Row],[HARGA SATUAN]])</f>
        <v/>
      </c>
      <c r="AI627" s="26" t="str">
        <f ca="1">IF(NOTA[[#This Row],[ID_H]]="","",INDEX(NOTA[TANGGAL],MATCH(,INDIRECT(ADDRESS(ROW(NOTA[TANGGAL]),COLUMN(NOTA[TANGGAL]))&amp;":"&amp;ADDRESS(ROW(),COLUMN(NOTA[TANGGAL]))),-1)))</f>
        <v/>
      </c>
      <c r="AJ627" s="26" t="str">
        <f ca="1">IF(NOTA[[#This Row],[ID_H]]="","",INDEX(NOTA[TGL.NOTA],MATCH(,INDIRECT(ADDRESS(ROW(NOTA[TGL.NOTA]),COLUMN(NOTA[TGL.NOTA]))&amp;":"&amp;ADDRESS(ROW(),COLUMN(NOTA[TGL.NOTA]))),-1)))</f>
        <v/>
      </c>
      <c r="AK627" s="26" t="str">
        <f ca="1">IF(NOTA[[#This Row],[ID_H]]="","",INDEX(NOTA[NO.NOTA],MATCH(NOTA[[#This Row],[ID_H]],NOTA[ID_H],0)))</f>
        <v/>
      </c>
      <c r="AL627" s="28" t="str">
        <f ca="1">IF(NOTA[[#This Row],[NAMA BARANG]]="","",INDEX(NOTA[SUPPLIER],MATCH(,INDIRECT(ADDRESS(ROW(NOTA[ID]),COLUMN(NOTA[ID]))&amp;":"&amp;ADDRESS(ROW(),COLUMN(NOTA[ID]))),-1)))</f>
        <v/>
      </c>
      <c r="AM627" s="28" t="str">
        <f ca="1">IF(NOTA[[#This Row],[ID_H]]="","",IF(NOTA[[#This Row],[FAKTUR]]="",INDIRECT(ADDRESS(ROW()-1,COLUMN())),NOTA[[#This Row],[FAKTUR]]))</f>
        <v/>
      </c>
      <c r="AN627" s="25" t="str">
        <f ca="1">IF(NOTA[[#This Row],[ID]]="","",COUNTIF(NOTA[ID_H],NOTA[[#This Row],[ID_H]]))</f>
        <v/>
      </c>
      <c r="AO627" s="25" t="str">
        <f ca="1">IF(NOTA[[#This Row],[TGL.NOTA]]="",IF(NOTA[[#This Row],[SUPPLIER_H]]="","",AO626),MONTH(NOTA[[#This Row],[TGL.NOTA]]))</f>
        <v/>
      </c>
      <c r="AP6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7" s="25"/>
      <c r="AU627" s="25" t="str">
        <f>IF(NOTA[[#This Row],[CONCAT1]]="","",MATCH(NOTA[[#This Row],[CONCAT1]],[3]!db[NB NOTA_C],0))</f>
        <v/>
      </c>
      <c r="AV627" s="25" t="str">
        <f>IF(NOTA[[#This Row],[QTY/ CTN]]="","",TRUE)</f>
        <v/>
      </c>
      <c r="AW627" s="25" t="str">
        <f ca="1">IF(NOTA[[#This Row],[ID_H]]="","",IF(NOTA[[#This Row],[Column3]]=TRUE,NOTA[[#This Row],[QTY/ CTN]],INDEX([3]!db[QTY/ CTN],NOTA[[#This Row],[//DB]])))</f>
        <v/>
      </c>
      <c r="AX6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7" s="25" t="str">
        <f ca="1">IF(NOTA[[#This Row],[ID_H]]="","",MATCH(NOTA[[#This Row],[NB NOTA_C_QTY]],[3]!db[NB NOTA_C_QTY+F],0))</f>
        <v/>
      </c>
      <c r="AZ627" s="38" t="str">
        <f ca="1">IF(NOTA[[#This Row],[NB NOTA_C_QTY]]="","",ROW()-2)</f>
        <v/>
      </c>
    </row>
    <row r="628" spans="1:52" ht="20.100000000000001" customHeight="1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8" s="25" t="str">
        <f ca="1">IF(NOTA[[#This Row],[NAMA BARANG]]="","",INDEX(NOTA[ID],MATCH(,INDIRECT(ADDRESS(ROW(NOTA[ID]),COLUMN(NOTA[ID]))&amp;":"&amp;ADDRESS(ROW(),COLUMN(NOTA[ID]))),-1)))</f>
        <v/>
      </c>
      <c r="E628" s="33"/>
      <c r="H628" s="34"/>
      <c r="Q628" s="29"/>
      <c r="R628" s="35"/>
      <c r="S628" s="36"/>
      <c r="V628" s="37"/>
      <c r="W628" s="32"/>
      <c r="X628" s="37" t="str">
        <f>IF(NOTA[[#This Row],[HARGA/ CTN]]="",NOTA[[#This Row],[JUMLAH_H]],NOTA[[#This Row],[HARGA/ CTN]]*IF(NOTA[[#This Row],[C]]="",0,NOTA[[#This Row],[C]]))</f>
        <v/>
      </c>
      <c r="Y628" s="37" t="str">
        <f>IF(NOTA[[#This Row],[JUMLAH]]="","",NOTA[[#This Row],[JUMLAH]]*NOTA[[#This Row],[DISC 1]])</f>
        <v/>
      </c>
      <c r="Z628" s="37" t="str">
        <f>IF(NOTA[[#This Row],[JUMLAH]]="","",(NOTA[[#This Row],[JUMLAH]]-NOTA[[#This Row],[DISC 1-]])*NOTA[[#This Row],[DISC 2]])</f>
        <v/>
      </c>
      <c r="AA628" s="37" t="str">
        <f>IF(NOTA[[#This Row],[JUMLAH]]="","",(NOTA[[#This Row],[JUMLAH]]-NOTA[[#This Row],[DISC 1-]]-NOTA[[#This Row],[DISC 2-]])*NOTA[[#This Row],[DISC 3]])</f>
        <v/>
      </c>
      <c r="AB628" s="37" t="str">
        <f>IF(NOTA[[#This Row],[JUMLAH]]="","",NOTA[[#This Row],[DISC 1-]]+NOTA[[#This Row],[DISC 2-]]+NOTA[[#This Row],[DISC 3-]])</f>
        <v/>
      </c>
      <c r="AC628" s="37" t="str">
        <f>IF(NOTA[[#This Row],[JUMLAH]]="","",NOTA[[#This Row],[JUMLAH]]-NOTA[[#This Row],[DISC]])</f>
        <v/>
      </c>
      <c r="AD628" s="37"/>
      <c r="AE6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8" s="37" t="str">
        <f>IF(OR(NOTA[[#This Row],[QTY]]="",NOTA[[#This Row],[HARGA SATUAN]]="",),"",NOTA[[#This Row],[QTY]]*NOTA[[#This Row],[HARGA SATUAN]])</f>
        <v/>
      </c>
      <c r="AI628" s="26" t="str">
        <f ca="1">IF(NOTA[[#This Row],[ID_H]]="","",INDEX(NOTA[TANGGAL],MATCH(,INDIRECT(ADDRESS(ROW(NOTA[TANGGAL]),COLUMN(NOTA[TANGGAL]))&amp;":"&amp;ADDRESS(ROW(),COLUMN(NOTA[TANGGAL]))),-1)))</f>
        <v/>
      </c>
      <c r="AJ628" s="26" t="str">
        <f ca="1">IF(NOTA[[#This Row],[ID_H]]="","",INDEX(NOTA[TGL.NOTA],MATCH(,INDIRECT(ADDRESS(ROW(NOTA[TGL.NOTA]),COLUMN(NOTA[TGL.NOTA]))&amp;":"&amp;ADDRESS(ROW(),COLUMN(NOTA[TGL.NOTA]))),-1)))</f>
        <v/>
      </c>
      <c r="AK628" s="26" t="str">
        <f ca="1">IF(NOTA[[#This Row],[ID_H]]="","",INDEX(NOTA[NO.NOTA],MATCH(NOTA[[#This Row],[ID_H]],NOTA[ID_H],0)))</f>
        <v/>
      </c>
      <c r="AL628" s="28" t="str">
        <f ca="1">IF(NOTA[[#This Row],[NAMA BARANG]]="","",INDEX(NOTA[SUPPLIER],MATCH(,INDIRECT(ADDRESS(ROW(NOTA[ID]),COLUMN(NOTA[ID]))&amp;":"&amp;ADDRESS(ROW(),COLUMN(NOTA[ID]))),-1)))</f>
        <v/>
      </c>
      <c r="AM628" s="28" t="str">
        <f ca="1">IF(NOTA[[#This Row],[ID_H]]="","",IF(NOTA[[#This Row],[FAKTUR]]="",INDIRECT(ADDRESS(ROW()-1,COLUMN())),NOTA[[#This Row],[FAKTUR]]))</f>
        <v/>
      </c>
      <c r="AN628" s="25" t="str">
        <f ca="1">IF(NOTA[[#This Row],[ID]]="","",COUNTIF(NOTA[ID_H],NOTA[[#This Row],[ID_H]]))</f>
        <v/>
      </c>
      <c r="AO628" s="25" t="str">
        <f ca="1">IF(NOTA[[#This Row],[TGL.NOTA]]="",IF(NOTA[[#This Row],[SUPPLIER_H]]="","",AO627),MONTH(NOTA[[#This Row],[TGL.NOTA]]))</f>
        <v/>
      </c>
      <c r="AP6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8" s="25"/>
      <c r="AU628" s="25" t="str">
        <f>IF(NOTA[[#This Row],[CONCAT1]]="","",MATCH(NOTA[[#This Row],[CONCAT1]],[3]!db[NB NOTA_C],0))</f>
        <v/>
      </c>
      <c r="AV628" s="25" t="str">
        <f>IF(NOTA[[#This Row],[QTY/ CTN]]="","",TRUE)</f>
        <v/>
      </c>
      <c r="AW628" s="25" t="str">
        <f ca="1">IF(NOTA[[#This Row],[ID_H]]="","",IF(NOTA[[#This Row],[Column3]]=TRUE,NOTA[[#This Row],[QTY/ CTN]],INDEX([3]!db[QTY/ CTN],NOTA[[#This Row],[//DB]])))</f>
        <v/>
      </c>
      <c r="AX6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8" s="25" t="str">
        <f ca="1">IF(NOTA[[#This Row],[ID_H]]="","",MATCH(NOTA[[#This Row],[NB NOTA_C_QTY]],[3]!db[NB NOTA_C_QTY+F],0))</f>
        <v/>
      </c>
      <c r="AZ628" s="38" t="str">
        <f ca="1">IF(NOTA[[#This Row],[NB NOTA_C_QTY]]="","",ROW()-2)</f>
        <v/>
      </c>
    </row>
    <row r="629" spans="1:52" ht="20.100000000000001" customHeight="1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9" s="25" t="str">
        <f ca="1">IF(NOTA[[#This Row],[NAMA BARANG]]="","",INDEX(NOTA[ID],MATCH(,INDIRECT(ADDRESS(ROW(NOTA[ID]),COLUMN(NOTA[ID]))&amp;":"&amp;ADDRESS(ROW(),COLUMN(NOTA[ID]))),-1)))</f>
        <v/>
      </c>
      <c r="E629" s="33"/>
      <c r="H629" s="34"/>
      <c r="Q629" s="29"/>
      <c r="R629" s="35"/>
      <c r="S629" s="36"/>
      <c r="V629" s="37"/>
      <c r="W629" s="32"/>
      <c r="X629" s="37" t="str">
        <f>IF(NOTA[[#This Row],[HARGA/ CTN]]="",NOTA[[#This Row],[JUMLAH_H]],NOTA[[#This Row],[HARGA/ CTN]]*IF(NOTA[[#This Row],[C]]="",0,NOTA[[#This Row],[C]]))</f>
        <v/>
      </c>
      <c r="Y629" s="37" t="str">
        <f>IF(NOTA[[#This Row],[JUMLAH]]="","",NOTA[[#This Row],[JUMLAH]]*NOTA[[#This Row],[DISC 1]])</f>
        <v/>
      </c>
      <c r="Z629" s="37" t="str">
        <f>IF(NOTA[[#This Row],[JUMLAH]]="","",(NOTA[[#This Row],[JUMLAH]]-NOTA[[#This Row],[DISC 1-]])*NOTA[[#This Row],[DISC 2]])</f>
        <v/>
      </c>
      <c r="AA629" s="37" t="str">
        <f>IF(NOTA[[#This Row],[JUMLAH]]="","",(NOTA[[#This Row],[JUMLAH]]-NOTA[[#This Row],[DISC 1-]]-NOTA[[#This Row],[DISC 2-]])*NOTA[[#This Row],[DISC 3]])</f>
        <v/>
      </c>
      <c r="AB629" s="37" t="str">
        <f>IF(NOTA[[#This Row],[JUMLAH]]="","",NOTA[[#This Row],[DISC 1-]]+NOTA[[#This Row],[DISC 2-]]+NOTA[[#This Row],[DISC 3-]])</f>
        <v/>
      </c>
      <c r="AC629" s="37" t="str">
        <f>IF(NOTA[[#This Row],[JUMLAH]]="","",NOTA[[#This Row],[JUMLAH]]-NOTA[[#This Row],[DISC]])</f>
        <v/>
      </c>
      <c r="AD629" s="37"/>
      <c r="AE6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9" s="37" t="str">
        <f>IF(OR(NOTA[[#This Row],[QTY]]="",NOTA[[#This Row],[HARGA SATUAN]]="",),"",NOTA[[#This Row],[QTY]]*NOTA[[#This Row],[HARGA SATUAN]])</f>
        <v/>
      </c>
      <c r="AI629" s="26" t="str">
        <f ca="1">IF(NOTA[[#This Row],[ID_H]]="","",INDEX(NOTA[TANGGAL],MATCH(,INDIRECT(ADDRESS(ROW(NOTA[TANGGAL]),COLUMN(NOTA[TANGGAL]))&amp;":"&amp;ADDRESS(ROW(),COLUMN(NOTA[TANGGAL]))),-1)))</f>
        <v/>
      </c>
      <c r="AJ629" s="26" t="str">
        <f ca="1">IF(NOTA[[#This Row],[ID_H]]="","",INDEX(NOTA[TGL.NOTA],MATCH(,INDIRECT(ADDRESS(ROW(NOTA[TGL.NOTA]),COLUMN(NOTA[TGL.NOTA]))&amp;":"&amp;ADDRESS(ROW(),COLUMN(NOTA[TGL.NOTA]))),-1)))</f>
        <v/>
      </c>
      <c r="AK629" s="26" t="str">
        <f ca="1">IF(NOTA[[#This Row],[ID_H]]="","",INDEX(NOTA[NO.NOTA],MATCH(NOTA[[#This Row],[ID_H]],NOTA[ID_H],0)))</f>
        <v/>
      </c>
      <c r="AL629" s="28" t="str">
        <f ca="1">IF(NOTA[[#This Row],[NAMA BARANG]]="","",INDEX(NOTA[SUPPLIER],MATCH(,INDIRECT(ADDRESS(ROW(NOTA[ID]),COLUMN(NOTA[ID]))&amp;":"&amp;ADDRESS(ROW(),COLUMN(NOTA[ID]))),-1)))</f>
        <v/>
      </c>
      <c r="AM629" s="28" t="str">
        <f ca="1">IF(NOTA[[#This Row],[ID_H]]="","",IF(NOTA[[#This Row],[FAKTUR]]="",INDIRECT(ADDRESS(ROW()-1,COLUMN())),NOTA[[#This Row],[FAKTUR]]))</f>
        <v/>
      </c>
      <c r="AN629" s="25" t="str">
        <f ca="1">IF(NOTA[[#This Row],[ID]]="","",COUNTIF(NOTA[ID_H],NOTA[[#This Row],[ID_H]]))</f>
        <v/>
      </c>
      <c r="AO629" s="25" t="str">
        <f ca="1">IF(NOTA[[#This Row],[TGL.NOTA]]="",IF(NOTA[[#This Row],[SUPPLIER_H]]="","",AO628),MONTH(NOTA[[#This Row],[TGL.NOTA]]))</f>
        <v/>
      </c>
      <c r="AP6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9" s="25"/>
      <c r="AU629" s="25" t="str">
        <f>IF(NOTA[[#This Row],[CONCAT1]]="","",MATCH(NOTA[[#This Row],[CONCAT1]],[3]!db[NB NOTA_C],0))</f>
        <v/>
      </c>
      <c r="AV629" s="25" t="str">
        <f>IF(NOTA[[#This Row],[QTY/ CTN]]="","",TRUE)</f>
        <v/>
      </c>
      <c r="AW629" s="25" t="str">
        <f ca="1">IF(NOTA[[#This Row],[ID_H]]="","",IF(NOTA[[#This Row],[Column3]]=TRUE,NOTA[[#This Row],[QTY/ CTN]],INDEX([3]!db[QTY/ CTN],NOTA[[#This Row],[//DB]])))</f>
        <v/>
      </c>
      <c r="AX6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9" s="25" t="str">
        <f ca="1">IF(NOTA[[#This Row],[ID_H]]="","",MATCH(NOTA[[#This Row],[NB NOTA_C_QTY]],[3]!db[NB NOTA_C_QTY+F],0))</f>
        <v/>
      </c>
      <c r="AZ629" s="38" t="str">
        <f ca="1">IF(NOTA[[#This Row],[NB NOTA_C_QTY]]="","",ROW()-2)</f>
        <v/>
      </c>
    </row>
    <row r="630" spans="1:52" ht="20.100000000000001" customHeight="1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0" s="25" t="str">
        <f ca="1">IF(NOTA[[#This Row],[NAMA BARANG]]="","",INDEX(NOTA[ID],MATCH(,INDIRECT(ADDRESS(ROW(NOTA[ID]),COLUMN(NOTA[ID]))&amp;":"&amp;ADDRESS(ROW(),COLUMN(NOTA[ID]))),-1)))</f>
        <v/>
      </c>
      <c r="E630" s="33"/>
      <c r="H630" s="34"/>
      <c r="Q630" s="29"/>
      <c r="R630" s="35"/>
      <c r="S630" s="36"/>
      <c r="V630" s="37"/>
      <c r="W630" s="32"/>
      <c r="X630" s="37" t="str">
        <f>IF(NOTA[[#This Row],[HARGA/ CTN]]="",NOTA[[#This Row],[JUMLAH_H]],NOTA[[#This Row],[HARGA/ CTN]]*IF(NOTA[[#This Row],[C]]="",0,NOTA[[#This Row],[C]]))</f>
        <v/>
      </c>
      <c r="Y630" s="37" t="str">
        <f>IF(NOTA[[#This Row],[JUMLAH]]="","",NOTA[[#This Row],[JUMLAH]]*NOTA[[#This Row],[DISC 1]])</f>
        <v/>
      </c>
      <c r="Z630" s="37" t="str">
        <f>IF(NOTA[[#This Row],[JUMLAH]]="","",(NOTA[[#This Row],[JUMLAH]]-NOTA[[#This Row],[DISC 1-]])*NOTA[[#This Row],[DISC 2]])</f>
        <v/>
      </c>
      <c r="AA630" s="37" t="str">
        <f>IF(NOTA[[#This Row],[JUMLAH]]="","",(NOTA[[#This Row],[JUMLAH]]-NOTA[[#This Row],[DISC 1-]]-NOTA[[#This Row],[DISC 2-]])*NOTA[[#This Row],[DISC 3]])</f>
        <v/>
      </c>
      <c r="AB630" s="37" t="str">
        <f>IF(NOTA[[#This Row],[JUMLAH]]="","",NOTA[[#This Row],[DISC 1-]]+NOTA[[#This Row],[DISC 2-]]+NOTA[[#This Row],[DISC 3-]])</f>
        <v/>
      </c>
      <c r="AC630" s="37" t="str">
        <f>IF(NOTA[[#This Row],[JUMLAH]]="","",NOTA[[#This Row],[JUMLAH]]-NOTA[[#This Row],[DISC]])</f>
        <v/>
      </c>
      <c r="AD630" s="37"/>
      <c r="AE6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0" s="37" t="str">
        <f>IF(OR(NOTA[[#This Row],[QTY]]="",NOTA[[#This Row],[HARGA SATUAN]]="",),"",NOTA[[#This Row],[QTY]]*NOTA[[#This Row],[HARGA SATUAN]])</f>
        <v/>
      </c>
      <c r="AI630" s="26" t="str">
        <f ca="1">IF(NOTA[[#This Row],[ID_H]]="","",INDEX(NOTA[TANGGAL],MATCH(,INDIRECT(ADDRESS(ROW(NOTA[TANGGAL]),COLUMN(NOTA[TANGGAL]))&amp;":"&amp;ADDRESS(ROW(),COLUMN(NOTA[TANGGAL]))),-1)))</f>
        <v/>
      </c>
      <c r="AJ630" s="26" t="str">
        <f ca="1">IF(NOTA[[#This Row],[ID_H]]="","",INDEX(NOTA[TGL.NOTA],MATCH(,INDIRECT(ADDRESS(ROW(NOTA[TGL.NOTA]),COLUMN(NOTA[TGL.NOTA]))&amp;":"&amp;ADDRESS(ROW(),COLUMN(NOTA[TGL.NOTA]))),-1)))</f>
        <v/>
      </c>
      <c r="AK630" s="26" t="str">
        <f ca="1">IF(NOTA[[#This Row],[ID_H]]="","",INDEX(NOTA[NO.NOTA],MATCH(NOTA[[#This Row],[ID_H]],NOTA[ID_H],0)))</f>
        <v/>
      </c>
      <c r="AL630" s="28" t="str">
        <f ca="1">IF(NOTA[[#This Row],[NAMA BARANG]]="","",INDEX(NOTA[SUPPLIER],MATCH(,INDIRECT(ADDRESS(ROW(NOTA[ID]),COLUMN(NOTA[ID]))&amp;":"&amp;ADDRESS(ROW(),COLUMN(NOTA[ID]))),-1)))</f>
        <v/>
      </c>
      <c r="AM630" s="28" t="str">
        <f ca="1">IF(NOTA[[#This Row],[ID_H]]="","",IF(NOTA[[#This Row],[FAKTUR]]="",INDIRECT(ADDRESS(ROW()-1,COLUMN())),NOTA[[#This Row],[FAKTUR]]))</f>
        <v/>
      </c>
      <c r="AN630" s="25" t="str">
        <f ca="1">IF(NOTA[[#This Row],[ID]]="","",COUNTIF(NOTA[ID_H],NOTA[[#This Row],[ID_H]]))</f>
        <v/>
      </c>
      <c r="AO630" s="25" t="str">
        <f ca="1">IF(NOTA[[#This Row],[TGL.NOTA]]="",IF(NOTA[[#This Row],[SUPPLIER_H]]="","",AO629),MONTH(NOTA[[#This Row],[TGL.NOTA]]))</f>
        <v/>
      </c>
      <c r="AP6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0" s="25"/>
      <c r="AU630" s="25" t="str">
        <f>IF(NOTA[[#This Row],[CONCAT1]]="","",MATCH(NOTA[[#This Row],[CONCAT1]],[3]!db[NB NOTA_C],0))</f>
        <v/>
      </c>
      <c r="AV630" s="25" t="str">
        <f>IF(NOTA[[#This Row],[QTY/ CTN]]="","",TRUE)</f>
        <v/>
      </c>
      <c r="AW630" s="25" t="str">
        <f ca="1">IF(NOTA[[#This Row],[ID_H]]="","",IF(NOTA[[#This Row],[Column3]]=TRUE,NOTA[[#This Row],[QTY/ CTN]],INDEX([3]!db[QTY/ CTN],NOTA[[#This Row],[//DB]])))</f>
        <v/>
      </c>
      <c r="AX6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0" s="25" t="str">
        <f ca="1">IF(NOTA[[#This Row],[ID_H]]="","",MATCH(NOTA[[#This Row],[NB NOTA_C_QTY]],[3]!db[NB NOTA_C_QTY+F],0))</f>
        <v/>
      </c>
      <c r="AZ630" s="38" t="str">
        <f ca="1">IF(NOTA[[#This Row],[NB NOTA_C_QTY]]="","",ROW()-2)</f>
        <v/>
      </c>
    </row>
    <row r="631" spans="1:52" ht="20.100000000000001" customHeight="1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1" s="25" t="str">
        <f ca="1">IF(NOTA[[#This Row],[NAMA BARANG]]="","",INDEX(NOTA[ID],MATCH(,INDIRECT(ADDRESS(ROW(NOTA[ID]),COLUMN(NOTA[ID]))&amp;":"&amp;ADDRESS(ROW(),COLUMN(NOTA[ID]))),-1)))</f>
        <v/>
      </c>
      <c r="E631" s="33"/>
      <c r="H631" s="34"/>
      <c r="Q631" s="29"/>
      <c r="R631" s="35"/>
      <c r="S631" s="36"/>
      <c r="V631" s="37"/>
      <c r="W631" s="32"/>
      <c r="X631" s="37" t="str">
        <f>IF(NOTA[[#This Row],[HARGA/ CTN]]="",NOTA[[#This Row],[JUMLAH_H]],NOTA[[#This Row],[HARGA/ CTN]]*IF(NOTA[[#This Row],[C]]="",0,NOTA[[#This Row],[C]]))</f>
        <v/>
      </c>
      <c r="Y631" s="37" t="str">
        <f>IF(NOTA[[#This Row],[JUMLAH]]="","",NOTA[[#This Row],[JUMLAH]]*NOTA[[#This Row],[DISC 1]])</f>
        <v/>
      </c>
      <c r="Z631" s="37" t="str">
        <f>IF(NOTA[[#This Row],[JUMLAH]]="","",(NOTA[[#This Row],[JUMLAH]]-NOTA[[#This Row],[DISC 1-]])*NOTA[[#This Row],[DISC 2]])</f>
        <v/>
      </c>
      <c r="AA631" s="37" t="str">
        <f>IF(NOTA[[#This Row],[JUMLAH]]="","",(NOTA[[#This Row],[JUMLAH]]-NOTA[[#This Row],[DISC 1-]]-NOTA[[#This Row],[DISC 2-]])*NOTA[[#This Row],[DISC 3]])</f>
        <v/>
      </c>
      <c r="AB631" s="37" t="str">
        <f>IF(NOTA[[#This Row],[JUMLAH]]="","",NOTA[[#This Row],[DISC 1-]]+NOTA[[#This Row],[DISC 2-]]+NOTA[[#This Row],[DISC 3-]])</f>
        <v/>
      </c>
      <c r="AC631" s="37" t="str">
        <f>IF(NOTA[[#This Row],[JUMLAH]]="","",NOTA[[#This Row],[JUMLAH]]-NOTA[[#This Row],[DISC]])</f>
        <v/>
      </c>
      <c r="AD631" s="37"/>
      <c r="AE6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1" s="37" t="str">
        <f>IF(OR(NOTA[[#This Row],[QTY]]="",NOTA[[#This Row],[HARGA SATUAN]]="",),"",NOTA[[#This Row],[QTY]]*NOTA[[#This Row],[HARGA SATUAN]])</f>
        <v/>
      </c>
      <c r="AI631" s="26" t="str">
        <f ca="1">IF(NOTA[[#This Row],[ID_H]]="","",INDEX(NOTA[TANGGAL],MATCH(,INDIRECT(ADDRESS(ROW(NOTA[TANGGAL]),COLUMN(NOTA[TANGGAL]))&amp;":"&amp;ADDRESS(ROW(),COLUMN(NOTA[TANGGAL]))),-1)))</f>
        <v/>
      </c>
      <c r="AJ631" s="26" t="str">
        <f ca="1">IF(NOTA[[#This Row],[ID_H]]="","",INDEX(NOTA[TGL.NOTA],MATCH(,INDIRECT(ADDRESS(ROW(NOTA[TGL.NOTA]),COLUMN(NOTA[TGL.NOTA]))&amp;":"&amp;ADDRESS(ROW(),COLUMN(NOTA[TGL.NOTA]))),-1)))</f>
        <v/>
      </c>
      <c r="AK631" s="26" t="str">
        <f ca="1">IF(NOTA[[#This Row],[ID_H]]="","",INDEX(NOTA[NO.NOTA],MATCH(NOTA[[#This Row],[ID_H]],NOTA[ID_H],0)))</f>
        <v/>
      </c>
      <c r="AL631" s="28" t="str">
        <f ca="1">IF(NOTA[[#This Row],[NAMA BARANG]]="","",INDEX(NOTA[SUPPLIER],MATCH(,INDIRECT(ADDRESS(ROW(NOTA[ID]),COLUMN(NOTA[ID]))&amp;":"&amp;ADDRESS(ROW(),COLUMN(NOTA[ID]))),-1)))</f>
        <v/>
      </c>
      <c r="AM631" s="28" t="str">
        <f ca="1">IF(NOTA[[#This Row],[ID_H]]="","",IF(NOTA[[#This Row],[FAKTUR]]="",INDIRECT(ADDRESS(ROW()-1,COLUMN())),NOTA[[#This Row],[FAKTUR]]))</f>
        <v/>
      </c>
      <c r="AN631" s="25" t="str">
        <f ca="1">IF(NOTA[[#This Row],[ID]]="","",COUNTIF(NOTA[ID_H],NOTA[[#This Row],[ID_H]]))</f>
        <v/>
      </c>
      <c r="AO631" s="25" t="str">
        <f ca="1">IF(NOTA[[#This Row],[TGL.NOTA]]="",IF(NOTA[[#This Row],[SUPPLIER_H]]="","",AO630),MONTH(NOTA[[#This Row],[TGL.NOTA]]))</f>
        <v/>
      </c>
      <c r="AP6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1" s="25"/>
      <c r="AU631" s="25" t="str">
        <f>IF(NOTA[[#This Row],[CONCAT1]]="","",MATCH(NOTA[[#This Row],[CONCAT1]],[3]!db[NB NOTA_C],0))</f>
        <v/>
      </c>
      <c r="AV631" s="25" t="str">
        <f>IF(NOTA[[#This Row],[QTY/ CTN]]="","",TRUE)</f>
        <v/>
      </c>
      <c r="AW631" s="25" t="str">
        <f ca="1">IF(NOTA[[#This Row],[ID_H]]="","",IF(NOTA[[#This Row],[Column3]]=TRUE,NOTA[[#This Row],[QTY/ CTN]],INDEX([3]!db[QTY/ CTN],NOTA[[#This Row],[//DB]])))</f>
        <v/>
      </c>
      <c r="AX6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1" s="25" t="str">
        <f ca="1">IF(NOTA[[#This Row],[ID_H]]="","",MATCH(NOTA[[#This Row],[NB NOTA_C_QTY]],[3]!db[NB NOTA_C_QTY+F],0))</f>
        <v/>
      </c>
      <c r="AZ631" s="38" t="str">
        <f ca="1">IF(NOTA[[#This Row],[NB NOTA_C_QTY]]="","",ROW()-2)</f>
        <v/>
      </c>
    </row>
    <row r="632" spans="1:52" ht="20.100000000000001" customHeight="1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2" s="25" t="str">
        <f ca="1">IF(NOTA[[#This Row],[NAMA BARANG]]="","",INDEX(NOTA[ID],MATCH(,INDIRECT(ADDRESS(ROW(NOTA[ID]),COLUMN(NOTA[ID]))&amp;":"&amp;ADDRESS(ROW(),COLUMN(NOTA[ID]))),-1)))</f>
        <v/>
      </c>
      <c r="E632" s="33"/>
      <c r="H632" s="34"/>
      <c r="Q632" s="29"/>
      <c r="R632" s="35"/>
      <c r="S632" s="36"/>
      <c r="V632" s="37"/>
      <c r="W632" s="32"/>
      <c r="X632" s="37" t="str">
        <f>IF(NOTA[[#This Row],[HARGA/ CTN]]="",NOTA[[#This Row],[JUMLAH_H]],NOTA[[#This Row],[HARGA/ CTN]]*IF(NOTA[[#This Row],[C]]="",0,NOTA[[#This Row],[C]]))</f>
        <v/>
      </c>
      <c r="Y632" s="37" t="str">
        <f>IF(NOTA[[#This Row],[JUMLAH]]="","",NOTA[[#This Row],[JUMLAH]]*NOTA[[#This Row],[DISC 1]])</f>
        <v/>
      </c>
      <c r="Z632" s="37" t="str">
        <f>IF(NOTA[[#This Row],[JUMLAH]]="","",(NOTA[[#This Row],[JUMLAH]]-NOTA[[#This Row],[DISC 1-]])*NOTA[[#This Row],[DISC 2]])</f>
        <v/>
      </c>
      <c r="AA632" s="37" t="str">
        <f>IF(NOTA[[#This Row],[JUMLAH]]="","",(NOTA[[#This Row],[JUMLAH]]-NOTA[[#This Row],[DISC 1-]]-NOTA[[#This Row],[DISC 2-]])*NOTA[[#This Row],[DISC 3]])</f>
        <v/>
      </c>
      <c r="AB632" s="37" t="str">
        <f>IF(NOTA[[#This Row],[JUMLAH]]="","",NOTA[[#This Row],[DISC 1-]]+NOTA[[#This Row],[DISC 2-]]+NOTA[[#This Row],[DISC 3-]])</f>
        <v/>
      </c>
      <c r="AC632" s="37" t="str">
        <f>IF(NOTA[[#This Row],[JUMLAH]]="","",NOTA[[#This Row],[JUMLAH]]-NOTA[[#This Row],[DISC]])</f>
        <v/>
      </c>
      <c r="AD632" s="37"/>
      <c r="AE6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2" s="37" t="str">
        <f>IF(OR(NOTA[[#This Row],[QTY]]="",NOTA[[#This Row],[HARGA SATUAN]]="",),"",NOTA[[#This Row],[QTY]]*NOTA[[#This Row],[HARGA SATUAN]])</f>
        <v/>
      </c>
      <c r="AI632" s="26" t="str">
        <f ca="1">IF(NOTA[[#This Row],[ID_H]]="","",INDEX(NOTA[TANGGAL],MATCH(,INDIRECT(ADDRESS(ROW(NOTA[TANGGAL]),COLUMN(NOTA[TANGGAL]))&amp;":"&amp;ADDRESS(ROW(),COLUMN(NOTA[TANGGAL]))),-1)))</f>
        <v/>
      </c>
      <c r="AJ632" s="26" t="str">
        <f ca="1">IF(NOTA[[#This Row],[ID_H]]="","",INDEX(NOTA[TGL.NOTA],MATCH(,INDIRECT(ADDRESS(ROW(NOTA[TGL.NOTA]),COLUMN(NOTA[TGL.NOTA]))&amp;":"&amp;ADDRESS(ROW(),COLUMN(NOTA[TGL.NOTA]))),-1)))</f>
        <v/>
      </c>
      <c r="AK632" s="26" t="str">
        <f ca="1">IF(NOTA[[#This Row],[ID_H]]="","",INDEX(NOTA[NO.NOTA],MATCH(NOTA[[#This Row],[ID_H]],NOTA[ID_H],0)))</f>
        <v/>
      </c>
      <c r="AL632" s="28" t="str">
        <f ca="1">IF(NOTA[[#This Row],[NAMA BARANG]]="","",INDEX(NOTA[SUPPLIER],MATCH(,INDIRECT(ADDRESS(ROW(NOTA[ID]),COLUMN(NOTA[ID]))&amp;":"&amp;ADDRESS(ROW(),COLUMN(NOTA[ID]))),-1)))</f>
        <v/>
      </c>
      <c r="AM632" s="28" t="str">
        <f ca="1">IF(NOTA[[#This Row],[ID_H]]="","",IF(NOTA[[#This Row],[FAKTUR]]="",INDIRECT(ADDRESS(ROW()-1,COLUMN())),NOTA[[#This Row],[FAKTUR]]))</f>
        <v/>
      </c>
      <c r="AN632" s="25" t="str">
        <f ca="1">IF(NOTA[[#This Row],[ID]]="","",COUNTIF(NOTA[ID_H],NOTA[[#This Row],[ID_H]]))</f>
        <v/>
      </c>
      <c r="AO632" s="25" t="str">
        <f ca="1">IF(NOTA[[#This Row],[TGL.NOTA]]="",IF(NOTA[[#This Row],[SUPPLIER_H]]="","",AO631),MONTH(NOTA[[#This Row],[TGL.NOTA]]))</f>
        <v/>
      </c>
      <c r="AP6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2" s="25"/>
      <c r="AU632" s="25" t="str">
        <f>IF(NOTA[[#This Row],[CONCAT1]]="","",MATCH(NOTA[[#This Row],[CONCAT1]],[3]!db[NB NOTA_C],0))</f>
        <v/>
      </c>
      <c r="AV632" s="25" t="str">
        <f>IF(NOTA[[#This Row],[QTY/ CTN]]="","",TRUE)</f>
        <v/>
      </c>
      <c r="AW632" s="25" t="str">
        <f ca="1">IF(NOTA[[#This Row],[ID_H]]="","",IF(NOTA[[#This Row],[Column3]]=TRUE,NOTA[[#This Row],[QTY/ CTN]],INDEX([3]!db[QTY/ CTN],NOTA[[#This Row],[//DB]])))</f>
        <v/>
      </c>
      <c r="AX6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2" s="25" t="str">
        <f ca="1">IF(NOTA[[#This Row],[ID_H]]="","",MATCH(NOTA[[#This Row],[NB NOTA_C_QTY]],[3]!db[NB NOTA_C_QTY+F],0))</f>
        <v/>
      </c>
      <c r="AZ632" s="38" t="str">
        <f ca="1">IF(NOTA[[#This Row],[NB NOTA_C_QTY]]="","",ROW()-2)</f>
        <v/>
      </c>
    </row>
    <row r="633" spans="1:52" ht="20.100000000000001" customHeight="1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3" s="25" t="str">
        <f ca="1">IF(NOTA[[#This Row],[NAMA BARANG]]="","",INDEX(NOTA[ID],MATCH(,INDIRECT(ADDRESS(ROW(NOTA[ID]),COLUMN(NOTA[ID]))&amp;":"&amp;ADDRESS(ROW(),COLUMN(NOTA[ID]))),-1)))</f>
        <v/>
      </c>
      <c r="E633" s="33"/>
      <c r="H633" s="34"/>
      <c r="Q633" s="29"/>
      <c r="R633" s="35"/>
      <c r="S633" s="36"/>
      <c r="V633" s="37"/>
      <c r="W633" s="32"/>
      <c r="X633" s="37" t="str">
        <f>IF(NOTA[[#This Row],[HARGA/ CTN]]="",NOTA[[#This Row],[JUMLAH_H]],NOTA[[#This Row],[HARGA/ CTN]]*IF(NOTA[[#This Row],[C]]="",0,NOTA[[#This Row],[C]]))</f>
        <v/>
      </c>
      <c r="Y633" s="37" t="str">
        <f>IF(NOTA[[#This Row],[JUMLAH]]="","",NOTA[[#This Row],[JUMLAH]]*NOTA[[#This Row],[DISC 1]])</f>
        <v/>
      </c>
      <c r="Z633" s="37" t="str">
        <f>IF(NOTA[[#This Row],[JUMLAH]]="","",(NOTA[[#This Row],[JUMLAH]]-NOTA[[#This Row],[DISC 1-]])*NOTA[[#This Row],[DISC 2]])</f>
        <v/>
      </c>
      <c r="AA633" s="37" t="str">
        <f>IF(NOTA[[#This Row],[JUMLAH]]="","",(NOTA[[#This Row],[JUMLAH]]-NOTA[[#This Row],[DISC 1-]]-NOTA[[#This Row],[DISC 2-]])*NOTA[[#This Row],[DISC 3]])</f>
        <v/>
      </c>
      <c r="AB633" s="37" t="str">
        <f>IF(NOTA[[#This Row],[JUMLAH]]="","",NOTA[[#This Row],[DISC 1-]]+NOTA[[#This Row],[DISC 2-]]+NOTA[[#This Row],[DISC 3-]])</f>
        <v/>
      </c>
      <c r="AC633" s="37" t="str">
        <f>IF(NOTA[[#This Row],[JUMLAH]]="","",NOTA[[#This Row],[JUMLAH]]-NOTA[[#This Row],[DISC]])</f>
        <v/>
      </c>
      <c r="AD633" s="37"/>
      <c r="AE6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3" s="37" t="str">
        <f>IF(OR(NOTA[[#This Row],[QTY]]="",NOTA[[#This Row],[HARGA SATUAN]]="",),"",NOTA[[#This Row],[QTY]]*NOTA[[#This Row],[HARGA SATUAN]])</f>
        <v/>
      </c>
      <c r="AI633" s="26" t="str">
        <f ca="1">IF(NOTA[[#This Row],[ID_H]]="","",INDEX(NOTA[TANGGAL],MATCH(,INDIRECT(ADDRESS(ROW(NOTA[TANGGAL]),COLUMN(NOTA[TANGGAL]))&amp;":"&amp;ADDRESS(ROW(),COLUMN(NOTA[TANGGAL]))),-1)))</f>
        <v/>
      </c>
      <c r="AJ633" s="26" t="str">
        <f ca="1">IF(NOTA[[#This Row],[ID_H]]="","",INDEX(NOTA[TGL.NOTA],MATCH(,INDIRECT(ADDRESS(ROW(NOTA[TGL.NOTA]),COLUMN(NOTA[TGL.NOTA]))&amp;":"&amp;ADDRESS(ROW(),COLUMN(NOTA[TGL.NOTA]))),-1)))</f>
        <v/>
      </c>
      <c r="AK633" s="26" t="str">
        <f ca="1">IF(NOTA[[#This Row],[ID_H]]="","",INDEX(NOTA[NO.NOTA],MATCH(NOTA[[#This Row],[ID_H]],NOTA[ID_H],0)))</f>
        <v/>
      </c>
      <c r="AL633" s="28" t="str">
        <f ca="1">IF(NOTA[[#This Row],[NAMA BARANG]]="","",INDEX(NOTA[SUPPLIER],MATCH(,INDIRECT(ADDRESS(ROW(NOTA[ID]),COLUMN(NOTA[ID]))&amp;":"&amp;ADDRESS(ROW(),COLUMN(NOTA[ID]))),-1)))</f>
        <v/>
      </c>
      <c r="AM633" s="28" t="str">
        <f ca="1">IF(NOTA[[#This Row],[ID_H]]="","",IF(NOTA[[#This Row],[FAKTUR]]="",INDIRECT(ADDRESS(ROW()-1,COLUMN())),NOTA[[#This Row],[FAKTUR]]))</f>
        <v/>
      </c>
      <c r="AN633" s="25" t="str">
        <f ca="1">IF(NOTA[[#This Row],[ID]]="","",COUNTIF(NOTA[ID_H],NOTA[[#This Row],[ID_H]]))</f>
        <v/>
      </c>
      <c r="AO633" s="25" t="str">
        <f ca="1">IF(NOTA[[#This Row],[TGL.NOTA]]="",IF(NOTA[[#This Row],[SUPPLIER_H]]="","",AO632),MONTH(NOTA[[#This Row],[TGL.NOTA]]))</f>
        <v/>
      </c>
      <c r="AP6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3" s="25"/>
      <c r="AU633" s="25" t="str">
        <f>IF(NOTA[[#This Row],[CONCAT1]]="","",MATCH(NOTA[[#This Row],[CONCAT1]],[3]!db[NB NOTA_C],0))</f>
        <v/>
      </c>
      <c r="AV633" s="25" t="str">
        <f>IF(NOTA[[#This Row],[QTY/ CTN]]="","",TRUE)</f>
        <v/>
      </c>
      <c r="AW633" s="25" t="str">
        <f ca="1">IF(NOTA[[#This Row],[ID_H]]="","",IF(NOTA[[#This Row],[Column3]]=TRUE,NOTA[[#This Row],[QTY/ CTN]],INDEX([3]!db[QTY/ CTN],NOTA[[#This Row],[//DB]])))</f>
        <v/>
      </c>
      <c r="AX6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3" s="25" t="str">
        <f ca="1">IF(NOTA[[#This Row],[ID_H]]="","",MATCH(NOTA[[#This Row],[NB NOTA_C_QTY]],[3]!db[NB NOTA_C_QTY+F],0))</f>
        <v/>
      </c>
      <c r="AZ633" s="38" t="str">
        <f ca="1">IF(NOTA[[#This Row],[NB NOTA_C_QTY]]="","",ROW()-2)</f>
        <v/>
      </c>
    </row>
    <row r="634" spans="1:52" ht="20.100000000000001" customHeight="1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4" s="25" t="str">
        <f ca="1">IF(NOTA[[#This Row],[NAMA BARANG]]="","",INDEX(NOTA[ID],MATCH(,INDIRECT(ADDRESS(ROW(NOTA[ID]),COLUMN(NOTA[ID]))&amp;":"&amp;ADDRESS(ROW(),COLUMN(NOTA[ID]))),-1)))</f>
        <v/>
      </c>
      <c r="E634" s="33"/>
      <c r="H634" s="34"/>
      <c r="Q634" s="29"/>
      <c r="R634" s="35"/>
      <c r="S634" s="36"/>
      <c r="V634" s="37"/>
      <c r="W634" s="32"/>
      <c r="X634" s="37" t="str">
        <f>IF(NOTA[[#This Row],[HARGA/ CTN]]="",NOTA[[#This Row],[JUMLAH_H]],NOTA[[#This Row],[HARGA/ CTN]]*IF(NOTA[[#This Row],[C]]="",0,NOTA[[#This Row],[C]]))</f>
        <v/>
      </c>
      <c r="Y634" s="37" t="str">
        <f>IF(NOTA[[#This Row],[JUMLAH]]="","",NOTA[[#This Row],[JUMLAH]]*NOTA[[#This Row],[DISC 1]])</f>
        <v/>
      </c>
      <c r="Z634" s="37" t="str">
        <f>IF(NOTA[[#This Row],[JUMLAH]]="","",(NOTA[[#This Row],[JUMLAH]]-NOTA[[#This Row],[DISC 1-]])*NOTA[[#This Row],[DISC 2]])</f>
        <v/>
      </c>
      <c r="AA634" s="37" t="str">
        <f>IF(NOTA[[#This Row],[JUMLAH]]="","",(NOTA[[#This Row],[JUMLAH]]-NOTA[[#This Row],[DISC 1-]]-NOTA[[#This Row],[DISC 2-]])*NOTA[[#This Row],[DISC 3]])</f>
        <v/>
      </c>
      <c r="AB634" s="37" t="str">
        <f>IF(NOTA[[#This Row],[JUMLAH]]="","",NOTA[[#This Row],[DISC 1-]]+NOTA[[#This Row],[DISC 2-]]+NOTA[[#This Row],[DISC 3-]])</f>
        <v/>
      </c>
      <c r="AC634" s="37" t="str">
        <f>IF(NOTA[[#This Row],[JUMLAH]]="","",NOTA[[#This Row],[JUMLAH]]-NOTA[[#This Row],[DISC]])</f>
        <v/>
      </c>
      <c r="AD634" s="37"/>
      <c r="AE6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4" s="37" t="str">
        <f>IF(OR(NOTA[[#This Row],[QTY]]="",NOTA[[#This Row],[HARGA SATUAN]]="",),"",NOTA[[#This Row],[QTY]]*NOTA[[#This Row],[HARGA SATUAN]])</f>
        <v/>
      </c>
      <c r="AI634" s="26" t="str">
        <f ca="1">IF(NOTA[[#This Row],[ID_H]]="","",INDEX(NOTA[TANGGAL],MATCH(,INDIRECT(ADDRESS(ROW(NOTA[TANGGAL]),COLUMN(NOTA[TANGGAL]))&amp;":"&amp;ADDRESS(ROW(),COLUMN(NOTA[TANGGAL]))),-1)))</f>
        <v/>
      </c>
      <c r="AJ634" s="26" t="str">
        <f ca="1">IF(NOTA[[#This Row],[ID_H]]="","",INDEX(NOTA[TGL.NOTA],MATCH(,INDIRECT(ADDRESS(ROW(NOTA[TGL.NOTA]),COLUMN(NOTA[TGL.NOTA]))&amp;":"&amp;ADDRESS(ROW(),COLUMN(NOTA[TGL.NOTA]))),-1)))</f>
        <v/>
      </c>
      <c r="AK634" s="26" t="str">
        <f ca="1">IF(NOTA[[#This Row],[ID_H]]="","",INDEX(NOTA[NO.NOTA],MATCH(NOTA[[#This Row],[ID_H]],NOTA[ID_H],0)))</f>
        <v/>
      </c>
      <c r="AL634" s="28" t="str">
        <f ca="1">IF(NOTA[[#This Row],[NAMA BARANG]]="","",INDEX(NOTA[SUPPLIER],MATCH(,INDIRECT(ADDRESS(ROW(NOTA[ID]),COLUMN(NOTA[ID]))&amp;":"&amp;ADDRESS(ROW(),COLUMN(NOTA[ID]))),-1)))</f>
        <v/>
      </c>
      <c r="AM634" s="28" t="str">
        <f ca="1">IF(NOTA[[#This Row],[ID_H]]="","",IF(NOTA[[#This Row],[FAKTUR]]="",INDIRECT(ADDRESS(ROW()-1,COLUMN())),NOTA[[#This Row],[FAKTUR]]))</f>
        <v/>
      </c>
      <c r="AN634" s="25" t="str">
        <f ca="1">IF(NOTA[[#This Row],[ID]]="","",COUNTIF(NOTA[ID_H],NOTA[[#This Row],[ID_H]]))</f>
        <v/>
      </c>
      <c r="AO634" s="25" t="str">
        <f ca="1">IF(NOTA[[#This Row],[TGL.NOTA]]="",IF(NOTA[[#This Row],[SUPPLIER_H]]="","",AO633),MONTH(NOTA[[#This Row],[TGL.NOTA]]))</f>
        <v/>
      </c>
      <c r="AP6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4" s="25"/>
      <c r="AU634" s="25" t="str">
        <f>IF(NOTA[[#This Row],[CONCAT1]]="","",MATCH(NOTA[[#This Row],[CONCAT1]],[3]!db[NB NOTA_C],0))</f>
        <v/>
      </c>
      <c r="AV634" s="25" t="str">
        <f>IF(NOTA[[#This Row],[QTY/ CTN]]="","",TRUE)</f>
        <v/>
      </c>
      <c r="AW634" s="25" t="str">
        <f ca="1">IF(NOTA[[#This Row],[ID_H]]="","",IF(NOTA[[#This Row],[Column3]]=TRUE,NOTA[[#This Row],[QTY/ CTN]],INDEX([3]!db[QTY/ CTN],NOTA[[#This Row],[//DB]])))</f>
        <v/>
      </c>
      <c r="AX6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4" s="25" t="str">
        <f ca="1">IF(NOTA[[#This Row],[ID_H]]="","",MATCH(NOTA[[#This Row],[NB NOTA_C_QTY]],[3]!db[NB NOTA_C_QTY+F],0))</f>
        <v/>
      </c>
      <c r="AZ634" s="38" t="str">
        <f ca="1">IF(NOTA[[#This Row],[NB NOTA_C_QTY]]="","",ROW()-2)</f>
        <v/>
      </c>
    </row>
    <row r="635" spans="1:52" ht="20.100000000000001" customHeight="1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5" s="25" t="str">
        <f ca="1">IF(NOTA[[#This Row],[NAMA BARANG]]="","",INDEX(NOTA[ID],MATCH(,INDIRECT(ADDRESS(ROW(NOTA[ID]),COLUMN(NOTA[ID]))&amp;":"&amp;ADDRESS(ROW(),COLUMN(NOTA[ID]))),-1)))</f>
        <v/>
      </c>
      <c r="E635" s="33"/>
      <c r="H635" s="34"/>
      <c r="Q635" s="29"/>
      <c r="R635" s="35"/>
      <c r="S635" s="36"/>
      <c r="V635" s="37"/>
      <c r="W635" s="32"/>
      <c r="X635" s="37" t="str">
        <f>IF(NOTA[[#This Row],[HARGA/ CTN]]="",NOTA[[#This Row],[JUMLAH_H]],NOTA[[#This Row],[HARGA/ CTN]]*IF(NOTA[[#This Row],[C]]="",0,NOTA[[#This Row],[C]]))</f>
        <v/>
      </c>
      <c r="Y635" s="37" t="str">
        <f>IF(NOTA[[#This Row],[JUMLAH]]="","",NOTA[[#This Row],[JUMLAH]]*NOTA[[#This Row],[DISC 1]])</f>
        <v/>
      </c>
      <c r="Z635" s="37" t="str">
        <f>IF(NOTA[[#This Row],[JUMLAH]]="","",(NOTA[[#This Row],[JUMLAH]]-NOTA[[#This Row],[DISC 1-]])*NOTA[[#This Row],[DISC 2]])</f>
        <v/>
      </c>
      <c r="AA635" s="37" t="str">
        <f>IF(NOTA[[#This Row],[JUMLAH]]="","",(NOTA[[#This Row],[JUMLAH]]-NOTA[[#This Row],[DISC 1-]]-NOTA[[#This Row],[DISC 2-]])*NOTA[[#This Row],[DISC 3]])</f>
        <v/>
      </c>
      <c r="AB635" s="37" t="str">
        <f>IF(NOTA[[#This Row],[JUMLAH]]="","",NOTA[[#This Row],[DISC 1-]]+NOTA[[#This Row],[DISC 2-]]+NOTA[[#This Row],[DISC 3-]])</f>
        <v/>
      </c>
      <c r="AC635" s="37" t="str">
        <f>IF(NOTA[[#This Row],[JUMLAH]]="","",NOTA[[#This Row],[JUMLAH]]-NOTA[[#This Row],[DISC]])</f>
        <v/>
      </c>
      <c r="AD635" s="37"/>
      <c r="AE6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5" s="37" t="str">
        <f>IF(OR(NOTA[[#This Row],[QTY]]="",NOTA[[#This Row],[HARGA SATUAN]]="",),"",NOTA[[#This Row],[QTY]]*NOTA[[#This Row],[HARGA SATUAN]])</f>
        <v/>
      </c>
      <c r="AI635" s="26" t="str">
        <f ca="1">IF(NOTA[[#This Row],[ID_H]]="","",INDEX(NOTA[TANGGAL],MATCH(,INDIRECT(ADDRESS(ROW(NOTA[TANGGAL]),COLUMN(NOTA[TANGGAL]))&amp;":"&amp;ADDRESS(ROW(),COLUMN(NOTA[TANGGAL]))),-1)))</f>
        <v/>
      </c>
      <c r="AJ635" s="26" t="str">
        <f ca="1">IF(NOTA[[#This Row],[ID_H]]="","",INDEX(NOTA[TGL.NOTA],MATCH(,INDIRECT(ADDRESS(ROW(NOTA[TGL.NOTA]),COLUMN(NOTA[TGL.NOTA]))&amp;":"&amp;ADDRESS(ROW(),COLUMN(NOTA[TGL.NOTA]))),-1)))</f>
        <v/>
      </c>
      <c r="AK635" s="26" t="str">
        <f ca="1">IF(NOTA[[#This Row],[ID_H]]="","",INDEX(NOTA[NO.NOTA],MATCH(NOTA[[#This Row],[ID_H]],NOTA[ID_H],0)))</f>
        <v/>
      </c>
      <c r="AL635" s="28" t="str">
        <f ca="1">IF(NOTA[[#This Row],[NAMA BARANG]]="","",INDEX(NOTA[SUPPLIER],MATCH(,INDIRECT(ADDRESS(ROW(NOTA[ID]),COLUMN(NOTA[ID]))&amp;":"&amp;ADDRESS(ROW(),COLUMN(NOTA[ID]))),-1)))</f>
        <v/>
      </c>
      <c r="AM635" s="28" t="str">
        <f ca="1">IF(NOTA[[#This Row],[ID_H]]="","",IF(NOTA[[#This Row],[FAKTUR]]="",INDIRECT(ADDRESS(ROW()-1,COLUMN())),NOTA[[#This Row],[FAKTUR]]))</f>
        <v/>
      </c>
      <c r="AN635" s="25" t="str">
        <f ca="1">IF(NOTA[[#This Row],[ID]]="","",COUNTIF(NOTA[ID_H],NOTA[[#This Row],[ID_H]]))</f>
        <v/>
      </c>
      <c r="AO635" s="25" t="str">
        <f ca="1">IF(NOTA[[#This Row],[TGL.NOTA]]="",IF(NOTA[[#This Row],[SUPPLIER_H]]="","",AO634),MONTH(NOTA[[#This Row],[TGL.NOTA]]))</f>
        <v/>
      </c>
      <c r="AP6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5" s="25"/>
      <c r="AU635" s="25" t="str">
        <f>IF(NOTA[[#This Row],[CONCAT1]]="","",MATCH(NOTA[[#This Row],[CONCAT1]],[3]!db[NB NOTA_C],0))</f>
        <v/>
      </c>
      <c r="AV635" s="25" t="str">
        <f>IF(NOTA[[#This Row],[QTY/ CTN]]="","",TRUE)</f>
        <v/>
      </c>
      <c r="AW635" s="25" t="str">
        <f ca="1">IF(NOTA[[#This Row],[ID_H]]="","",IF(NOTA[[#This Row],[Column3]]=TRUE,NOTA[[#This Row],[QTY/ CTN]],INDEX([3]!db[QTY/ CTN],NOTA[[#This Row],[//DB]])))</f>
        <v/>
      </c>
      <c r="AX6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5" s="25" t="str">
        <f ca="1">IF(NOTA[[#This Row],[ID_H]]="","",MATCH(NOTA[[#This Row],[NB NOTA_C_QTY]],[3]!db[NB NOTA_C_QTY+F],0))</f>
        <v/>
      </c>
      <c r="AZ635" s="38" t="str">
        <f ca="1">IF(NOTA[[#This Row],[NB NOTA_C_QTY]]="","",ROW()-2)</f>
        <v/>
      </c>
    </row>
    <row r="636" spans="1:52" ht="20.100000000000001" customHeight="1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6" s="25" t="str">
        <f ca="1">IF(NOTA[[#This Row],[NAMA BARANG]]="","",INDEX(NOTA[ID],MATCH(,INDIRECT(ADDRESS(ROW(NOTA[ID]),COLUMN(NOTA[ID]))&amp;":"&amp;ADDRESS(ROW(),COLUMN(NOTA[ID]))),-1)))</f>
        <v/>
      </c>
      <c r="E636" s="33"/>
      <c r="H636" s="34"/>
      <c r="Q636" s="29"/>
      <c r="R636" s="35"/>
      <c r="S636" s="36"/>
      <c r="V636" s="37"/>
      <c r="W636" s="32"/>
      <c r="X636" s="37" t="str">
        <f>IF(NOTA[[#This Row],[HARGA/ CTN]]="",NOTA[[#This Row],[JUMLAH_H]],NOTA[[#This Row],[HARGA/ CTN]]*IF(NOTA[[#This Row],[C]]="",0,NOTA[[#This Row],[C]]))</f>
        <v/>
      </c>
      <c r="Y636" s="37" t="str">
        <f>IF(NOTA[[#This Row],[JUMLAH]]="","",NOTA[[#This Row],[JUMLAH]]*NOTA[[#This Row],[DISC 1]])</f>
        <v/>
      </c>
      <c r="Z636" s="37" t="str">
        <f>IF(NOTA[[#This Row],[JUMLAH]]="","",(NOTA[[#This Row],[JUMLAH]]-NOTA[[#This Row],[DISC 1-]])*NOTA[[#This Row],[DISC 2]])</f>
        <v/>
      </c>
      <c r="AA636" s="37" t="str">
        <f>IF(NOTA[[#This Row],[JUMLAH]]="","",(NOTA[[#This Row],[JUMLAH]]-NOTA[[#This Row],[DISC 1-]]-NOTA[[#This Row],[DISC 2-]])*NOTA[[#This Row],[DISC 3]])</f>
        <v/>
      </c>
      <c r="AB636" s="37" t="str">
        <f>IF(NOTA[[#This Row],[JUMLAH]]="","",NOTA[[#This Row],[DISC 1-]]+NOTA[[#This Row],[DISC 2-]]+NOTA[[#This Row],[DISC 3-]])</f>
        <v/>
      </c>
      <c r="AC636" s="37" t="str">
        <f>IF(NOTA[[#This Row],[JUMLAH]]="","",NOTA[[#This Row],[JUMLAH]]-NOTA[[#This Row],[DISC]])</f>
        <v/>
      </c>
      <c r="AD636" s="37"/>
      <c r="AE6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6" s="37" t="str">
        <f>IF(OR(NOTA[[#This Row],[QTY]]="",NOTA[[#This Row],[HARGA SATUAN]]="",),"",NOTA[[#This Row],[QTY]]*NOTA[[#This Row],[HARGA SATUAN]])</f>
        <v/>
      </c>
      <c r="AI636" s="26" t="str">
        <f ca="1">IF(NOTA[[#This Row],[ID_H]]="","",INDEX(NOTA[TANGGAL],MATCH(,INDIRECT(ADDRESS(ROW(NOTA[TANGGAL]),COLUMN(NOTA[TANGGAL]))&amp;":"&amp;ADDRESS(ROW(),COLUMN(NOTA[TANGGAL]))),-1)))</f>
        <v/>
      </c>
      <c r="AJ636" s="26" t="str">
        <f ca="1">IF(NOTA[[#This Row],[ID_H]]="","",INDEX(NOTA[TGL.NOTA],MATCH(,INDIRECT(ADDRESS(ROW(NOTA[TGL.NOTA]),COLUMN(NOTA[TGL.NOTA]))&amp;":"&amp;ADDRESS(ROW(),COLUMN(NOTA[TGL.NOTA]))),-1)))</f>
        <v/>
      </c>
      <c r="AK636" s="26" t="str">
        <f ca="1">IF(NOTA[[#This Row],[ID_H]]="","",INDEX(NOTA[NO.NOTA],MATCH(NOTA[[#This Row],[ID_H]],NOTA[ID_H],0)))</f>
        <v/>
      </c>
      <c r="AL636" s="28" t="str">
        <f ca="1">IF(NOTA[[#This Row],[NAMA BARANG]]="","",INDEX(NOTA[SUPPLIER],MATCH(,INDIRECT(ADDRESS(ROW(NOTA[ID]),COLUMN(NOTA[ID]))&amp;":"&amp;ADDRESS(ROW(),COLUMN(NOTA[ID]))),-1)))</f>
        <v/>
      </c>
      <c r="AM636" s="28" t="str">
        <f ca="1">IF(NOTA[[#This Row],[ID_H]]="","",IF(NOTA[[#This Row],[FAKTUR]]="",INDIRECT(ADDRESS(ROW()-1,COLUMN())),NOTA[[#This Row],[FAKTUR]]))</f>
        <v/>
      </c>
      <c r="AN636" s="25" t="str">
        <f ca="1">IF(NOTA[[#This Row],[ID]]="","",COUNTIF(NOTA[ID_H],NOTA[[#This Row],[ID_H]]))</f>
        <v/>
      </c>
      <c r="AO636" s="25" t="str">
        <f ca="1">IF(NOTA[[#This Row],[TGL.NOTA]]="",IF(NOTA[[#This Row],[SUPPLIER_H]]="","",AO635),MONTH(NOTA[[#This Row],[TGL.NOTA]]))</f>
        <v/>
      </c>
      <c r="AP6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6" s="25"/>
      <c r="AU636" s="25" t="str">
        <f>IF(NOTA[[#This Row],[CONCAT1]]="","",MATCH(NOTA[[#This Row],[CONCAT1]],[3]!db[NB NOTA_C],0))</f>
        <v/>
      </c>
      <c r="AV636" s="25" t="str">
        <f>IF(NOTA[[#This Row],[QTY/ CTN]]="","",TRUE)</f>
        <v/>
      </c>
      <c r="AW636" s="25" t="str">
        <f ca="1">IF(NOTA[[#This Row],[ID_H]]="","",IF(NOTA[[#This Row],[Column3]]=TRUE,NOTA[[#This Row],[QTY/ CTN]],INDEX([3]!db[QTY/ CTN],NOTA[[#This Row],[//DB]])))</f>
        <v/>
      </c>
      <c r="AX6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6" s="25" t="str">
        <f ca="1">IF(NOTA[[#This Row],[ID_H]]="","",MATCH(NOTA[[#This Row],[NB NOTA_C_QTY]],[3]!db[NB NOTA_C_QTY+F],0))</f>
        <v/>
      </c>
      <c r="AZ636" s="38" t="str">
        <f ca="1">IF(NOTA[[#This Row],[NB NOTA_C_QTY]]="","",ROW()-2)</f>
        <v/>
      </c>
    </row>
    <row r="637" spans="1:52" ht="20.100000000000001" customHeight="1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7" s="25" t="str">
        <f ca="1">IF(NOTA[[#This Row],[NAMA BARANG]]="","",INDEX(NOTA[ID],MATCH(,INDIRECT(ADDRESS(ROW(NOTA[ID]),COLUMN(NOTA[ID]))&amp;":"&amp;ADDRESS(ROW(),COLUMN(NOTA[ID]))),-1)))</f>
        <v/>
      </c>
      <c r="E637" s="33"/>
      <c r="H637" s="34"/>
      <c r="Q637" s="29"/>
      <c r="R637" s="35"/>
      <c r="S637" s="36"/>
      <c r="V637" s="37"/>
      <c r="W637" s="32"/>
      <c r="X637" s="37" t="str">
        <f>IF(NOTA[[#This Row],[HARGA/ CTN]]="",NOTA[[#This Row],[JUMLAH_H]],NOTA[[#This Row],[HARGA/ CTN]]*IF(NOTA[[#This Row],[C]]="",0,NOTA[[#This Row],[C]]))</f>
        <v/>
      </c>
      <c r="Y637" s="37" t="str">
        <f>IF(NOTA[[#This Row],[JUMLAH]]="","",NOTA[[#This Row],[JUMLAH]]*NOTA[[#This Row],[DISC 1]])</f>
        <v/>
      </c>
      <c r="Z637" s="37" t="str">
        <f>IF(NOTA[[#This Row],[JUMLAH]]="","",(NOTA[[#This Row],[JUMLAH]]-NOTA[[#This Row],[DISC 1-]])*NOTA[[#This Row],[DISC 2]])</f>
        <v/>
      </c>
      <c r="AA637" s="37" t="str">
        <f>IF(NOTA[[#This Row],[JUMLAH]]="","",(NOTA[[#This Row],[JUMLAH]]-NOTA[[#This Row],[DISC 1-]]-NOTA[[#This Row],[DISC 2-]])*NOTA[[#This Row],[DISC 3]])</f>
        <v/>
      </c>
      <c r="AB637" s="37" t="str">
        <f>IF(NOTA[[#This Row],[JUMLAH]]="","",NOTA[[#This Row],[DISC 1-]]+NOTA[[#This Row],[DISC 2-]]+NOTA[[#This Row],[DISC 3-]])</f>
        <v/>
      </c>
      <c r="AC637" s="37" t="str">
        <f>IF(NOTA[[#This Row],[JUMLAH]]="","",NOTA[[#This Row],[JUMLAH]]-NOTA[[#This Row],[DISC]])</f>
        <v/>
      </c>
      <c r="AD637" s="37"/>
      <c r="AE6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7" s="37" t="str">
        <f>IF(OR(NOTA[[#This Row],[QTY]]="",NOTA[[#This Row],[HARGA SATUAN]]="",),"",NOTA[[#This Row],[QTY]]*NOTA[[#This Row],[HARGA SATUAN]])</f>
        <v/>
      </c>
      <c r="AI637" s="26" t="str">
        <f ca="1">IF(NOTA[[#This Row],[ID_H]]="","",INDEX(NOTA[TANGGAL],MATCH(,INDIRECT(ADDRESS(ROW(NOTA[TANGGAL]),COLUMN(NOTA[TANGGAL]))&amp;":"&amp;ADDRESS(ROW(),COLUMN(NOTA[TANGGAL]))),-1)))</f>
        <v/>
      </c>
      <c r="AJ637" s="26" t="str">
        <f ca="1">IF(NOTA[[#This Row],[ID_H]]="","",INDEX(NOTA[TGL.NOTA],MATCH(,INDIRECT(ADDRESS(ROW(NOTA[TGL.NOTA]),COLUMN(NOTA[TGL.NOTA]))&amp;":"&amp;ADDRESS(ROW(),COLUMN(NOTA[TGL.NOTA]))),-1)))</f>
        <v/>
      </c>
      <c r="AK637" s="26" t="str">
        <f ca="1">IF(NOTA[[#This Row],[ID_H]]="","",INDEX(NOTA[NO.NOTA],MATCH(NOTA[[#This Row],[ID_H]],NOTA[ID_H],0)))</f>
        <v/>
      </c>
      <c r="AL637" s="28" t="str">
        <f ca="1">IF(NOTA[[#This Row],[NAMA BARANG]]="","",INDEX(NOTA[SUPPLIER],MATCH(,INDIRECT(ADDRESS(ROW(NOTA[ID]),COLUMN(NOTA[ID]))&amp;":"&amp;ADDRESS(ROW(),COLUMN(NOTA[ID]))),-1)))</f>
        <v/>
      </c>
      <c r="AM637" s="28" t="str">
        <f ca="1">IF(NOTA[[#This Row],[ID_H]]="","",IF(NOTA[[#This Row],[FAKTUR]]="",INDIRECT(ADDRESS(ROW()-1,COLUMN())),NOTA[[#This Row],[FAKTUR]]))</f>
        <v/>
      </c>
      <c r="AN637" s="25" t="str">
        <f ca="1">IF(NOTA[[#This Row],[ID]]="","",COUNTIF(NOTA[ID_H],NOTA[[#This Row],[ID_H]]))</f>
        <v/>
      </c>
      <c r="AO637" s="25" t="str">
        <f ca="1">IF(NOTA[[#This Row],[TGL.NOTA]]="",IF(NOTA[[#This Row],[SUPPLIER_H]]="","",AO636),MONTH(NOTA[[#This Row],[TGL.NOTA]]))</f>
        <v/>
      </c>
      <c r="AP6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7" s="25"/>
      <c r="AU637" s="25" t="str">
        <f>IF(NOTA[[#This Row],[CONCAT1]]="","",MATCH(NOTA[[#This Row],[CONCAT1]],[3]!db[NB NOTA_C],0))</f>
        <v/>
      </c>
      <c r="AV637" s="25" t="str">
        <f>IF(NOTA[[#This Row],[QTY/ CTN]]="","",TRUE)</f>
        <v/>
      </c>
      <c r="AW637" s="25" t="str">
        <f ca="1">IF(NOTA[[#This Row],[ID_H]]="","",IF(NOTA[[#This Row],[Column3]]=TRUE,NOTA[[#This Row],[QTY/ CTN]],INDEX([3]!db[QTY/ CTN],NOTA[[#This Row],[//DB]])))</f>
        <v/>
      </c>
      <c r="AX6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7" s="25" t="str">
        <f ca="1">IF(NOTA[[#This Row],[ID_H]]="","",MATCH(NOTA[[#This Row],[NB NOTA_C_QTY]],[3]!db[NB NOTA_C_QTY+F],0))</f>
        <v/>
      </c>
      <c r="AZ637" s="38" t="str">
        <f ca="1">IF(NOTA[[#This Row],[NB NOTA_C_QTY]]="","",ROW()-2)</f>
        <v/>
      </c>
    </row>
    <row r="638" spans="1:52" ht="20.100000000000001" customHeight="1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8" s="25" t="str">
        <f ca="1">IF(NOTA[[#This Row],[NAMA BARANG]]="","",INDEX(NOTA[ID],MATCH(,INDIRECT(ADDRESS(ROW(NOTA[ID]),COLUMN(NOTA[ID]))&amp;":"&amp;ADDRESS(ROW(),COLUMN(NOTA[ID]))),-1)))</f>
        <v/>
      </c>
      <c r="E638" s="33"/>
      <c r="H638" s="34"/>
      <c r="Q638" s="29"/>
      <c r="R638" s="35"/>
      <c r="S638" s="36"/>
      <c r="V638" s="37"/>
      <c r="W638" s="32"/>
      <c r="X638" s="37" t="str">
        <f>IF(NOTA[[#This Row],[HARGA/ CTN]]="",NOTA[[#This Row],[JUMLAH_H]],NOTA[[#This Row],[HARGA/ CTN]]*IF(NOTA[[#This Row],[C]]="",0,NOTA[[#This Row],[C]]))</f>
        <v/>
      </c>
      <c r="Y638" s="37" t="str">
        <f>IF(NOTA[[#This Row],[JUMLAH]]="","",NOTA[[#This Row],[JUMLAH]]*NOTA[[#This Row],[DISC 1]])</f>
        <v/>
      </c>
      <c r="Z638" s="37" t="str">
        <f>IF(NOTA[[#This Row],[JUMLAH]]="","",(NOTA[[#This Row],[JUMLAH]]-NOTA[[#This Row],[DISC 1-]])*NOTA[[#This Row],[DISC 2]])</f>
        <v/>
      </c>
      <c r="AA638" s="37" t="str">
        <f>IF(NOTA[[#This Row],[JUMLAH]]="","",(NOTA[[#This Row],[JUMLAH]]-NOTA[[#This Row],[DISC 1-]]-NOTA[[#This Row],[DISC 2-]])*NOTA[[#This Row],[DISC 3]])</f>
        <v/>
      </c>
      <c r="AB638" s="37" t="str">
        <f>IF(NOTA[[#This Row],[JUMLAH]]="","",NOTA[[#This Row],[DISC 1-]]+NOTA[[#This Row],[DISC 2-]]+NOTA[[#This Row],[DISC 3-]])</f>
        <v/>
      </c>
      <c r="AC638" s="37" t="str">
        <f>IF(NOTA[[#This Row],[JUMLAH]]="","",NOTA[[#This Row],[JUMLAH]]-NOTA[[#This Row],[DISC]])</f>
        <v/>
      </c>
      <c r="AD638" s="37"/>
      <c r="AE6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8" s="37" t="str">
        <f>IF(OR(NOTA[[#This Row],[QTY]]="",NOTA[[#This Row],[HARGA SATUAN]]="",),"",NOTA[[#This Row],[QTY]]*NOTA[[#This Row],[HARGA SATUAN]])</f>
        <v/>
      </c>
      <c r="AI638" s="26" t="str">
        <f ca="1">IF(NOTA[[#This Row],[ID_H]]="","",INDEX(NOTA[TANGGAL],MATCH(,INDIRECT(ADDRESS(ROW(NOTA[TANGGAL]),COLUMN(NOTA[TANGGAL]))&amp;":"&amp;ADDRESS(ROW(),COLUMN(NOTA[TANGGAL]))),-1)))</f>
        <v/>
      </c>
      <c r="AJ638" s="26" t="str">
        <f ca="1">IF(NOTA[[#This Row],[ID_H]]="","",INDEX(NOTA[TGL.NOTA],MATCH(,INDIRECT(ADDRESS(ROW(NOTA[TGL.NOTA]),COLUMN(NOTA[TGL.NOTA]))&amp;":"&amp;ADDRESS(ROW(),COLUMN(NOTA[TGL.NOTA]))),-1)))</f>
        <v/>
      </c>
      <c r="AK638" s="26" t="str">
        <f ca="1">IF(NOTA[[#This Row],[ID_H]]="","",INDEX(NOTA[NO.NOTA],MATCH(NOTA[[#This Row],[ID_H]],NOTA[ID_H],0)))</f>
        <v/>
      </c>
      <c r="AL638" s="28" t="str">
        <f ca="1">IF(NOTA[[#This Row],[NAMA BARANG]]="","",INDEX(NOTA[SUPPLIER],MATCH(,INDIRECT(ADDRESS(ROW(NOTA[ID]),COLUMN(NOTA[ID]))&amp;":"&amp;ADDRESS(ROW(),COLUMN(NOTA[ID]))),-1)))</f>
        <v/>
      </c>
      <c r="AM638" s="28" t="str">
        <f ca="1">IF(NOTA[[#This Row],[ID_H]]="","",IF(NOTA[[#This Row],[FAKTUR]]="",INDIRECT(ADDRESS(ROW()-1,COLUMN())),NOTA[[#This Row],[FAKTUR]]))</f>
        <v/>
      </c>
      <c r="AN638" s="25" t="str">
        <f ca="1">IF(NOTA[[#This Row],[ID]]="","",COUNTIF(NOTA[ID_H],NOTA[[#This Row],[ID_H]]))</f>
        <v/>
      </c>
      <c r="AO638" s="25" t="str">
        <f ca="1">IF(NOTA[[#This Row],[TGL.NOTA]]="",IF(NOTA[[#This Row],[SUPPLIER_H]]="","",AO637),MONTH(NOTA[[#This Row],[TGL.NOTA]]))</f>
        <v/>
      </c>
      <c r="AP6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8" s="25"/>
      <c r="AU638" s="25" t="str">
        <f>IF(NOTA[[#This Row],[CONCAT1]]="","",MATCH(NOTA[[#This Row],[CONCAT1]],[3]!db[NB NOTA_C],0))</f>
        <v/>
      </c>
      <c r="AV638" s="25" t="str">
        <f>IF(NOTA[[#This Row],[QTY/ CTN]]="","",TRUE)</f>
        <v/>
      </c>
      <c r="AW638" s="25" t="str">
        <f ca="1">IF(NOTA[[#This Row],[ID_H]]="","",IF(NOTA[[#This Row],[Column3]]=TRUE,NOTA[[#This Row],[QTY/ CTN]],INDEX([3]!db[QTY/ CTN],NOTA[[#This Row],[//DB]])))</f>
        <v/>
      </c>
      <c r="AX6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8" s="25" t="str">
        <f ca="1">IF(NOTA[[#This Row],[ID_H]]="","",MATCH(NOTA[[#This Row],[NB NOTA_C_QTY]],[3]!db[NB NOTA_C_QTY+F],0))</f>
        <v/>
      </c>
      <c r="AZ638" s="38" t="str">
        <f ca="1">IF(NOTA[[#This Row],[NB NOTA_C_QTY]]="","",ROW()-2)</f>
        <v/>
      </c>
    </row>
    <row r="639" spans="1:52" ht="20.100000000000001" customHeight="1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9" s="25" t="str">
        <f ca="1">IF(NOTA[[#This Row],[NAMA BARANG]]="","",INDEX(NOTA[ID],MATCH(,INDIRECT(ADDRESS(ROW(NOTA[ID]),COLUMN(NOTA[ID]))&amp;":"&amp;ADDRESS(ROW(),COLUMN(NOTA[ID]))),-1)))</f>
        <v/>
      </c>
      <c r="E639" s="33"/>
      <c r="H639" s="34"/>
      <c r="Q639" s="29"/>
      <c r="R639" s="35"/>
      <c r="S639" s="36"/>
      <c r="V639" s="37"/>
      <c r="W639" s="32"/>
      <c r="X639" s="37" t="str">
        <f>IF(NOTA[[#This Row],[HARGA/ CTN]]="",NOTA[[#This Row],[JUMLAH_H]],NOTA[[#This Row],[HARGA/ CTN]]*IF(NOTA[[#This Row],[C]]="",0,NOTA[[#This Row],[C]]))</f>
        <v/>
      </c>
      <c r="Y639" s="37" t="str">
        <f>IF(NOTA[[#This Row],[JUMLAH]]="","",NOTA[[#This Row],[JUMLAH]]*NOTA[[#This Row],[DISC 1]])</f>
        <v/>
      </c>
      <c r="Z639" s="37" t="str">
        <f>IF(NOTA[[#This Row],[JUMLAH]]="","",(NOTA[[#This Row],[JUMLAH]]-NOTA[[#This Row],[DISC 1-]])*NOTA[[#This Row],[DISC 2]])</f>
        <v/>
      </c>
      <c r="AA639" s="37" t="str">
        <f>IF(NOTA[[#This Row],[JUMLAH]]="","",(NOTA[[#This Row],[JUMLAH]]-NOTA[[#This Row],[DISC 1-]]-NOTA[[#This Row],[DISC 2-]])*NOTA[[#This Row],[DISC 3]])</f>
        <v/>
      </c>
      <c r="AB639" s="37" t="str">
        <f>IF(NOTA[[#This Row],[JUMLAH]]="","",NOTA[[#This Row],[DISC 1-]]+NOTA[[#This Row],[DISC 2-]]+NOTA[[#This Row],[DISC 3-]])</f>
        <v/>
      </c>
      <c r="AC639" s="37" t="str">
        <f>IF(NOTA[[#This Row],[JUMLAH]]="","",NOTA[[#This Row],[JUMLAH]]-NOTA[[#This Row],[DISC]])</f>
        <v/>
      </c>
      <c r="AD639" s="37"/>
      <c r="AE6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9" s="37" t="str">
        <f>IF(OR(NOTA[[#This Row],[QTY]]="",NOTA[[#This Row],[HARGA SATUAN]]="",),"",NOTA[[#This Row],[QTY]]*NOTA[[#This Row],[HARGA SATUAN]])</f>
        <v/>
      </c>
      <c r="AI639" s="26" t="str">
        <f ca="1">IF(NOTA[[#This Row],[ID_H]]="","",INDEX(NOTA[TANGGAL],MATCH(,INDIRECT(ADDRESS(ROW(NOTA[TANGGAL]),COLUMN(NOTA[TANGGAL]))&amp;":"&amp;ADDRESS(ROW(),COLUMN(NOTA[TANGGAL]))),-1)))</f>
        <v/>
      </c>
      <c r="AJ639" s="26" t="str">
        <f ca="1">IF(NOTA[[#This Row],[ID_H]]="","",INDEX(NOTA[TGL.NOTA],MATCH(,INDIRECT(ADDRESS(ROW(NOTA[TGL.NOTA]),COLUMN(NOTA[TGL.NOTA]))&amp;":"&amp;ADDRESS(ROW(),COLUMN(NOTA[TGL.NOTA]))),-1)))</f>
        <v/>
      </c>
      <c r="AK639" s="26" t="str">
        <f ca="1">IF(NOTA[[#This Row],[ID_H]]="","",INDEX(NOTA[NO.NOTA],MATCH(NOTA[[#This Row],[ID_H]],NOTA[ID_H],0)))</f>
        <v/>
      </c>
      <c r="AL639" s="28" t="str">
        <f ca="1">IF(NOTA[[#This Row],[NAMA BARANG]]="","",INDEX(NOTA[SUPPLIER],MATCH(,INDIRECT(ADDRESS(ROW(NOTA[ID]),COLUMN(NOTA[ID]))&amp;":"&amp;ADDRESS(ROW(),COLUMN(NOTA[ID]))),-1)))</f>
        <v/>
      </c>
      <c r="AM639" s="28" t="str">
        <f ca="1">IF(NOTA[[#This Row],[ID_H]]="","",IF(NOTA[[#This Row],[FAKTUR]]="",INDIRECT(ADDRESS(ROW()-1,COLUMN())),NOTA[[#This Row],[FAKTUR]]))</f>
        <v/>
      </c>
      <c r="AN639" s="25" t="str">
        <f ca="1">IF(NOTA[[#This Row],[ID]]="","",COUNTIF(NOTA[ID_H],NOTA[[#This Row],[ID_H]]))</f>
        <v/>
      </c>
      <c r="AO639" s="25" t="str">
        <f ca="1">IF(NOTA[[#This Row],[TGL.NOTA]]="",IF(NOTA[[#This Row],[SUPPLIER_H]]="","",AO638),MONTH(NOTA[[#This Row],[TGL.NOTA]]))</f>
        <v/>
      </c>
      <c r="AP6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9" s="25"/>
      <c r="AU639" s="25" t="str">
        <f>IF(NOTA[[#This Row],[CONCAT1]]="","",MATCH(NOTA[[#This Row],[CONCAT1]],[3]!db[NB NOTA_C],0))</f>
        <v/>
      </c>
      <c r="AV639" s="25" t="str">
        <f>IF(NOTA[[#This Row],[QTY/ CTN]]="","",TRUE)</f>
        <v/>
      </c>
      <c r="AW639" s="25" t="str">
        <f ca="1">IF(NOTA[[#This Row],[ID_H]]="","",IF(NOTA[[#This Row],[Column3]]=TRUE,NOTA[[#This Row],[QTY/ CTN]],INDEX([3]!db[QTY/ CTN],NOTA[[#This Row],[//DB]])))</f>
        <v/>
      </c>
      <c r="AX6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9" s="25" t="str">
        <f ca="1">IF(NOTA[[#This Row],[ID_H]]="","",MATCH(NOTA[[#This Row],[NB NOTA_C_QTY]],[3]!db[NB NOTA_C_QTY+F],0))</f>
        <v/>
      </c>
      <c r="AZ639" s="38" t="str">
        <f ca="1">IF(NOTA[[#This Row],[NB NOTA_C_QTY]]="","",ROW()-2)</f>
        <v/>
      </c>
    </row>
    <row r="640" spans="1:52" ht="20.100000000000001" customHeight="1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0" s="25" t="str">
        <f ca="1">IF(NOTA[[#This Row],[NAMA BARANG]]="","",INDEX(NOTA[ID],MATCH(,INDIRECT(ADDRESS(ROW(NOTA[ID]),COLUMN(NOTA[ID]))&amp;":"&amp;ADDRESS(ROW(),COLUMN(NOTA[ID]))),-1)))</f>
        <v/>
      </c>
      <c r="E640" s="33"/>
      <c r="H640" s="34"/>
      <c r="Q640" s="29"/>
      <c r="R640" s="35"/>
      <c r="S640" s="36"/>
      <c r="V640" s="37"/>
      <c r="W640" s="32"/>
      <c r="X640" s="37" t="str">
        <f>IF(NOTA[[#This Row],[HARGA/ CTN]]="",NOTA[[#This Row],[JUMLAH_H]],NOTA[[#This Row],[HARGA/ CTN]]*IF(NOTA[[#This Row],[C]]="",0,NOTA[[#This Row],[C]]))</f>
        <v/>
      </c>
      <c r="Y640" s="37" t="str">
        <f>IF(NOTA[[#This Row],[JUMLAH]]="","",NOTA[[#This Row],[JUMLAH]]*NOTA[[#This Row],[DISC 1]])</f>
        <v/>
      </c>
      <c r="Z640" s="37" t="str">
        <f>IF(NOTA[[#This Row],[JUMLAH]]="","",(NOTA[[#This Row],[JUMLAH]]-NOTA[[#This Row],[DISC 1-]])*NOTA[[#This Row],[DISC 2]])</f>
        <v/>
      </c>
      <c r="AA640" s="37" t="str">
        <f>IF(NOTA[[#This Row],[JUMLAH]]="","",(NOTA[[#This Row],[JUMLAH]]-NOTA[[#This Row],[DISC 1-]]-NOTA[[#This Row],[DISC 2-]])*NOTA[[#This Row],[DISC 3]])</f>
        <v/>
      </c>
      <c r="AB640" s="37" t="str">
        <f>IF(NOTA[[#This Row],[JUMLAH]]="","",NOTA[[#This Row],[DISC 1-]]+NOTA[[#This Row],[DISC 2-]]+NOTA[[#This Row],[DISC 3-]])</f>
        <v/>
      </c>
      <c r="AC640" s="37" t="str">
        <f>IF(NOTA[[#This Row],[JUMLAH]]="","",NOTA[[#This Row],[JUMLAH]]-NOTA[[#This Row],[DISC]])</f>
        <v/>
      </c>
      <c r="AD640" s="37"/>
      <c r="AE6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0" s="37" t="str">
        <f>IF(OR(NOTA[[#This Row],[QTY]]="",NOTA[[#This Row],[HARGA SATUAN]]="",),"",NOTA[[#This Row],[QTY]]*NOTA[[#This Row],[HARGA SATUAN]])</f>
        <v/>
      </c>
      <c r="AI640" s="26" t="str">
        <f ca="1">IF(NOTA[[#This Row],[ID_H]]="","",INDEX(NOTA[TANGGAL],MATCH(,INDIRECT(ADDRESS(ROW(NOTA[TANGGAL]),COLUMN(NOTA[TANGGAL]))&amp;":"&amp;ADDRESS(ROW(),COLUMN(NOTA[TANGGAL]))),-1)))</f>
        <v/>
      </c>
      <c r="AJ640" s="26" t="str">
        <f ca="1">IF(NOTA[[#This Row],[ID_H]]="","",INDEX(NOTA[TGL.NOTA],MATCH(,INDIRECT(ADDRESS(ROW(NOTA[TGL.NOTA]),COLUMN(NOTA[TGL.NOTA]))&amp;":"&amp;ADDRESS(ROW(),COLUMN(NOTA[TGL.NOTA]))),-1)))</f>
        <v/>
      </c>
      <c r="AK640" s="26" t="str">
        <f ca="1">IF(NOTA[[#This Row],[ID_H]]="","",INDEX(NOTA[NO.NOTA],MATCH(NOTA[[#This Row],[ID_H]],NOTA[ID_H],0)))</f>
        <v/>
      </c>
      <c r="AL640" s="28" t="str">
        <f ca="1">IF(NOTA[[#This Row],[NAMA BARANG]]="","",INDEX(NOTA[SUPPLIER],MATCH(,INDIRECT(ADDRESS(ROW(NOTA[ID]),COLUMN(NOTA[ID]))&amp;":"&amp;ADDRESS(ROW(),COLUMN(NOTA[ID]))),-1)))</f>
        <v/>
      </c>
      <c r="AM640" s="28" t="str">
        <f ca="1">IF(NOTA[[#This Row],[ID_H]]="","",IF(NOTA[[#This Row],[FAKTUR]]="",INDIRECT(ADDRESS(ROW()-1,COLUMN())),NOTA[[#This Row],[FAKTUR]]))</f>
        <v/>
      </c>
      <c r="AN640" s="25" t="str">
        <f ca="1">IF(NOTA[[#This Row],[ID]]="","",COUNTIF(NOTA[ID_H],NOTA[[#This Row],[ID_H]]))</f>
        <v/>
      </c>
      <c r="AO640" s="25" t="str">
        <f ca="1">IF(NOTA[[#This Row],[TGL.NOTA]]="",IF(NOTA[[#This Row],[SUPPLIER_H]]="","",AO639),MONTH(NOTA[[#This Row],[TGL.NOTA]]))</f>
        <v/>
      </c>
      <c r="AP6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0" s="25"/>
      <c r="AU640" s="25" t="str">
        <f>IF(NOTA[[#This Row],[CONCAT1]]="","",MATCH(NOTA[[#This Row],[CONCAT1]],[3]!db[NB NOTA_C],0))</f>
        <v/>
      </c>
      <c r="AV640" s="25" t="str">
        <f>IF(NOTA[[#This Row],[QTY/ CTN]]="","",TRUE)</f>
        <v/>
      </c>
      <c r="AW640" s="25" t="str">
        <f ca="1">IF(NOTA[[#This Row],[ID_H]]="","",IF(NOTA[[#This Row],[Column3]]=TRUE,NOTA[[#This Row],[QTY/ CTN]],INDEX([3]!db[QTY/ CTN],NOTA[[#This Row],[//DB]])))</f>
        <v/>
      </c>
      <c r="AX6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0" s="25" t="str">
        <f ca="1">IF(NOTA[[#This Row],[ID_H]]="","",MATCH(NOTA[[#This Row],[NB NOTA_C_QTY]],[3]!db[NB NOTA_C_QTY+F],0))</f>
        <v/>
      </c>
      <c r="AZ640" s="38" t="str">
        <f ca="1">IF(NOTA[[#This Row],[NB NOTA_C_QTY]]="","",ROW()-2)</f>
        <v/>
      </c>
    </row>
    <row r="641" spans="1:52" ht="20.100000000000001" customHeight="1">
      <c r="A6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1" s="25" t="str">
        <f ca="1">IF(NOTA[[#This Row],[NAMA BARANG]]="","",INDEX(NOTA[ID],MATCH(,INDIRECT(ADDRESS(ROW(NOTA[ID]),COLUMN(NOTA[ID]))&amp;":"&amp;ADDRESS(ROW(),COLUMN(NOTA[ID]))),-1)))</f>
        <v/>
      </c>
      <c r="E641" s="33"/>
      <c r="H641" s="34"/>
      <c r="Q641" s="29"/>
      <c r="R641" s="35"/>
      <c r="S641" s="36"/>
      <c r="V641" s="37"/>
      <c r="W641" s="32"/>
      <c r="X641" s="37" t="str">
        <f>IF(NOTA[[#This Row],[HARGA/ CTN]]="",NOTA[[#This Row],[JUMLAH_H]],NOTA[[#This Row],[HARGA/ CTN]]*IF(NOTA[[#This Row],[C]]="",0,NOTA[[#This Row],[C]]))</f>
        <v/>
      </c>
      <c r="Y641" s="37" t="str">
        <f>IF(NOTA[[#This Row],[JUMLAH]]="","",NOTA[[#This Row],[JUMLAH]]*NOTA[[#This Row],[DISC 1]])</f>
        <v/>
      </c>
      <c r="Z641" s="37" t="str">
        <f>IF(NOTA[[#This Row],[JUMLAH]]="","",(NOTA[[#This Row],[JUMLAH]]-NOTA[[#This Row],[DISC 1-]])*NOTA[[#This Row],[DISC 2]])</f>
        <v/>
      </c>
      <c r="AA641" s="37" t="str">
        <f>IF(NOTA[[#This Row],[JUMLAH]]="","",(NOTA[[#This Row],[JUMLAH]]-NOTA[[#This Row],[DISC 1-]]-NOTA[[#This Row],[DISC 2-]])*NOTA[[#This Row],[DISC 3]])</f>
        <v/>
      </c>
      <c r="AB641" s="37" t="str">
        <f>IF(NOTA[[#This Row],[JUMLAH]]="","",NOTA[[#This Row],[DISC 1-]]+NOTA[[#This Row],[DISC 2-]]+NOTA[[#This Row],[DISC 3-]])</f>
        <v/>
      </c>
      <c r="AC641" s="37" t="str">
        <f>IF(NOTA[[#This Row],[JUMLAH]]="","",NOTA[[#This Row],[JUMLAH]]-NOTA[[#This Row],[DISC]])</f>
        <v/>
      </c>
      <c r="AD641" s="37"/>
      <c r="AE6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1" s="37" t="str">
        <f>IF(OR(NOTA[[#This Row],[QTY]]="",NOTA[[#This Row],[HARGA SATUAN]]="",),"",NOTA[[#This Row],[QTY]]*NOTA[[#This Row],[HARGA SATUAN]])</f>
        <v/>
      </c>
      <c r="AI641" s="26" t="str">
        <f ca="1">IF(NOTA[[#This Row],[ID_H]]="","",INDEX(NOTA[TANGGAL],MATCH(,INDIRECT(ADDRESS(ROW(NOTA[TANGGAL]),COLUMN(NOTA[TANGGAL]))&amp;":"&amp;ADDRESS(ROW(),COLUMN(NOTA[TANGGAL]))),-1)))</f>
        <v/>
      </c>
      <c r="AJ641" s="26" t="str">
        <f ca="1">IF(NOTA[[#This Row],[ID_H]]="","",INDEX(NOTA[TGL.NOTA],MATCH(,INDIRECT(ADDRESS(ROW(NOTA[TGL.NOTA]),COLUMN(NOTA[TGL.NOTA]))&amp;":"&amp;ADDRESS(ROW(),COLUMN(NOTA[TGL.NOTA]))),-1)))</f>
        <v/>
      </c>
      <c r="AK641" s="26" t="str">
        <f ca="1">IF(NOTA[[#This Row],[ID_H]]="","",INDEX(NOTA[NO.NOTA],MATCH(NOTA[[#This Row],[ID_H]],NOTA[ID_H],0)))</f>
        <v/>
      </c>
      <c r="AL641" s="28" t="str">
        <f ca="1">IF(NOTA[[#This Row],[NAMA BARANG]]="","",INDEX(NOTA[SUPPLIER],MATCH(,INDIRECT(ADDRESS(ROW(NOTA[ID]),COLUMN(NOTA[ID]))&amp;":"&amp;ADDRESS(ROW(),COLUMN(NOTA[ID]))),-1)))</f>
        <v/>
      </c>
      <c r="AM641" s="28" t="str">
        <f ca="1">IF(NOTA[[#This Row],[ID_H]]="","",IF(NOTA[[#This Row],[FAKTUR]]="",INDIRECT(ADDRESS(ROW()-1,COLUMN())),NOTA[[#This Row],[FAKTUR]]))</f>
        <v/>
      </c>
      <c r="AN641" s="25" t="str">
        <f ca="1">IF(NOTA[[#This Row],[ID]]="","",COUNTIF(NOTA[ID_H],NOTA[[#This Row],[ID_H]]))</f>
        <v/>
      </c>
      <c r="AO641" s="25" t="str">
        <f ca="1">IF(NOTA[[#This Row],[TGL.NOTA]]="",IF(NOTA[[#This Row],[SUPPLIER_H]]="","",AO640),MONTH(NOTA[[#This Row],[TGL.NOTA]]))</f>
        <v/>
      </c>
      <c r="AP6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1" s="25"/>
      <c r="AU641" s="25" t="str">
        <f>IF(NOTA[[#This Row],[CONCAT1]]="","",MATCH(NOTA[[#This Row],[CONCAT1]],[3]!db[NB NOTA_C],0))</f>
        <v/>
      </c>
      <c r="AV641" s="25" t="str">
        <f>IF(NOTA[[#This Row],[QTY/ CTN]]="","",TRUE)</f>
        <v/>
      </c>
      <c r="AW641" s="25" t="str">
        <f ca="1">IF(NOTA[[#This Row],[ID_H]]="","",IF(NOTA[[#This Row],[Column3]]=TRUE,NOTA[[#This Row],[QTY/ CTN]],INDEX([3]!db[QTY/ CTN],NOTA[[#This Row],[//DB]])))</f>
        <v/>
      </c>
      <c r="AX6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1" s="25" t="str">
        <f ca="1">IF(NOTA[[#This Row],[ID_H]]="","",MATCH(NOTA[[#This Row],[NB NOTA_C_QTY]],[3]!db[NB NOTA_C_QTY+F],0))</f>
        <v/>
      </c>
      <c r="AZ641" s="38" t="str">
        <f ca="1">IF(NOTA[[#This Row],[NB NOTA_C_QTY]]="","",ROW()-2)</f>
        <v/>
      </c>
    </row>
    <row r="642" spans="1:52" ht="20.100000000000001" customHeight="1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2" s="25" t="str">
        <f ca="1">IF(NOTA[[#This Row],[NAMA BARANG]]="","",INDEX(NOTA[ID],MATCH(,INDIRECT(ADDRESS(ROW(NOTA[ID]),COLUMN(NOTA[ID]))&amp;":"&amp;ADDRESS(ROW(),COLUMN(NOTA[ID]))),-1)))</f>
        <v/>
      </c>
      <c r="E642" s="33"/>
      <c r="H642" s="34"/>
      <c r="Q642" s="29"/>
      <c r="R642" s="35"/>
      <c r="S642" s="36"/>
      <c r="V642" s="37"/>
      <c r="W642" s="32"/>
      <c r="X642" s="37" t="str">
        <f>IF(NOTA[[#This Row],[HARGA/ CTN]]="",NOTA[[#This Row],[JUMLAH_H]],NOTA[[#This Row],[HARGA/ CTN]]*IF(NOTA[[#This Row],[C]]="",0,NOTA[[#This Row],[C]]))</f>
        <v/>
      </c>
      <c r="Y642" s="37" t="str">
        <f>IF(NOTA[[#This Row],[JUMLAH]]="","",NOTA[[#This Row],[JUMLAH]]*NOTA[[#This Row],[DISC 1]])</f>
        <v/>
      </c>
      <c r="Z642" s="37" t="str">
        <f>IF(NOTA[[#This Row],[JUMLAH]]="","",(NOTA[[#This Row],[JUMLAH]]-NOTA[[#This Row],[DISC 1-]])*NOTA[[#This Row],[DISC 2]])</f>
        <v/>
      </c>
      <c r="AA642" s="37" t="str">
        <f>IF(NOTA[[#This Row],[JUMLAH]]="","",(NOTA[[#This Row],[JUMLAH]]-NOTA[[#This Row],[DISC 1-]]-NOTA[[#This Row],[DISC 2-]])*NOTA[[#This Row],[DISC 3]])</f>
        <v/>
      </c>
      <c r="AB642" s="37" t="str">
        <f>IF(NOTA[[#This Row],[JUMLAH]]="","",NOTA[[#This Row],[DISC 1-]]+NOTA[[#This Row],[DISC 2-]]+NOTA[[#This Row],[DISC 3-]])</f>
        <v/>
      </c>
      <c r="AC642" s="37" t="str">
        <f>IF(NOTA[[#This Row],[JUMLAH]]="","",NOTA[[#This Row],[JUMLAH]]-NOTA[[#This Row],[DISC]])</f>
        <v/>
      </c>
      <c r="AD642" s="37"/>
      <c r="AE6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2" s="37" t="str">
        <f>IF(OR(NOTA[[#This Row],[QTY]]="",NOTA[[#This Row],[HARGA SATUAN]]="",),"",NOTA[[#This Row],[QTY]]*NOTA[[#This Row],[HARGA SATUAN]])</f>
        <v/>
      </c>
      <c r="AI642" s="26" t="str">
        <f ca="1">IF(NOTA[[#This Row],[ID_H]]="","",INDEX(NOTA[TANGGAL],MATCH(,INDIRECT(ADDRESS(ROW(NOTA[TANGGAL]),COLUMN(NOTA[TANGGAL]))&amp;":"&amp;ADDRESS(ROW(),COLUMN(NOTA[TANGGAL]))),-1)))</f>
        <v/>
      </c>
      <c r="AJ642" s="26" t="str">
        <f ca="1">IF(NOTA[[#This Row],[ID_H]]="","",INDEX(NOTA[TGL.NOTA],MATCH(,INDIRECT(ADDRESS(ROW(NOTA[TGL.NOTA]),COLUMN(NOTA[TGL.NOTA]))&amp;":"&amp;ADDRESS(ROW(),COLUMN(NOTA[TGL.NOTA]))),-1)))</f>
        <v/>
      </c>
      <c r="AK642" s="26" t="str">
        <f ca="1">IF(NOTA[[#This Row],[ID_H]]="","",INDEX(NOTA[NO.NOTA],MATCH(NOTA[[#This Row],[ID_H]],NOTA[ID_H],0)))</f>
        <v/>
      </c>
      <c r="AL642" s="28" t="str">
        <f ca="1">IF(NOTA[[#This Row],[NAMA BARANG]]="","",INDEX(NOTA[SUPPLIER],MATCH(,INDIRECT(ADDRESS(ROW(NOTA[ID]),COLUMN(NOTA[ID]))&amp;":"&amp;ADDRESS(ROW(),COLUMN(NOTA[ID]))),-1)))</f>
        <v/>
      </c>
      <c r="AM642" s="28" t="str">
        <f ca="1">IF(NOTA[[#This Row],[ID_H]]="","",IF(NOTA[[#This Row],[FAKTUR]]="",INDIRECT(ADDRESS(ROW()-1,COLUMN())),NOTA[[#This Row],[FAKTUR]]))</f>
        <v/>
      </c>
      <c r="AN642" s="25" t="str">
        <f ca="1">IF(NOTA[[#This Row],[ID]]="","",COUNTIF(NOTA[ID_H],NOTA[[#This Row],[ID_H]]))</f>
        <v/>
      </c>
      <c r="AO642" s="25" t="str">
        <f ca="1">IF(NOTA[[#This Row],[TGL.NOTA]]="",IF(NOTA[[#This Row],[SUPPLIER_H]]="","",AO641),MONTH(NOTA[[#This Row],[TGL.NOTA]]))</f>
        <v/>
      </c>
      <c r="AP6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2" s="25"/>
      <c r="AU642" s="25" t="str">
        <f>IF(NOTA[[#This Row],[CONCAT1]]="","",MATCH(NOTA[[#This Row],[CONCAT1]],[3]!db[NB NOTA_C],0))</f>
        <v/>
      </c>
      <c r="AV642" s="25" t="str">
        <f>IF(NOTA[[#This Row],[QTY/ CTN]]="","",TRUE)</f>
        <v/>
      </c>
      <c r="AW642" s="25" t="str">
        <f ca="1">IF(NOTA[[#This Row],[ID_H]]="","",IF(NOTA[[#This Row],[Column3]]=TRUE,NOTA[[#This Row],[QTY/ CTN]],INDEX([3]!db[QTY/ CTN],NOTA[[#This Row],[//DB]])))</f>
        <v/>
      </c>
      <c r="AX6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2" s="25" t="str">
        <f ca="1">IF(NOTA[[#This Row],[ID_H]]="","",MATCH(NOTA[[#This Row],[NB NOTA_C_QTY]],[3]!db[NB NOTA_C_QTY+F],0))</f>
        <v/>
      </c>
      <c r="AZ642" s="38" t="str">
        <f ca="1">IF(NOTA[[#This Row],[NB NOTA_C_QTY]]="","",ROW()-2)</f>
        <v/>
      </c>
    </row>
    <row r="643" spans="1:52" ht="20.100000000000001" customHeight="1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3" s="25" t="str">
        <f ca="1">IF(NOTA[[#This Row],[NAMA BARANG]]="","",INDEX(NOTA[ID],MATCH(,INDIRECT(ADDRESS(ROW(NOTA[ID]),COLUMN(NOTA[ID]))&amp;":"&amp;ADDRESS(ROW(),COLUMN(NOTA[ID]))),-1)))</f>
        <v/>
      </c>
      <c r="E643" s="33"/>
      <c r="H643" s="34"/>
      <c r="Q643" s="29"/>
      <c r="R643" s="35"/>
      <c r="S643" s="36"/>
      <c r="V643" s="37"/>
      <c r="W643" s="32"/>
      <c r="X643" s="37" t="str">
        <f>IF(NOTA[[#This Row],[HARGA/ CTN]]="",NOTA[[#This Row],[JUMLAH_H]],NOTA[[#This Row],[HARGA/ CTN]]*IF(NOTA[[#This Row],[C]]="",0,NOTA[[#This Row],[C]]))</f>
        <v/>
      </c>
      <c r="Y643" s="37" t="str">
        <f>IF(NOTA[[#This Row],[JUMLAH]]="","",NOTA[[#This Row],[JUMLAH]]*NOTA[[#This Row],[DISC 1]])</f>
        <v/>
      </c>
      <c r="Z643" s="37" t="str">
        <f>IF(NOTA[[#This Row],[JUMLAH]]="","",(NOTA[[#This Row],[JUMLAH]]-NOTA[[#This Row],[DISC 1-]])*NOTA[[#This Row],[DISC 2]])</f>
        <v/>
      </c>
      <c r="AA643" s="37" t="str">
        <f>IF(NOTA[[#This Row],[JUMLAH]]="","",(NOTA[[#This Row],[JUMLAH]]-NOTA[[#This Row],[DISC 1-]]-NOTA[[#This Row],[DISC 2-]])*NOTA[[#This Row],[DISC 3]])</f>
        <v/>
      </c>
      <c r="AB643" s="37" t="str">
        <f>IF(NOTA[[#This Row],[JUMLAH]]="","",NOTA[[#This Row],[DISC 1-]]+NOTA[[#This Row],[DISC 2-]]+NOTA[[#This Row],[DISC 3-]])</f>
        <v/>
      </c>
      <c r="AC643" s="37" t="str">
        <f>IF(NOTA[[#This Row],[JUMLAH]]="","",NOTA[[#This Row],[JUMLAH]]-NOTA[[#This Row],[DISC]])</f>
        <v/>
      </c>
      <c r="AD643" s="37"/>
      <c r="AE6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3" s="37" t="str">
        <f>IF(OR(NOTA[[#This Row],[QTY]]="",NOTA[[#This Row],[HARGA SATUAN]]="",),"",NOTA[[#This Row],[QTY]]*NOTA[[#This Row],[HARGA SATUAN]])</f>
        <v/>
      </c>
      <c r="AI643" s="26" t="str">
        <f ca="1">IF(NOTA[[#This Row],[ID_H]]="","",INDEX(NOTA[TANGGAL],MATCH(,INDIRECT(ADDRESS(ROW(NOTA[TANGGAL]),COLUMN(NOTA[TANGGAL]))&amp;":"&amp;ADDRESS(ROW(),COLUMN(NOTA[TANGGAL]))),-1)))</f>
        <v/>
      </c>
      <c r="AJ643" s="26" t="str">
        <f ca="1">IF(NOTA[[#This Row],[ID_H]]="","",INDEX(NOTA[TGL.NOTA],MATCH(,INDIRECT(ADDRESS(ROW(NOTA[TGL.NOTA]),COLUMN(NOTA[TGL.NOTA]))&amp;":"&amp;ADDRESS(ROW(),COLUMN(NOTA[TGL.NOTA]))),-1)))</f>
        <v/>
      </c>
      <c r="AK643" s="26" t="str">
        <f ca="1">IF(NOTA[[#This Row],[ID_H]]="","",INDEX(NOTA[NO.NOTA],MATCH(NOTA[[#This Row],[ID_H]],NOTA[ID_H],0)))</f>
        <v/>
      </c>
      <c r="AL643" s="28" t="str">
        <f ca="1">IF(NOTA[[#This Row],[NAMA BARANG]]="","",INDEX(NOTA[SUPPLIER],MATCH(,INDIRECT(ADDRESS(ROW(NOTA[ID]),COLUMN(NOTA[ID]))&amp;":"&amp;ADDRESS(ROW(),COLUMN(NOTA[ID]))),-1)))</f>
        <v/>
      </c>
      <c r="AM643" s="28" t="str">
        <f ca="1">IF(NOTA[[#This Row],[ID_H]]="","",IF(NOTA[[#This Row],[FAKTUR]]="",INDIRECT(ADDRESS(ROW()-1,COLUMN())),NOTA[[#This Row],[FAKTUR]]))</f>
        <v/>
      </c>
      <c r="AN643" s="25" t="str">
        <f ca="1">IF(NOTA[[#This Row],[ID]]="","",COUNTIF(NOTA[ID_H],NOTA[[#This Row],[ID_H]]))</f>
        <v/>
      </c>
      <c r="AO643" s="25" t="str">
        <f ca="1">IF(NOTA[[#This Row],[TGL.NOTA]]="",IF(NOTA[[#This Row],[SUPPLIER_H]]="","",AO642),MONTH(NOTA[[#This Row],[TGL.NOTA]]))</f>
        <v/>
      </c>
      <c r="AP6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3" s="25"/>
      <c r="AU643" s="25" t="str">
        <f>IF(NOTA[[#This Row],[CONCAT1]]="","",MATCH(NOTA[[#This Row],[CONCAT1]],[3]!db[NB NOTA_C],0))</f>
        <v/>
      </c>
      <c r="AV643" s="25" t="str">
        <f>IF(NOTA[[#This Row],[QTY/ CTN]]="","",TRUE)</f>
        <v/>
      </c>
      <c r="AW643" s="25" t="str">
        <f ca="1">IF(NOTA[[#This Row],[ID_H]]="","",IF(NOTA[[#This Row],[Column3]]=TRUE,NOTA[[#This Row],[QTY/ CTN]],INDEX([3]!db[QTY/ CTN],NOTA[[#This Row],[//DB]])))</f>
        <v/>
      </c>
      <c r="AX6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3" s="25" t="str">
        <f ca="1">IF(NOTA[[#This Row],[ID_H]]="","",MATCH(NOTA[[#This Row],[NB NOTA_C_QTY]],[3]!db[NB NOTA_C_QTY+F],0))</f>
        <v/>
      </c>
      <c r="AZ643" s="38" t="str">
        <f ca="1">IF(NOTA[[#This Row],[NB NOTA_C_QTY]]="","",ROW()-2)</f>
        <v/>
      </c>
    </row>
    <row r="644" spans="1:52" ht="20.100000000000001" customHeight="1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4" s="25" t="str">
        <f ca="1">IF(NOTA[[#This Row],[NAMA BARANG]]="","",INDEX(NOTA[ID],MATCH(,INDIRECT(ADDRESS(ROW(NOTA[ID]),COLUMN(NOTA[ID]))&amp;":"&amp;ADDRESS(ROW(),COLUMN(NOTA[ID]))),-1)))</f>
        <v/>
      </c>
      <c r="E644" s="33"/>
      <c r="H644" s="34"/>
      <c r="Q644" s="29"/>
      <c r="R644" s="35"/>
      <c r="S644" s="36"/>
      <c r="V644" s="37"/>
      <c r="W644" s="32"/>
      <c r="X644" s="37" t="str">
        <f>IF(NOTA[[#This Row],[HARGA/ CTN]]="",NOTA[[#This Row],[JUMLAH_H]],NOTA[[#This Row],[HARGA/ CTN]]*IF(NOTA[[#This Row],[C]]="",0,NOTA[[#This Row],[C]]))</f>
        <v/>
      </c>
      <c r="Y644" s="37" t="str">
        <f>IF(NOTA[[#This Row],[JUMLAH]]="","",NOTA[[#This Row],[JUMLAH]]*NOTA[[#This Row],[DISC 1]])</f>
        <v/>
      </c>
      <c r="Z644" s="37" t="str">
        <f>IF(NOTA[[#This Row],[JUMLAH]]="","",(NOTA[[#This Row],[JUMLAH]]-NOTA[[#This Row],[DISC 1-]])*NOTA[[#This Row],[DISC 2]])</f>
        <v/>
      </c>
      <c r="AA644" s="37" t="str">
        <f>IF(NOTA[[#This Row],[JUMLAH]]="","",(NOTA[[#This Row],[JUMLAH]]-NOTA[[#This Row],[DISC 1-]]-NOTA[[#This Row],[DISC 2-]])*NOTA[[#This Row],[DISC 3]])</f>
        <v/>
      </c>
      <c r="AB644" s="37" t="str">
        <f>IF(NOTA[[#This Row],[JUMLAH]]="","",NOTA[[#This Row],[DISC 1-]]+NOTA[[#This Row],[DISC 2-]]+NOTA[[#This Row],[DISC 3-]])</f>
        <v/>
      </c>
      <c r="AC644" s="37" t="str">
        <f>IF(NOTA[[#This Row],[JUMLAH]]="","",NOTA[[#This Row],[JUMLAH]]-NOTA[[#This Row],[DISC]])</f>
        <v/>
      </c>
      <c r="AD644" s="37"/>
      <c r="AE6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4" s="37" t="str">
        <f>IF(OR(NOTA[[#This Row],[QTY]]="",NOTA[[#This Row],[HARGA SATUAN]]="",),"",NOTA[[#This Row],[QTY]]*NOTA[[#This Row],[HARGA SATUAN]])</f>
        <v/>
      </c>
      <c r="AI644" s="26" t="str">
        <f ca="1">IF(NOTA[[#This Row],[ID_H]]="","",INDEX(NOTA[TANGGAL],MATCH(,INDIRECT(ADDRESS(ROW(NOTA[TANGGAL]),COLUMN(NOTA[TANGGAL]))&amp;":"&amp;ADDRESS(ROW(),COLUMN(NOTA[TANGGAL]))),-1)))</f>
        <v/>
      </c>
      <c r="AJ644" s="26" t="str">
        <f ca="1">IF(NOTA[[#This Row],[ID_H]]="","",INDEX(NOTA[TGL.NOTA],MATCH(,INDIRECT(ADDRESS(ROW(NOTA[TGL.NOTA]),COLUMN(NOTA[TGL.NOTA]))&amp;":"&amp;ADDRESS(ROW(),COLUMN(NOTA[TGL.NOTA]))),-1)))</f>
        <v/>
      </c>
      <c r="AK644" s="26" t="str">
        <f ca="1">IF(NOTA[[#This Row],[ID_H]]="","",INDEX(NOTA[NO.NOTA],MATCH(NOTA[[#This Row],[ID_H]],NOTA[ID_H],0)))</f>
        <v/>
      </c>
      <c r="AL644" s="28" t="str">
        <f ca="1">IF(NOTA[[#This Row],[NAMA BARANG]]="","",INDEX(NOTA[SUPPLIER],MATCH(,INDIRECT(ADDRESS(ROW(NOTA[ID]),COLUMN(NOTA[ID]))&amp;":"&amp;ADDRESS(ROW(),COLUMN(NOTA[ID]))),-1)))</f>
        <v/>
      </c>
      <c r="AM644" s="28" t="str">
        <f ca="1">IF(NOTA[[#This Row],[ID_H]]="","",IF(NOTA[[#This Row],[FAKTUR]]="",INDIRECT(ADDRESS(ROW()-1,COLUMN())),NOTA[[#This Row],[FAKTUR]]))</f>
        <v/>
      </c>
      <c r="AN644" s="25" t="str">
        <f ca="1">IF(NOTA[[#This Row],[ID]]="","",COUNTIF(NOTA[ID_H],NOTA[[#This Row],[ID_H]]))</f>
        <v/>
      </c>
      <c r="AO644" s="25" t="str">
        <f ca="1">IF(NOTA[[#This Row],[TGL.NOTA]]="",IF(NOTA[[#This Row],[SUPPLIER_H]]="","",AO643),MONTH(NOTA[[#This Row],[TGL.NOTA]]))</f>
        <v/>
      </c>
      <c r="AP6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4" s="25"/>
      <c r="AU644" s="25" t="str">
        <f>IF(NOTA[[#This Row],[CONCAT1]]="","",MATCH(NOTA[[#This Row],[CONCAT1]],[3]!db[NB NOTA_C],0))</f>
        <v/>
      </c>
      <c r="AV644" s="25" t="str">
        <f>IF(NOTA[[#This Row],[QTY/ CTN]]="","",TRUE)</f>
        <v/>
      </c>
      <c r="AW644" s="25" t="str">
        <f ca="1">IF(NOTA[[#This Row],[ID_H]]="","",IF(NOTA[[#This Row],[Column3]]=TRUE,NOTA[[#This Row],[QTY/ CTN]],INDEX([3]!db[QTY/ CTN],NOTA[[#This Row],[//DB]])))</f>
        <v/>
      </c>
      <c r="AX6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4" s="25" t="str">
        <f ca="1">IF(NOTA[[#This Row],[ID_H]]="","",MATCH(NOTA[[#This Row],[NB NOTA_C_QTY]],[3]!db[NB NOTA_C_QTY+F],0))</f>
        <v/>
      </c>
      <c r="AZ644" s="38" t="str">
        <f ca="1">IF(NOTA[[#This Row],[NB NOTA_C_QTY]]="","",ROW()-2)</f>
        <v/>
      </c>
    </row>
    <row r="645" spans="1:52" ht="20.100000000000001" customHeight="1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5" s="25" t="str">
        <f ca="1">IF(NOTA[[#This Row],[NAMA BARANG]]="","",INDEX(NOTA[ID],MATCH(,INDIRECT(ADDRESS(ROW(NOTA[ID]),COLUMN(NOTA[ID]))&amp;":"&amp;ADDRESS(ROW(),COLUMN(NOTA[ID]))),-1)))</f>
        <v/>
      </c>
      <c r="E645" s="33"/>
      <c r="H645" s="34"/>
      <c r="Q645" s="29"/>
      <c r="R645" s="35"/>
      <c r="S645" s="36"/>
      <c r="V645" s="37"/>
      <c r="W645" s="32"/>
      <c r="X645" s="37" t="str">
        <f>IF(NOTA[[#This Row],[HARGA/ CTN]]="",NOTA[[#This Row],[JUMLAH_H]],NOTA[[#This Row],[HARGA/ CTN]]*IF(NOTA[[#This Row],[C]]="",0,NOTA[[#This Row],[C]]))</f>
        <v/>
      </c>
      <c r="Y645" s="37" t="str">
        <f>IF(NOTA[[#This Row],[JUMLAH]]="","",NOTA[[#This Row],[JUMLAH]]*NOTA[[#This Row],[DISC 1]])</f>
        <v/>
      </c>
      <c r="Z645" s="37" t="str">
        <f>IF(NOTA[[#This Row],[JUMLAH]]="","",(NOTA[[#This Row],[JUMLAH]]-NOTA[[#This Row],[DISC 1-]])*NOTA[[#This Row],[DISC 2]])</f>
        <v/>
      </c>
      <c r="AA645" s="37" t="str">
        <f>IF(NOTA[[#This Row],[JUMLAH]]="","",(NOTA[[#This Row],[JUMLAH]]-NOTA[[#This Row],[DISC 1-]]-NOTA[[#This Row],[DISC 2-]])*NOTA[[#This Row],[DISC 3]])</f>
        <v/>
      </c>
      <c r="AB645" s="37" t="str">
        <f>IF(NOTA[[#This Row],[JUMLAH]]="","",NOTA[[#This Row],[DISC 1-]]+NOTA[[#This Row],[DISC 2-]]+NOTA[[#This Row],[DISC 3-]])</f>
        <v/>
      </c>
      <c r="AC645" s="37" t="str">
        <f>IF(NOTA[[#This Row],[JUMLAH]]="","",NOTA[[#This Row],[JUMLAH]]-NOTA[[#This Row],[DISC]])</f>
        <v/>
      </c>
      <c r="AD645" s="37"/>
      <c r="AE6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5" s="37" t="str">
        <f>IF(OR(NOTA[[#This Row],[QTY]]="",NOTA[[#This Row],[HARGA SATUAN]]="",),"",NOTA[[#This Row],[QTY]]*NOTA[[#This Row],[HARGA SATUAN]])</f>
        <v/>
      </c>
      <c r="AI645" s="26" t="str">
        <f ca="1">IF(NOTA[[#This Row],[ID_H]]="","",INDEX(NOTA[TANGGAL],MATCH(,INDIRECT(ADDRESS(ROW(NOTA[TANGGAL]),COLUMN(NOTA[TANGGAL]))&amp;":"&amp;ADDRESS(ROW(),COLUMN(NOTA[TANGGAL]))),-1)))</f>
        <v/>
      </c>
      <c r="AJ645" s="26" t="str">
        <f ca="1">IF(NOTA[[#This Row],[ID_H]]="","",INDEX(NOTA[TGL.NOTA],MATCH(,INDIRECT(ADDRESS(ROW(NOTA[TGL.NOTA]),COLUMN(NOTA[TGL.NOTA]))&amp;":"&amp;ADDRESS(ROW(),COLUMN(NOTA[TGL.NOTA]))),-1)))</f>
        <v/>
      </c>
      <c r="AK645" s="26" t="str">
        <f ca="1">IF(NOTA[[#This Row],[ID_H]]="","",INDEX(NOTA[NO.NOTA],MATCH(NOTA[[#This Row],[ID_H]],NOTA[ID_H],0)))</f>
        <v/>
      </c>
      <c r="AL645" s="28" t="str">
        <f ca="1">IF(NOTA[[#This Row],[NAMA BARANG]]="","",INDEX(NOTA[SUPPLIER],MATCH(,INDIRECT(ADDRESS(ROW(NOTA[ID]),COLUMN(NOTA[ID]))&amp;":"&amp;ADDRESS(ROW(),COLUMN(NOTA[ID]))),-1)))</f>
        <v/>
      </c>
      <c r="AM645" s="28" t="str">
        <f ca="1">IF(NOTA[[#This Row],[ID_H]]="","",IF(NOTA[[#This Row],[FAKTUR]]="",INDIRECT(ADDRESS(ROW()-1,COLUMN())),NOTA[[#This Row],[FAKTUR]]))</f>
        <v/>
      </c>
      <c r="AN645" s="25" t="str">
        <f ca="1">IF(NOTA[[#This Row],[ID]]="","",COUNTIF(NOTA[ID_H],NOTA[[#This Row],[ID_H]]))</f>
        <v/>
      </c>
      <c r="AO645" s="25" t="str">
        <f ca="1">IF(NOTA[[#This Row],[TGL.NOTA]]="",IF(NOTA[[#This Row],[SUPPLIER_H]]="","",AO644),MONTH(NOTA[[#This Row],[TGL.NOTA]]))</f>
        <v/>
      </c>
      <c r="AP6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5" s="25"/>
      <c r="AU645" s="25" t="str">
        <f>IF(NOTA[[#This Row],[CONCAT1]]="","",MATCH(NOTA[[#This Row],[CONCAT1]],[3]!db[NB NOTA_C],0))</f>
        <v/>
      </c>
      <c r="AV645" s="25" t="str">
        <f>IF(NOTA[[#This Row],[QTY/ CTN]]="","",TRUE)</f>
        <v/>
      </c>
      <c r="AW645" s="25" t="str">
        <f ca="1">IF(NOTA[[#This Row],[ID_H]]="","",IF(NOTA[[#This Row],[Column3]]=TRUE,NOTA[[#This Row],[QTY/ CTN]],INDEX([3]!db[QTY/ CTN],NOTA[[#This Row],[//DB]])))</f>
        <v/>
      </c>
      <c r="AX6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5" s="25" t="str">
        <f ca="1">IF(NOTA[[#This Row],[ID_H]]="","",MATCH(NOTA[[#This Row],[NB NOTA_C_QTY]],[3]!db[NB NOTA_C_QTY+F],0))</f>
        <v/>
      </c>
      <c r="AZ645" s="38" t="str">
        <f ca="1">IF(NOTA[[#This Row],[NB NOTA_C_QTY]]="","",ROW()-2)</f>
        <v/>
      </c>
    </row>
    <row r="646" spans="1:52" ht="20.100000000000001" customHeight="1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6" s="25" t="str">
        <f ca="1">IF(NOTA[[#This Row],[NAMA BARANG]]="","",INDEX(NOTA[ID],MATCH(,INDIRECT(ADDRESS(ROW(NOTA[ID]),COLUMN(NOTA[ID]))&amp;":"&amp;ADDRESS(ROW(),COLUMN(NOTA[ID]))),-1)))</f>
        <v/>
      </c>
      <c r="E646" s="33"/>
      <c r="H646" s="34"/>
      <c r="Q646" s="29"/>
      <c r="R646" s="35"/>
      <c r="S646" s="36"/>
      <c r="V646" s="37"/>
      <c r="W646" s="32"/>
      <c r="X646" s="37" t="str">
        <f>IF(NOTA[[#This Row],[HARGA/ CTN]]="",NOTA[[#This Row],[JUMLAH_H]],NOTA[[#This Row],[HARGA/ CTN]]*IF(NOTA[[#This Row],[C]]="",0,NOTA[[#This Row],[C]]))</f>
        <v/>
      </c>
      <c r="Y646" s="37" t="str">
        <f>IF(NOTA[[#This Row],[JUMLAH]]="","",NOTA[[#This Row],[JUMLAH]]*NOTA[[#This Row],[DISC 1]])</f>
        <v/>
      </c>
      <c r="Z646" s="37" t="str">
        <f>IF(NOTA[[#This Row],[JUMLAH]]="","",(NOTA[[#This Row],[JUMLAH]]-NOTA[[#This Row],[DISC 1-]])*NOTA[[#This Row],[DISC 2]])</f>
        <v/>
      </c>
      <c r="AA646" s="37" t="str">
        <f>IF(NOTA[[#This Row],[JUMLAH]]="","",(NOTA[[#This Row],[JUMLAH]]-NOTA[[#This Row],[DISC 1-]]-NOTA[[#This Row],[DISC 2-]])*NOTA[[#This Row],[DISC 3]])</f>
        <v/>
      </c>
      <c r="AB646" s="37" t="str">
        <f>IF(NOTA[[#This Row],[JUMLAH]]="","",NOTA[[#This Row],[DISC 1-]]+NOTA[[#This Row],[DISC 2-]]+NOTA[[#This Row],[DISC 3-]])</f>
        <v/>
      </c>
      <c r="AC646" s="37" t="str">
        <f>IF(NOTA[[#This Row],[JUMLAH]]="","",NOTA[[#This Row],[JUMLAH]]-NOTA[[#This Row],[DISC]])</f>
        <v/>
      </c>
      <c r="AD646" s="37"/>
      <c r="AE6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6" s="37" t="str">
        <f>IF(OR(NOTA[[#This Row],[QTY]]="",NOTA[[#This Row],[HARGA SATUAN]]="",),"",NOTA[[#This Row],[QTY]]*NOTA[[#This Row],[HARGA SATUAN]])</f>
        <v/>
      </c>
      <c r="AI646" s="26" t="str">
        <f ca="1">IF(NOTA[[#This Row],[ID_H]]="","",INDEX(NOTA[TANGGAL],MATCH(,INDIRECT(ADDRESS(ROW(NOTA[TANGGAL]),COLUMN(NOTA[TANGGAL]))&amp;":"&amp;ADDRESS(ROW(),COLUMN(NOTA[TANGGAL]))),-1)))</f>
        <v/>
      </c>
      <c r="AJ646" s="26" t="str">
        <f ca="1">IF(NOTA[[#This Row],[ID_H]]="","",INDEX(NOTA[TGL.NOTA],MATCH(,INDIRECT(ADDRESS(ROW(NOTA[TGL.NOTA]),COLUMN(NOTA[TGL.NOTA]))&amp;":"&amp;ADDRESS(ROW(),COLUMN(NOTA[TGL.NOTA]))),-1)))</f>
        <v/>
      </c>
      <c r="AK646" s="26" t="str">
        <f ca="1">IF(NOTA[[#This Row],[ID_H]]="","",INDEX(NOTA[NO.NOTA],MATCH(NOTA[[#This Row],[ID_H]],NOTA[ID_H],0)))</f>
        <v/>
      </c>
      <c r="AL646" s="28" t="str">
        <f ca="1">IF(NOTA[[#This Row],[NAMA BARANG]]="","",INDEX(NOTA[SUPPLIER],MATCH(,INDIRECT(ADDRESS(ROW(NOTA[ID]),COLUMN(NOTA[ID]))&amp;":"&amp;ADDRESS(ROW(),COLUMN(NOTA[ID]))),-1)))</f>
        <v/>
      </c>
      <c r="AM646" s="28" t="str">
        <f ca="1">IF(NOTA[[#This Row],[ID_H]]="","",IF(NOTA[[#This Row],[FAKTUR]]="",INDIRECT(ADDRESS(ROW()-1,COLUMN())),NOTA[[#This Row],[FAKTUR]]))</f>
        <v/>
      </c>
      <c r="AN646" s="25" t="str">
        <f ca="1">IF(NOTA[[#This Row],[ID]]="","",COUNTIF(NOTA[ID_H],NOTA[[#This Row],[ID_H]]))</f>
        <v/>
      </c>
      <c r="AO646" s="25" t="str">
        <f ca="1">IF(NOTA[[#This Row],[TGL.NOTA]]="",IF(NOTA[[#This Row],[SUPPLIER_H]]="","",AO645),MONTH(NOTA[[#This Row],[TGL.NOTA]]))</f>
        <v/>
      </c>
      <c r="AP6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6" s="25"/>
      <c r="AU646" s="25" t="str">
        <f>IF(NOTA[[#This Row],[CONCAT1]]="","",MATCH(NOTA[[#This Row],[CONCAT1]],[3]!db[NB NOTA_C],0))</f>
        <v/>
      </c>
      <c r="AV646" s="25" t="str">
        <f>IF(NOTA[[#This Row],[QTY/ CTN]]="","",TRUE)</f>
        <v/>
      </c>
      <c r="AW646" s="25" t="str">
        <f ca="1">IF(NOTA[[#This Row],[ID_H]]="","",IF(NOTA[[#This Row],[Column3]]=TRUE,NOTA[[#This Row],[QTY/ CTN]],INDEX([3]!db[QTY/ CTN],NOTA[[#This Row],[//DB]])))</f>
        <v/>
      </c>
      <c r="AX6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6" s="25" t="str">
        <f ca="1">IF(NOTA[[#This Row],[ID_H]]="","",MATCH(NOTA[[#This Row],[NB NOTA_C_QTY]],[3]!db[NB NOTA_C_QTY+F],0))</f>
        <v/>
      </c>
      <c r="AZ646" s="38" t="str">
        <f ca="1">IF(NOTA[[#This Row],[NB NOTA_C_QTY]]="","",ROW()-2)</f>
        <v/>
      </c>
    </row>
    <row r="647" spans="1:52" ht="20.100000000000001" customHeight="1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7" s="25" t="str">
        <f ca="1">IF(NOTA[[#This Row],[NAMA BARANG]]="","",INDEX(NOTA[ID],MATCH(,INDIRECT(ADDRESS(ROW(NOTA[ID]),COLUMN(NOTA[ID]))&amp;":"&amp;ADDRESS(ROW(),COLUMN(NOTA[ID]))),-1)))</f>
        <v/>
      </c>
      <c r="E647" s="33"/>
      <c r="H647" s="34"/>
      <c r="Q647" s="29"/>
      <c r="R647" s="35"/>
      <c r="S647" s="36"/>
      <c r="V647" s="37"/>
      <c r="W647" s="32"/>
      <c r="X647" s="37" t="str">
        <f>IF(NOTA[[#This Row],[HARGA/ CTN]]="",NOTA[[#This Row],[JUMLAH_H]],NOTA[[#This Row],[HARGA/ CTN]]*IF(NOTA[[#This Row],[C]]="",0,NOTA[[#This Row],[C]]))</f>
        <v/>
      </c>
      <c r="Y647" s="37" t="str">
        <f>IF(NOTA[[#This Row],[JUMLAH]]="","",NOTA[[#This Row],[JUMLAH]]*NOTA[[#This Row],[DISC 1]])</f>
        <v/>
      </c>
      <c r="Z647" s="37" t="str">
        <f>IF(NOTA[[#This Row],[JUMLAH]]="","",(NOTA[[#This Row],[JUMLAH]]-NOTA[[#This Row],[DISC 1-]])*NOTA[[#This Row],[DISC 2]])</f>
        <v/>
      </c>
      <c r="AA647" s="37" t="str">
        <f>IF(NOTA[[#This Row],[JUMLAH]]="","",(NOTA[[#This Row],[JUMLAH]]-NOTA[[#This Row],[DISC 1-]]-NOTA[[#This Row],[DISC 2-]])*NOTA[[#This Row],[DISC 3]])</f>
        <v/>
      </c>
      <c r="AB647" s="37" t="str">
        <f>IF(NOTA[[#This Row],[JUMLAH]]="","",NOTA[[#This Row],[DISC 1-]]+NOTA[[#This Row],[DISC 2-]]+NOTA[[#This Row],[DISC 3-]])</f>
        <v/>
      </c>
      <c r="AC647" s="37" t="str">
        <f>IF(NOTA[[#This Row],[JUMLAH]]="","",NOTA[[#This Row],[JUMLAH]]-NOTA[[#This Row],[DISC]])</f>
        <v/>
      </c>
      <c r="AD647" s="37"/>
      <c r="AE6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7" s="37" t="str">
        <f>IF(OR(NOTA[[#This Row],[QTY]]="",NOTA[[#This Row],[HARGA SATUAN]]="",),"",NOTA[[#This Row],[QTY]]*NOTA[[#This Row],[HARGA SATUAN]])</f>
        <v/>
      </c>
      <c r="AI647" s="26" t="str">
        <f ca="1">IF(NOTA[[#This Row],[ID_H]]="","",INDEX(NOTA[TANGGAL],MATCH(,INDIRECT(ADDRESS(ROW(NOTA[TANGGAL]),COLUMN(NOTA[TANGGAL]))&amp;":"&amp;ADDRESS(ROW(),COLUMN(NOTA[TANGGAL]))),-1)))</f>
        <v/>
      </c>
      <c r="AJ647" s="26" t="str">
        <f ca="1">IF(NOTA[[#This Row],[ID_H]]="","",INDEX(NOTA[TGL.NOTA],MATCH(,INDIRECT(ADDRESS(ROW(NOTA[TGL.NOTA]),COLUMN(NOTA[TGL.NOTA]))&amp;":"&amp;ADDRESS(ROW(),COLUMN(NOTA[TGL.NOTA]))),-1)))</f>
        <v/>
      </c>
      <c r="AK647" s="26" t="str">
        <f ca="1">IF(NOTA[[#This Row],[ID_H]]="","",INDEX(NOTA[NO.NOTA],MATCH(NOTA[[#This Row],[ID_H]],NOTA[ID_H],0)))</f>
        <v/>
      </c>
      <c r="AL647" s="28" t="str">
        <f ca="1">IF(NOTA[[#This Row],[NAMA BARANG]]="","",INDEX(NOTA[SUPPLIER],MATCH(,INDIRECT(ADDRESS(ROW(NOTA[ID]),COLUMN(NOTA[ID]))&amp;":"&amp;ADDRESS(ROW(),COLUMN(NOTA[ID]))),-1)))</f>
        <v/>
      </c>
      <c r="AM647" s="28" t="str">
        <f ca="1">IF(NOTA[[#This Row],[ID_H]]="","",IF(NOTA[[#This Row],[FAKTUR]]="",INDIRECT(ADDRESS(ROW()-1,COLUMN())),NOTA[[#This Row],[FAKTUR]]))</f>
        <v/>
      </c>
      <c r="AN647" s="25" t="str">
        <f ca="1">IF(NOTA[[#This Row],[ID]]="","",COUNTIF(NOTA[ID_H],NOTA[[#This Row],[ID_H]]))</f>
        <v/>
      </c>
      <c r="AO647" s="25" t="str">
        <f ca="1">IF(NOTA[[#This Row],[TGL.NOTA]]="",IF(NOTA[[#This Row],[SUPPLIER_H]]="","",AO646),MONTH(NOTA[[#This Row],[TGL.NOTA]]))</f>
        <v/>
      </c>
      <c r="AP6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7" s="25"/>
      <c r="AU647" s="25" t="str">
        <f>IF(NOTA[[#This Row],[CONCAT1]]="","",MATCH(NOTA[[#This Row],[CONCAT1]],[3]!db[NB NOTA_C],0))</f>
        <v/>
      </c>
      <c r="AV647" s="25" t="str">
        <f>IF(NOTA[[#This Row],[QTY/ CTN]]="","",TRUE)</f>
        <v/>
      </c>
      <c r="AW647" s="25" t="str">
        <f ca="1">IF(NOTA[[#This Row],[ID_H]]="","",IF(NOTA[[#This Row],[Column3]]=TRUE,NOTA[[#This Row],[QTY/ CTN]],INDEX([3]!db[QTY/ CTN],NOTA[[#This Row],[//DB]])))</f>
        <v/>
      </c>
      <c r="AX6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7" s="25" t="str">
        <f ca="1">IF(NOTA[[#This Row],[ID_H]]="","",MATCH(NOTA[[#This Row],[NB NOTA_C_QTY]],[3]!db[NB NOTA_C_QTY+F],0))</f>
        <v/>
      </c>
      <c r="AZ647" s="38" t="str">
        <f ca="1">IF(NOTA[[#This Row],[NB NOTA_C_QTY]]="","",ROW()-2)</f>
        <v/>
      </c>
    </row>
    <row r="648" spans="1:52" ht="20.100000000000001" customHeight="1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8" s="25" t="str">
        <f ca="1">IF(NOTA[[#This Row],[NAMA BARANG]]="","",INDEX(NOTA[ID],MATCH(,INDIRECT(ADDRESS(ROW(NOTA[ID]),COLUMN(NOTA[ID]))&amp;":"&amp;ADDRESS(ROW(),COLUMN(NOTA[ID]))),-1)))</f>
        <v/>
      </c>
      <c r="E648" s="33"/>
      <c r="H648" s="34"/>
      <c r="Q648" s="29"/>
      <c r="R648" s="35"/>
      <c r="S648" s="36"/>
      <c r="V648" s="37"/>
      <c r="W648" s="32"/>
      <c r="X648" s="37" t="str">
        <f>IF(NOTA[[#This Row],[HARGA/ CTN]]="",NOTA[[#This Row],[JUMLAH_H]],NOTA[[#This Row],[HARGA/ CTN]]*IF(NOTA[[#This Row],[C]]="",0,NOTA[[#This Row],[C]]))</f>
        <v/>
      </c>
      <c r="Y648" s="37" t="str">
        <f>IF(NOTA[[#This Row],[JUMLAH]]="","",NOTA[[#This Row],[JUMLAH]]*NOTA[[#This Row],[DISC 1]])</f>
        <v/>
      </c>
      <c r="Z648" s="37" t="str">
        <f>IF(NOTA[[#This Row],[JUMLAH]]="","",(NOTA[[#This Row],[JUMLAH]]-NOTA[[#This Row],[DISC 1-]])*NOTA[[#This Row],[DISC 2]])</f>
        <v/>
      </c>
      <c r="AA648" s="37" t="str">
        <f>IF(NOTA[[#This Row],[JUMLAH]]="","",(NOTA[[#This Row],[JUMLAH]]-NOTA[[#This Row],[DISC 1-]]-NOTA[[#This Row],[DISC 2-]])*NOTA[[#This Row],[DISC 3]])</f>
        <v/>
      </c>
      <c r="AB648" s="37" t="str">
        <f>IF(NOTA[[#This Row],[JUMLAH]]="","",NOTA[[#This Row],[DISC 1-]]+NOTA[[#This Row],[DISC 2-]]+NOTA[[#This Row],[DISC 3-]])</f>
        <v/>
      </c>
      <c r="AC648" s="37" t="str">
        <f>IF(NOTA[[#This Row],[JUMLAH]]="","",NOTA[[#This Row],[JUMLAH]]-NOTA[[#This Row],[DISC]])</f>
        <v/>
      </c>
      <c r="AD648" s="37"/>
      <c r="AE6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8" s="37" t="str">
        <f>IF(OR(NOTA[[#This Row],[QTY]]="",NOTA[[#This Row],[HARGA SATUAN]]="",),"",NOTA[[#This Row],[QTY]]*NOTA[[#This Row],[HARGA SATUAN]])</f>
        <v/>
      </c>
      <c r="AI648" s="26" t="str">
        <f ca="1">IF(NOTA[[#This Row],[ID_H]]="","",INDEX(NOTA[TANGGAL],MATCH(,INDIRECT(ADDRESS(ROW(NOTA[TANGGAL]),COLUMN(NOTA[TANGGAL]))&amp;":"&amp;ADDRESS(ROW(),COLUMN(NOTA[TANGGAL]))),-1)))</f>
        <v/>
      </c>
      <c r="AJ648" s="26" t="str">
        <f ca="1">IF(NOTA[[#This Row],[ID_H]]="","",INDEX(NOTA[TGL.NOTA],MATCH(,INDIRECT(ADDRESS(ROW(NOTA[TGL.NOTA]),COLUMN(NOTA[TGL.NOTA]))&amp;":"&amp;ADDRESS(ROW(),COLUMN(NOTA[TGL.NOTA]))),-1)))</f>
        <v/>
      </c>
      <c r="AK648" s="26" t="str">
        <f ca="1">IF(NOTA[[#This Row],[ID_H]]="","",INDEX(NOTA[NO.NOTA],MATCH(NOTA[[#This Row],[ID_H]],NOTA[ID_H],0)))</f>
        <v/>
      </c>
      <c r="AL648" s="28" t="str">
        <f ca="1">IF(NOTA[[#This Row],[NAMA BARANG]]="","",INDEX(NOTA[SUPPLIER],MATCH(,INDIRECT(ADDRESS(ROW(NOTA[ID]),COLUMN(NOTA[ID]))&amp;":"&amp;ADDRESS(ROW(),COLUMN(NOTA[ID]))),-1)))</f>
        <v/>
      </c>
      <c r="AM648" s="28" t="str">
        <f ca="1">IF(NOTA[[#This Row],[ID_H]]="","",IF(NOTA[[#This Row],[FAKTUR]]="",INDIRECT(ADDRESS(ROW()-1,COLUMN())),NOTA[[#This Row],[FAKTUR]]))</f>
        <v/>
      </c>
      <c r="AN648" s="25" t="str">
        <f ca="1">IF(NOTA[[#This Row],[ID]]="","",COUNTIF(NOTA[ID_H],NOTA[[#This Row],[ID_H]]))</f>
        <v/>
      </c>
      <c r="AO648" s="25" t="str">
        <f ca="1">IF(NOTA[[#This Row],[TGL.NOTA]]="",IF(NOTA[[#This Row],[SUPPLIER_H]]="","",AO647),MONTH(NOTA[[#This Row],[TGL.NOTA]]))</f>
        <v/>
      </c>
      <c r="AP6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8" s="25"/>
      <c r="AU648" s="25" t="str">
        <f>IF(NOTA[[#This Row],[CONCAT1]]="","",MATCH(NOTA[[#This Row],[CONCAT1]],[3]!db[NB NOTA_C],0))</f>
        <v/>
      </c>
      <c r="AV648" s="25" t="str">
        <f>IF(NOTA[[#This Row],[QTY/ CTN]]="","",TRUE)</f>
        <v/>
      </c>
      <c r="AW648" s="25" t="str">
        <f ca="1">IF(NOTA[[#This Row],[ID_H]]="","",IF(NOTA[[#This Row],[Column3]]=TRUE,NOTA[[#This Row],[QTY/ CTN]],INDEX([3]!db[QTY/ CTN],NOTA[[#This Row],[//DB]])))</f>
        <v/>
      </c>
      <c r="AX6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8" s="25" t="str">
        <f ca="1">IF(NOTA[[#This Row],[ID_H]]="","",MATCH(NOTA[[#This Row],[NB NOTA_C_QTY]],[3]!db[NB NOTA_C_QTY+F],0))</f>
        <v/>
      </c>
      <c r="AZ648" s="38" t="str">
        <f ca="1">IF(NOTA[[#This Row],[NB NOTA_C_QTY]]="","",ROW()-2)</f>
        <v/>
      </c>
    </row>
    <row r="649" spans="1:52" ht="20.100000000000001" customHeight="1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9" s="25" t="str">
        <f ca="1">IF(NOTA[[#This Row],[NAMA BARANG]]="","",INDEX(NOTA[ID],MATCH(,INDIRECT(ADDRESS(ROW(NOTA[ID]),COLUMN(NOTA[ID]))&amp;":"&amp;ADDRESS(ROW(),COLUMN(NOTA[ID]))),-1)))</f>
        <v/>
      </c>
      <c r="E649" s="33"/>
      <c r="H649" s="34"/>
      <c r="Q649" s="29"/>
      <c r="R649" s="35"/>
      <c r="S649" s="36"/>
      <c r="V649" s="37"/>
      <c r="W649" s="32"/>
      <c r="X649" s="37" t="str">
        <f>IF(NOTA[[#This Row],[HARGA/ CTN]]="",NOTA[[#This Row],[JUMLAH_H]],NOTA[[#This Row],[HARGA/ CTN]]*IF(NOTA[[#This Row],[C]]="",0,NOTA[[#This Row],[C]]))</f>
        <v/>
      </c>
      <c r="Y649" s="37" t="str">
        <f>IF(NOTA[[#This Row],[JUMLAH]]="","",NOTA[[#This Row],[JUMLAH]]*NOTA[[#This Row],[DISC 1]])</f>
        <v/>
      </c>
      <c r="Z649" s="37" t="str">
        <f>IF(NOTA[[#This Row],[JUMLAH]]="","",(NOTA[[#This Row],[JUMLAH]]-NOTA[[#This Row],[DISC 1-]])*NOTA[[#This Row],[DISC 2]])</f>
        <v/>
      </c>
      <c r="AA649" s="37" t="str">
        <f>IF(NOTA[[#This Row],[JUMLAH]]="","",(NOTA[[#This Row],[JUMLAH]]-NOTA[[#This Row],[DISC 1-]]-NOTA[[#This Row],[DISC 2-]])*NOTA[[#This Row],[DISC 3]])</f>
        <v/>
      </c>
      <c r="AB649" s="37" t="str">
        <f>IF(NOTA[[#This Row],[JUMLAH]]="","",NOTA[[#This Row],[DISC 1-]]+NOTA[[#This Row],[DISC 2-]]+NOTA[[#This Row],[DISC 3-]])</f>
        <v/>
      </c>
      <c r="AC649" s="37" t="str">
        <f>IF(NOTA[[#This Row],[JUMLAH]]="","",NOTA[[#This Row],[JUMLAH]]-NOTA[[#This Row],[DISC]])</f>
        <v/>
      </c>
      <c r="AD649" s="37"/>
      <c r="AE6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9" s="37" t="str">
        <f>IF(OR(NOTA[[#This Row],[QTY]]="",NOTA[[#This Row],[HARGA SATUAN]]="",),"",NOTA[[#This Row],[QTY]]*NOTA[[#This Row],[HARGA SATUAN]])</f>
        <v/>
      </c>
      <c r="AI649" s="26" t="str">
        <f ca="1">IF(NOTA[[#This Row],[ID_H]]="","",INDEX(NOTA[TANGGAL],MATCH(,INDIRECT(ADDRESS(ROW(NOTA[TANGGAL]),COLUMN(NOTA[TANGGAL]))&amp;":"&amp;ADDRESS(ROW(),COLUMN(NOTA[TANGGAL]))),-1)))</f>
        <v/>
      </c>
      <c r="AJ649" s="26" t="str">
        <f ca="1">IF(NOTA[[#This Row],[ID_H]]="","",INDEX(NOTA[TGL.NOTA],MATCH(,INDIRECT(ADDRESS(ROW(NOTA[TGL.NOTA]),COLUMN(NOTA[TGL.NOTA]))&amp;":"&amp;ADDRESS(ROW(),COLUMN(NOTA[TGL.NOTA]))),-1)))</f>
        <v/>
      </c>
      <c r="AK649" s="26" t="str">
        <f ca="1">IF(NOTA[[#This Row],[ID_H]]="","",INDEX(NOTA[NO.NOTA],MATCH(NOTA[[#This Row],[ID_H]],NOTA[ID_H],0)))</f>
        <v/>
      </c>
      <c r="AL649" s="28" t="str">
        <f ca="1">IF(NOTA[[#This Row],[NAMA BARANG]]="","",INDEX(NOTA[SUPPLIER],MATCH(,INDIRECT(ADDRESS(ROW(NOTA[ID]),COLUMN(NOTA[ID]))&amp;":"&amp;ADDRESS(ROW(),COLUMN(NOTA[ID]))),-1)))</f>
        <v/>
      </c>
      <c r="AM649" s="28" t="str">
        <f ca="1">IF(NOTA[[#This Row],[ID_H]]="","",IF(NOTA[[#This Row],[FAKTUR]]="",INDIRECT(ADDRESS(ROW()-1,COLUMN())),NOTA[[#This Row],[FAKTUR]]))</f>
        <v/>
      </c>
      <c r="AN649" s="25" t="str">
        <f ca="1">IF(NOTA[[#This Row],[ID]]="","",COUNTIF(NOTA[ID_H],NOTA[[#This Row],[ID_H]]))</f>
        <v/>
      </c>
      <c r="AO649" s="25" t="str">
        <f ca="1">IF(NOTA[[#This Row],[TGL.NOTA]]="",IF(NOTA[[#This Row],[SUPPLIER_H]]="","",AO648),MONTH(NOTA[[#This Row],[TGL.NOTA]]))</f>
        <v/>
      </c>
      <c r="AP6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9" s="25"/>
      <c r="AU649" s="25" t="str">
        <f>IF(NOTA[[#This Row],[CONCAT1]]="","",MATCH(NOTA[[#This Row],[CONCAT1]],[3]!db[NB NOTA_C],0))</f>
        <v/>
      </c>
      <c r="AV649" s="25" t="str">
        <f>IF(NOTA[[#This Row],[QTY/ CTN]]="","",TRUE)</f>
        <v/>
      </c>
      <c r="AW649" s="25" t="str">
        <f ca="1">IF(NOTA[[#This Row],[ID_H]]="","",IF(NOTA[[#This Row],[Column3]]=TRUE,NOTA[[#This Row],[QTY/ CTN]],INDEX([3]!db[QTY/ CTN],NOTA[[#This Row],[//DB]])))</f>
        <v/>
      </c>
      <c r="AX6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9" s="25" t="str">
        <f ca="1">IF(NOTA[[#This Row],[ID_H]]="","",MATCH(NOTA[[#This Row],[NB NOTA_C_QTY]],[3]!db[NB NOTA_C_QTY+F],0))</f>
        <v/>
      </c>
      <c r="AZ649" s="38" t="str">
        <f ca="1">IF(NOTA[[#This Row],[NB NOTA_C_QTY]]="","",ROW()-2)</f>
        <v/>
      </c>
    </row>
    <row r="650" spans="1:52" ht="20.100000000000001" customHeight="1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0" s="25" t="str">
        <f ca="1">IF(NOTA[[#This Row],[NAMA BARANG]]="","",INDEX(NOTA[ID],MATCH(,INDIRECT(ADDRESS(ROW(NOTA[ID]),COLUMN(NOTA[ID]))&amp;":"&amp;ADDRESS(ROW(),COLUMN(NOTA[ID]))),-1)))</f>
        <v/>
      </c>
      <c r="E650" s="33"/>
      <c r="H650" s="34"/>
      <c r="Q650" s="29"/>
      <c r="R650" s="35"/>
      <c r="S650" s="36"/>
      <c r="V650" s="37"/>
      <c r="W650" s="32"/>
      <c r="X650" s="37" t="str">
        <f>IF(NOTA[[#This Row],[HARGA/ CTN]]="",NOTA[[#This Row],[JUMLAH_H]],NOTA[[#This Row],[HARGA/ CTN]]*IF(NOTA[[#This Row],[C]]="",0,NOTA[[#This Row],[C]]))</f>
        <v/>
      </c>
      <c r="Y650" s="37" t="str">
        <f>IF(NOTA[[#This Row],[JUMLAH]]="","",NOTA[[#This Row],[JUMLAH]]*NOTA[[#This Row],[DISC 1]])</f>
        <v/>
      </c>
      <c r="Z650" s="37" t="str">
        <f>IF(NOTA[[#This Row],[JUMLAH]]="","",(NOTA[[#This Row],[JUMLAH]]-NOTA[[#This Row],[DISC 1-]])*NOTA[[#This Row],[DISC 2]])</f>
        <v/>
      </c>
      <c r="AA650" s="37" t="str">
        <f>IF(NOTA[[#This Row],[JUMLAH]]="","",(NOTA[[#This Row],[JUMLAH]]-NOTA[[#This Row],[DISC 1-]]-NOTA[[#This Row],[DISC 2-]])*NOTA[[#This Row],[DISC 3]])</f>
        <v/>
      </c>
      <c r="AB650" s="37" t="str">
        <f>IF(NOTA[[#This Row],[JUMLAH]]="","",NOTA[[#This Row],[DISC 1-]]+NOTA[[#This Row],[DISC 2-]]+NOTA[[#This Row],[DISC 3-]])</f>
        <v/>
      </c>
      <c r="AC650" s="37" t="str">
        <f>IF(NOTA[[#This Row],[JUMLAH]]="","",NOTA[[#This Row],[JUMLAH]]-NOTA[[#This Row],[DISC]])</f>
        <v/>
      </c>
      <c r="AD650" s="37"/>
      <c r="AE6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0" s="37" t="str">
        <f>IF(OR(NOTA[[#This Row],[QTY]]="",NOTA[[#This Row],[HARGA SATUAN]]="",),"",NOTA[[#This Row],[QTY]]*NOTA[[#This Row],[HARGA SATUAN]])</f>
        <v/>
      </c>
      <c r="AI650" s="26" t="str">
        <f ca="1">IF(NOTA[[#This Row],[ID_H]]="","",INDEX(NOTA[TANGGAL],MATCH(,INDIRECT(ADDRESS(ROW(NOTA[TANGGAL]),COLUMN(NOTA[TANGGAL]))&amp;":"&amp;ADDRESS(ROW(),COLUMN(NOTA[TANGGAL]))),-1)))</f>
        <v/>
      </c>
      <c r="AJ650" s="26" t="str">
        <f ca="1">IF(NOTA[[#This Row],[ID_H]]="","",INDEX(NOTA[TGL.NOTA],MATCH(,INDIRECT(ADDRESS(ROW(NOTA[TGL.NOTA]),COLUMN(NOTA[TGL.NOTA]))&amp;":"&amp;ADDRESS(ROW(),COLUMN(NOTA[TGL.NOTA]))),-1)))</f>
        <v/>
      </c>
      <c r="AK650" s="26" t="str">
        <f ca="1">IF(NOTA[[#This Row],[ID_H]]="","",INDEX(NOTA[NO.NOTA],MATCH(NOTA[[#This Row],[ID_H]],NOTA[ID_H],0)))</f>
        <v/>
      </c>
      <c r="AL650" s="28" t="str">
        <f ca="1">IF(NOTA[[#This Row],[NAMA BARANG]]="","",INDEX(NOTA[SUPPLIER],MATCH(,INDIRECT(ADDRESS(ROW(NOTA[ID]),COLUMN(NOTA[ID]))&amp;":"&amp;ADDRESS(ROW(),COLUMN(NOTA[ID]))),-1)))</f>
        <v/>
      </c>
      <c r="AM650" s="28" t="str">
        <f ca="1">IF(NOTA[[#This Row],[ID_H]]="","",IF(NOTA[[#This Row],[FAKTUR]]="",INDIRECT(ADDRESS(ROW()-1,COLUMN())),NOTA[[#This Row],[FAKTUR]]))</f>
        <v/>
      </c>
      <c r="AN650" s="25" t="str">
        <f ca="1">IF(NOTA[[#This Row],[ID]]="","",COUNTIF(NOTA[ID_H],NOTA[[#This Row],[ID_H]]))</f>
        <v/>
      </c>
      <c r="AO650" s="25" t="str">
        <f ca="1">IF(NOTA[[#This Row],[TGL.NOTA]]="",IF(NOTA[[#This Row],[SUPPLIER_H]]="","",AO649),MONTH(NOTA[[#This Row],[TGL.NOTA]]))</f>
        <v/>
      </c>
      <c r="AP6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0" s="25"/>
      <c r="AU650" s="25" t="str">
        <f>IF(NOTA[[#This Row],[CONCAT1]]="","",MATCH(NOTA[[#This Row],[CONCAT1]],[3]!db[NB NOTA_C],0))</f>
        <v/>
      </c>
      <c r="AV650" s="25" t="str">
        <f>IF(NOTA[[#This Row],[QTY/ CTN]]="","",TRUE)</f>
        <v/>
      </c>
      <c r="AW650" s="25" t="str">
        <f ca="1">IF(NOTA[[#This Row],[ID_H]]="","",IF(NOTA[[#This Row],[Column3]]=TRUE,NOTA[[#This Row],[QTY/ CTN]],INDEX([3]!db[QTY/ CTN],NOTA[[#This Row],[//DB]])))</f>
        <v/>
      </c>
      <c r="AX6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0" s="25" t="str">
        <f ca="1">IF(NOTA[[#This Row],[ID_H]]="","",MATCH(NOTA[[#This Row],[NB NOTA_C_QTY]],[3]!db[NB NOTA_C_QTY+F],0))</f>
        <v/>
      </c>
      <c r="AZ650" s="38" t="str">
        <f ca="1">IF(NOTA[[#This Row],[NB NOTA_C_QTY]]="","",ROW()-2)</f>
        <v/>
      </c>
    </row>
    <row r="651" spans="1:52" ht="20.100000000000001" customHeight="1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1" s="25" t="str">
        <f ca="1">IF(NOTA[[#This Row],[NAMA BARANG]]="","",INDEX(NOTA[ID],MATCH(,INDIRECT(ADDRESS(ROW(NOTA[ID]),COLUMN(NOTA[ID]))&amp;":"&amp;ADDRESS(ROW(),COLUMN(NOTA[ID]))),-1)))</f>
        <v/>
      </c>
      <c r="E651" s="33"/>
      <c r="H651" s="34"/>
      <c r="Q651" s="29"/>
      <c r="R651" s="35"/>
      <c r="S651" s="36"/>
      <c r="V651" s="37"/>
      <c r="W651" s="32"/>
      <c r="X651" s="37" t="str">
        <f>IF(NOTA[[#This Row],[HARGA/ CTN]]="",NOTA[[#This Row],[JUMLAH_H]],NOTA[[#This Row],[HARGA/ CTN]]*IF(NOTA[[#This Row],[C]]="",0,NOTA[[#This Row],[C]]))</f>
        <v/>
      </c>
      <c r="Y651" s="37" t="str">
        <f>IF(NOTA[[#This Row],[JUMLAH]]="","",NOTA[[#This Row],[JUMLAH]]*NOTA[[#This Row],[DISC 1]])</f>
        <v/>
      </c>
      <c r="Z651" s="37" t="str">
        <f>IF(NOTA[[#This Row],[JUMLAH]]="","",(NOTA[[#This Row],[JUMLAH]]-NOTA[[#This Row],[DISC 1-]])*NOTA[[#This Row],[DISC 2]])</f>
        <v/>
      </c>
      <c r="AA651" s="37" t="str">
        <f>IF(NOTA[[#This Row],[JUMLAH]]="","",(NOTA[[#This Row],[JUMLAH]]-NOTA[[#This Row],[DISC 1-]]-NOTA[[#This Row],[DISC 2-]])*NOTA[[#This Row],[DISC 3]])</f>
        <v/>
      </c>
      <c r="AB651" s="37" t="str">
        <f>IF(NOTA[[#This Row],[JUMLAH]]="","",NOTA[[#This Row],[DISC 1-]]+NOTA[[#This Row],[DISC 2-]]+NOTA[[#This Row],[DISC 3-]])</f>
        <v/>
      </c>
      <c r="AC651" s="37" t="str">
        <f>IF(NOTA[[#This Row],[JUMLAH]]="","",NOTA[[#This Row],[JUMLAH]]-NOTA[[#This Row],[DISC]])</f>
        <v/>
      </c>
      <c r="AD651" s="37"/>
      <c r="AE6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1" s="37" t="str">
        <f>IF(OR(NOTA[[#This Row],[QTY]]="",NOTA[[#This Row],[HARGA SATUAN]]="",),"",NOTA[[#This Row],[QTY]]*NOTA[[#This Row],[HARGA SATUAN]])</f>
        <v/>
      </c>
      <c r="AI651" s="26" t="str">
        <f ca="1">IF(NOTA[[#This Row],[ID_H]]="","",INDEX(NOTA[TANGGAL],MATCH(,INDIRECT(ADDRESS(ROW(NOTA[TANGGAL]),COLUMN(NOTA[TANGGAL]))&amp;":"&amp;ADDRESS(ROW(),COLUMN(NOTA[TANGGAL]))),-1)))</f>
        <v/>
      </c>
      <c r="AJ651" s="26" t="str">
        <f ca="1">IF(NOTA[[#This Row],[ID_H]]="","",INDEX(NOTA[TGL.NOTA],MATCH(,INDIRECT(ADDRESS(ROW(NOTA[TGL.NOTA]),COLUMN(NOTA[TGL.NOTA]))&amp;":"&amp;ADDRESS(ROW(),COLUMN(NOTA[TGL.NOTA]))),-1)))</f>
        <v/>
      </c>
      <c r="AK651" s="26" t="str">
        <f ca="1">IF(NOTA[[#This Row],[ID_H]]="","",INDEX(NOTA[NO.NOTA],MATCH(NOTA[[#This Row],[ID_H]],NOTA[ID_H],0)))</f>
        <v/>
      </c>
      <c r="AL651" s="28" t="str">
        <f ca="1">IF(NOTA[[#This Row],[NAMA BARANG]]="","",INDEX(NOTA[SUPPLIER],MATCH(,INDIRECT(ADDRESS(ROW(NOTA[ID]),COLUMN(NOTA[ID]))&amp;":"&amp;ADDRESS(ROW(),COLUMN(NOTA[ID]))),-1)))</f>
        <v/>
      </c>
      <c r="AM651" s="28" t="str">
        <f ca="1">IF(NOTA[[#This Row],[ID_H]]="","",IF(NOTA[[#This Row],[FAKTUR]]="",INDIRECT(ADDRESS(ROW()-1,COLUMN())),NOTA[[#This Row],[FAKTUR]]))</f>
        <v/>
      </c>
      <c r="AN651" s="25" t="str">
        <f ca="1">IF(NOTA[[#This Row],[ID]]="","",COUNTIF(NOTA[ID_H],NOTA[[#This Row],[ID_H]]))</f>
        <v/>
      </c>
      <c r="AO651" s="25" t="str">
        <f ca="1">IF(NOTA[[#This Row],[TGL.NOTA]]="",IF(NOTA[[#This Row],[SUPPLIER_H]]="","",AO650),MONTH(NOTA[[#This Row],[TGL.NOTA]]))</f>
        <v/>
      </c>
      <c r="AP6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1" s="25"/>
      <c r="AU651" s="25" t="str">
        <f>IF(NOTA[[#This Row],[CONCAT1]]="","",MATCH(NOTA[[#This Row],[CONCAT1]],[3]!db[NB NOTA_C],0))</f>
        <v/>
      </c>
      <c r="AV651" s="25" t="str">
        <f>IF(NOTA[[#This Row],[QTY/ CTN]]="","",TRUE)</f>
        <v/>
      </c>
      <c r="AW651" s="25" t="str">
        <f ca="1">IF(NOTA[[#This Row],[ID_H]]="","",IF(NOTA[[#This Row],[Column3]]=TRUE,NOTA[[#This Row],[QTY/ CTN]],INDEX([3]!db[QTY/ CTN],NOTA[[#This Row],[//DB]])))</f>
        <v/>
      </c>
      <c r="AX6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1" s="25" t="str">
        <f ca="1">IF(NOTA[[#This Row],[ID_H]]="","",MATCH(NOTA[[#This Row],[NB NOTA_C_QTY]],[3]!db[NB NOTA_C_QTY+F],0))</f>
        <v/>
      </c>
      <c r="AZ651" s="38" t="str">
        <f ca="1">IF(NOTA[[#This Row],[NB NOTA_C_QTY]]="","",ROW()-2)</f>
        <v/>
      </c>
    </row>
    <row r="652" spans="1:52" ht="20.100000000000001" customHeight="1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2" s="25" t="str">
        <f ca="1">IF(NOTA[[#This Row],[NAMA BARANG]]="","",INDEX(NOTA[ID],MATCH(,INDIRECT(ADDRESS(ROW(NOTA[ID]),COLUMN(NOTA[ID]))&amp;":"&amp;ADDRESS(ROW(),COLUMN(NOTA[ID]))),-1)))</f>
        <v/>
      </c>
      <c r="E652" s="33"/>
      <c r="H652" s="34"/>
      <c r="Q652" s="29"/>
      <c r="R652" s="35"/>
      <c r="S652" s="36"/>
      <c r="V652" s="37"/>
      <c r="W652" s="32"/>
      <c r="X652" s="37" t="str">
        <f>IF(NOTA[[#This Row],[HARGA/ CTN]]="",NOTA[[#This Row],[JUMLAH_H]],NOTA[[#This Row],[HARGA/ CTN]]*IF(NOTA[[#This Row],[C]]="",0,NOTA[[#This Row],[C]]))</f>
        <v/>
      </c>
      <c r="Y652" s="37" t="str">
        <f>IF(NOTA[[#This Row],[JUMLAH]]="","",NOTA[[#This Row],[JUMLAH]]*NOTA[[#This Row],[DISC 1]])</f>
        <v/>
      </c>
      <c r="Z652" s="37" t="str">
        <f>IF(NOTA[[#This Row],[JUMLAH]]="","",(NOTA[[#This Row],[JUMLAH]]-NOTA[[#This Row],[DISC 1-]])*NOTA[[#This Row],[DISC 2]])</f>
        <v/>
      </c>
      <c r="AA652" s="37" t="str">
        <f>IF(NOTA[[#This Row],[JUMLAH]]="","",(NOTA[[#This Row],[JUMLAH]]-NOTA[[#This Row],[DISC 1-]]-NOTA[[#This Row],[DISC 2-]])*NOTA[[#This Row],[DISC 3]])</f>
        <v/>
      </c>
      <c r="AB652" s="37" t="str">
        <f>IF(NOTA[[#This Row],[JUMLAH]]="","",NOTA[[#This Row],[DISC 1-]]+NOTA[[#This Row],[DISC 2-]]+NOTA[[#This Row],[DISC 3-]])</f>
        <v/>
      </c>
      <c r="AC652" s="37" t="str">
        <f>IF(NOTA[[#This Row],[JUMLAH]]="","",NOTA[[#This Row],[JUMLAH]]-NOTA[[#This Row],[DISC]])</f>
        <v/>
      </c>
      <c r="AD652" s="37"/>
      <c r="AE6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2" s="37" t="str">
        <f>IF(OR(NOTA[[#This Row],[QTY]]="",NOTA[[#This Row],[HARGA SATUAN]]="",),"",NOTA[[#This Row],[QTY]]*NOTA[[#This Row],[HARGA SATUAN]])</f>
        <v/>
      </c>
      <c r="AI652" s="26" t="str">
        <f ca="1">IF(NOTA[[#This Row],[ID_H]]="","",INDEX(NOTA[TANGGAL],MATCH(,INDIRECT(ADDRESS(ROW(NOTA[TANGGAL]),COLUMN(NOTA[TANGGAL]))&amp;":"&amp;ADDRESS(ROW(),COLUMN(NOTA[TANGGAL]))),-1)))</f>
        <v/>
      </c>
      <c r="AJ652" s="26" t="str">
        <f ca="1">IF(NOTA[[#This Row],[ID_H]]="","",INDEX(NOTA[TGL.NOTA],MATCH(,INDIRECT(ADDRESS(ROW(NOTA[TGL.NOTA]),COLUMN(NOTA[TGL.NOTA]))&amp;":"&amp;ADDRESS(ROW(),COLUMN(NOTA[TGL.NOTA]))),-1)))</f>
        <v/>
      </c>
      <c r="AK652" s="26" t="str">
        <f ca="1">IF(NOTA[[#This Row],[ID_H]]="","",INDEX(NOTA[NO.NOTA],MATCH(NOTA[[#This Row],[ID_H]],NOTA[ID_H],0)))</f>
        <v/>
      </c>
      <c r="AL652" s="28" t="str">
        <f ca="1">IF(NOTA[[#This Row],[NAMA BARANG]]="","",INDEX(NOTA[SUPPLIER],MATCH(,INDIRECT(ADDRESS(ROW(NOTA[ID]),COLUMN(NOTA[ID]))&amp;":"&amp;ADDRESS(ROW(),COLUMN(NOTA[ID]))),-1)))</f>
        <v/>
      </c>
      <c r="AM652" s="28" t="str">
        <f ca="1">IF(NOTA[[#This Row],[ID_H]]="","",IF(NOTA[[#This Row],[FAKTUR]]="",INDIRECT(ADDRESS(ROW()-1,COLUMN())),NOTA[[#This Row],[FAKTUR]]))</f>
        <v/>
      </c>
      <c r="AN652" s="25" t="str">
        <f ca="1">IF(NOTA[[#This Row],[ID]]="","",COUNTIF(NOTA[ID_H],NOTA[[#This Row],[ID_H]]))</f>
        <v/>
      </c>
      <c r="AO652" s="25" t="str">
        <f ca="1">IF(NOTA[[#This Row],[TGL.NOTA]]="",IF(NOTA[[#This Row],[SUPPLIER_H]]="","",AO651),MONTH(NOTA[[#This Row],[TGL.NOTA]]))</f>
        <v/>
      </c>
      <c r="AP6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2" s="25"/>
      <c r="AU652" s="25" t="str">
        <f>IF(NOTA[[#This Row],[CONCAT1]]="","",MATCH(NOTA[[#This Row],[CONCAT1]],[3]!db[NB NOTA_C],0))</f>
        <v/>
      </c>
      <c r="AV652" s="25" t="str">
        <f>IF(NOTA[[#This Row],[QTY/ CTN]]="","",TRUE)</f>
        <v/>
      </c>
      <c r="AW652" s="25" t="str">
        <f ca="1">IF(NOTA[[#This Row],[ID_H]]="","",IF(NOTA[[#This Row],[Column3]]=TRUE,NOTA[[#This Row],[QTY/ CTN]],INDEX([3]!db[QTY/ CTN],NOTA[[#This Row],[//DB]])))</f>
        <v/>
      </c>
      <c r="AX6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2" s="25" t="str">
        <f ca="1">IF(NOTA[[#This Row],[ID_H]]="","",MATCH(NOTA[[#This Row],[NB NOTA_C_QTY]],[3]!db[NB NOTA_C_QTY+F],0))</f>
        <v/>
      </c>
      <c r="AZ652" s="38" t="str">
        <f ca="1">IF(NOTA[[#This Row],[NB NOTA_C_QTY]]="","",ROW()-2)</f>
        <v/>
      </c>
    </row>
    <row r="653" spans="1:52" ht="20.100000000000001" customHeight="1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3" s="25" t="str">
        <f ca="1">IF(NOTA[[#This Row],[NAMA BARANG]]="","",INDEX(NOTA[ID],MATCH(,INDIRECT(ADDRESS(ROW(NOTA[ID]),COLUMN(NOTA[ID]))&amp;":"&amp;ADDRESS(ROW(),COLUMN(NOTA[ID]))),-1)))</f>
        <v/>
      </c>
      <c r="E653" s="33"/>
      <c r="H653" s="34"/>
      <c r="Q653" s="29"/>
      <c r="R653" s="35"/>
      <c r="S653" s="36"/>
      <c r="V653" s="37"/>
      <c r="W653" s="32"/>
      <c r="X653" s="37" t="str">
        <f>IF(NOTA[[#This Row],[HARGA/ CTN]]="",NOTA[[#This Row],[JUMLAH_H]],NOTA[[#This Row],[HARGA/ CTN]]*IF(NOTA[[#This Row],[C]]="",0,NOTA[[#This Row],[C]]))</f>
        <v/>
      </c>
      <c r="Y653" s="37" t="str">
        <f>IF(NOTA[[#This Row],[JUMLAH]]="","",NOTA[[#This Row],[JUMLAH]]*NOTA[[#This Row],[DISC 1]])</f>
        <v/>
      </c>
      <c r="Z653" s="37" t="str">
        <f>IF(NOTA[[#This Row],[JUMLAH]]="","",(NOTA[[#This Row],[JUMLAH]]-NOTA[[#This Row],[DISC 1-]])*NOTA[[#This Row],[DISC 2]])</f>
        <v/>
      </c>
      <c r="AA653" s="37" t="str">
        <f>IF(NOTA[[#This Row],[JUMLAH]]="","",(NOTA[[#This Row],[JUMLAH]]-NOTA[[#This Row],[DISC 1-]]-NOTA[[#This Row],[DISC 2-]])*NOTA[[#This Row],[DISC 3]])</f>
        <v/>
      </c>
      <c r="AB653" s="37" t="str">
        <f>IF(NOTA[[#This Row],[JUMLAH]]="","",NOTA[[#This Row],[DISC 1-]]+NOTA[[#This Row],[DISC 2-]]+NOTA[[#This Row],[DISC 3-]])</f>
        <v/>
      </c>
      <c r="AC653" s="37" t="str">
        <f>IF(NOTA[[#This Row],[JUMLAH]]="","",NOTA[[#This Row],[JUMLAH]]-NOTA[[#This Row],[DISC]])</f>
        <v/>
      </c>
      <c r="AD653" s="37"/>
      <c r="AE6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3" s="37" t="str">
        <f>IF(OR(NOTA[[#This Row],[QTY]]="",NOTA[[#This Row],[HARGA SATUAN]]="",),"",NOTA[[#This Row],[QTY]]*NOTA[[#This Row],[HARGA SATUAN]])</f>
        <v/>
      </c>
      <c r="AI653" s="26" t="str">
        <f ca="1">IF(NOTA[[#This Row],[ID_H]]="","",INDEX(NOTA[TANGGAL],MATCH(,INDIRECT(ADDRESS(ROW(NOTA[TANGGAL]),COLUMN(NOTA[TANGGAL]))&amp;":"&amp;ADDRESS(ROW(),COLUMN(NOTA[TANGGAL]))),-1)))</f>
        <v/>
      </c>
      <c r="AJ653" s="26" t="str">
        <f ca="1">IF(NOTA[[#This Row],[ID_H]]="","",INDEX(NOTA[TGL.NOTA],MATCH(,INDIRECT(ADDRESS(ROW(NOTA[TGL.NOTA]),COLUMN(NOTA[TGL.NOTA]))&amp;":"&amp;ADDRESS(ROW(),COLUMN(NOTA[TGL.NOTA]))),-1)))</f>
        <v/>
      </c>
      <c r="AK653" s="26" t="str">
        <f ca="1">IF(NOTA[[#This Row],[ID_H]]="","",INDEX(NOTA[NO.NOTA],MATCH(NOTA[[#This Row],[ID_H]],NOTA[ID_H],0)))</f>
        <v/>
      </c>
      <c r="AL653" s="28" t="str">
        <f ca="1">IF(NOTA[[#This Row],[NAMA BARANG]]="","",INDEX(NOTA[SUPPLIER],MATCH(,INDIRECT(ADDRESS(ROW(NOTA[ID]),COLUMN(NOTA[ID]))&amp;":"&amp;ADDRESS(ROW(),COLUMN(NOTA[ID]))),-1)))</f>
        <v/>
      </c>
      <c r="AM653" s="28" t="str">
        <f ca="1">IF(NOTA[[#This Row],[ID_H]]="","",IF(NOTA[[#This Row],[FAKTUR]]="",INDIRECT(ADDRESS(ROW()-1,COLUMN())),NOTA[[#This Row],[FAKTUR]]))</f>
        <v/>
      </c>
      <c r="AN653" s="25" t="str">
        <f ca="1">IF(NOTA[[#This Row],[ID]]="","",COUNTIF(NOTA[ID_H],NOTA[[#This Row],[ID_H]]))</f>
        <v/>
      </c>
      <c r="AO653" s="25" t="str">
        <f ca="1">IF(NOTA[[#This Row],[TGL.NOTA]]="",IF(NOTA[[#This Row],[SUPPLIER_H]]="","",AO652),MONTH(NOTA[[#This Row],[TGL.NOTA]]))</f>
        <v/>
      </c>
      <c r="AP6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3" s="25"/>
      <c r="AU653" s="25" t="str">
        <f>IF(NOTA[[#This Row],[CONCAT1]]="","",MATCH(NOTA[[#This Row],[CONCAT1]],[3]!db[NB NOTA_C],0))</f>
        <v/>
      </c>
      <c r="AV653" s="25" t="str">
        <f>IF(NOTA[[#This Row],[QTY/ CTN]]="","",TRUE)</f>
        <v/>
      </c>
      <c r="AW653" s="25" t="str">
        <f ca="1">IF(NOTA[[#This Row],[ID_H]]="","",IF(NOTA[[#This Row],[Column3]]=TRUE,NOTA[[#This Row],[QTY/ CTN]],INDEX([3]!db[QTY/ CTN],NOTA[[#This Row],[//DB]])))</f>
        <v/>
      </c>
      <c r="AX6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3" s="25" t="str">
        <f ca="1">IF(NOTA[[#This Row],[ID_H]]="","",MATCH(NOTA[[#This Row],[NB NOTA_C_QTY]],[3]!db[NB NOTA_C_QTY+F],0))</f>
        <v/>
      </c>
      <c r="AZ653" s="38" t="str">
        <f ca="1">IF(NOTA[[#This Row],[NB NOTA_C_QTY]]="","",ROW()-2)</f>
        <v/>
      </c>
    </row>
    <row r="654" spans="1:52" ht="20.100000000000001" customHeight="1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4" s="25" t="str">
        <f ca="1">IF(NOTA[[#This Row],[NAMA BARANG]]="","",INDEX(NOTA[ID],MATCH(,INDIRECT(ADDRESS(ROW(NOTA[ID]),COLUMN(NOTA[ID]))&amp;":"&amp;ADDRESS(ROW(),COLUMN(NOTA[ID]))),-1)))</f>
        <v/>
      </c>
      <c r="E654" s="33"/>
      <c r="H654" s="34"/>
      <c r="Q654" s="29"/>
      <c r="R654" s="35"/>
      <c r="S654" s="36"/>
      <c r="V654" s="37"/>
      <c r="W654" s="32"/>
      <c r="X654" s="37" t="str">
        <f>IF(NOTA[[#This Row],[HARGA/ CTN]]="",NOTA[[#This Row],[JUMLAH_H]],NOTA[[#This Row],[HARGA/ CTN]]*IF(NOTA[[#This Row],[C]]="",0,NOTA[[#This Row],[C]]))</f>
        <v/>
      </c>
      <c r="Y654" s="37" t="str">
        <f>IF(NOTA[[#This Row],[JUMLAH]]="","",NOTA[[#This Row],[JUMLAH]]*NOTA[[#This Row],[DISC 1]])</f>
        <v/>
      </c>
      <c r="Z654" s="37" t="str">
        <f>IF(NOTA[[#This Row],[JUMLAH]]="","",(NOTA[[#This Row],[JUMLAH]]-NOTA[[#This Row],[DISC 1-]])*NOTA[[#This Row],[DISC 2]])</f>
        <v/>
      </c>
      <c r="AA654" s="37" t="str">
        <f>IF(NOTA[[#This Row],[JUMLAH]]="","",(NOTA[[#This Row],[JUMLAH]]-NOTA[[#This Row],[DISC 1-]]-NOTA[[#This Row],[DISC 2-]])*NOTA[[#This Row],[DISC 3]])</f>
        <v/>
      </c>
      <c r="AB654" s="37" t="str">
        <f>IF(NOTA[[#This Row],[JUMLAH]]="","",NOTA[[#This Row],[DISC 1-]]+NOTA[[#This Row],[DISC 2-]]+NOTA[[#This Row],[DISC 3-]])</f>
        <v/>
      </c>
      <c r="AC654" s="37" t="str">
        <f>IF(NOTA[[#This Row],[JUMLAH]]="","",NOTA[[#This Row],[JUMLAH]]-NOTA[[#This Row],[DISC]])</f>
        <v/>
      </c>
      <c r="AD654" s="37"/>
      <c r="AE6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4" s="37" t="str">
        <f>IF(OR(NOTA[[#This Row],[QTY]]="",NOTA[[#This Row],[HARGA SATUAN]]="",),"",NOTA[[#This Row],[QTY]]*NOTA[[#This Row],[HARGA SATUAN]])</f>
        <v/>
      </c>
      <c r="AI654" s="26" t="str">
        <f ca="1">IF(NOTA[[#This Row],[ID_H]]="","",INDEX(NOTA[TANGGAL],MATCH(,INDIRECT(ADDRESS(ROW(NOTA[TANGGAL]),COLUMN(NOTA[TANGGAL]))&amp;":"&amp;ADDRESS(ROW(),COLUMN(NOTA[TANGGAL]))),-1)))</f>
        <v/>
      </c>
      <c r="AJ654" s="26" t="str">
        <f ca="1">IF(NOTA[[#This Row],[ID_H]]="","",INDEX(NOTA[TGL.NOTA],MATCH(,INDIRECT(ADDRESS(ROW(NOTA[TGL.NOTA]),COLUMN(NOTA[TGL.NOTA]))&amp;":"&amp;ADDRESS(ROW(),COLUMN(NOTA[TGL.NOTA]))),-1)))</f>
        <v/>
      </c>
      <c r="AK654" s="26" t="str">
        <f ca="1">IF(NOTA[[#This Row],[ID_H]]="","",INDEX(NOTA[NO.NOTA],MATCH(NOTA[[#This Row],[ID_H]],NOTA[ID_H],0)))</f>
        <v/>
      </c>
      <c r="AL654" s="28" t="str">
        <f ca="1">IF(NOTA[[#This Row],[NAMA BARANG]]="","",INDEX(NOTA[SUPPLIER],MATCH(,INDIRECT(ADDRESS(ROW(NOTA[ID]),COLUMN(NOTA[ID]))&amp;":"&amp;ADDRESS(ROW(),COLUMN(NOTA[ID]))),-1)))</f>
        <v/>
      </c>
      <c r="AM654" s="28" t="str">
        <f ca="1">IF(NOTA[[#This Row],[ID_H]]="","",IF(NOTA[[#This Row],[FAKTUR]]="",INDIRECT(ADDRESS(ROW()-1,COLUMN())),NOTA[[#This Row],[FAKTUR]]))</f>
        <v/>
      </c>
      <c r="AN654" s="25" t="str">
        <f ca="1">IF(NOTA[[#This Row],[ID]]="","",COUNTIF(NOTA[ID_H],NOTA[[#This Row],[ID_H]]))</f>
        <v/>
      </c>
      <c r="AO654" s="25" t="str">
        <f ca="1">IF(NOTA[[#This Row],[TGL.NOTA]]="",IF(NOTA[[#This Row],[SUPPLIER_H]]="","",AO653),MONTH(NOTA[[#This Row],[TGL.NOTA]]))</f>
        <v/>
      </c>
      <c r="AP6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4" s="25"/>
      <c r="AU654" s="25" t="str">
        <f>IF(NOTA[[#This Row],[CONCAT1]]="","",MATCH(NOTA[[#This Row],[CONCAT1]],[3]!db[NB NOTA_C],0))</f>
        <v/>
      </c>
      <c r="AV654" s="25" t="str">
        <f>IF(NOTA[[#This Row],[QTY/ CTN]]="","",TRUE)</f>
        <v/>
      </c>
      <c r="AW654" s="25" t="str">
        <f ca="1">IF(NOTA[[#This Row],[ID_H]]="","",IF(NOTA[[#This Row],[Column3]]=TRUE,NOTA[[#This Row],[QTY/ CTN]],INDEX([3]!db[QTY/ CTN],NOTA[[#This Row],[//DB]])))</f>
        <v/>
      </c>
      <c r="AX6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4" s="25" t="str">
        <f ca="1">IF(NOTA[[#This Row],[ID_H]]="","",MATCH(NOTA[[#This Row],[NB NOTA_C_QTY]],[3]!db[NB NOTA_C_QTY+F],0))</f>
        <v/>
      </c>
      <c r="AZ654" s="38" t="str">
        <f ca="1">IF(NOTA[[#This Row],[NB NOTA_C_QTY]]="","",ROW()-2)</f>
        <v/>
      </c>
    </row>
    <row r="655" spans="1:52" ht="20.100000000000001" customHeight="1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5" s="25" t="str">
        <f ca="1">IF(NOTA[[#This Row],[NAMA BARANG]]="","",INDEX(NOTA[ID],MATCH(,INDIRECT(ADDRESS(ROW(NOTA[ID]),COLUMN(NOTA[ID]))&amp;":"&amp;ADDRESS(ROW(),COLUMN(NOTA[ID]))),-1)))</f>
        <v/>
      </c>
      <c r="E655" s="33"/>
      <c r="H655" s="34"/>
      <c r="Q655" s="29"/>
      <c r="R655" s="35"/>
      <c r="S655" s="36"/>
      <c r="V655" s="37"/>
      <c r="W655" s="32"/>
      <c r="X655" s="37" t="str">
        <f>IF(NOTA[[#This Row],[HARGA/ CTN]]="",NOTA[[#This Row],[JUMLAH_H]],NOTA[[#This Row],[HARGA/ CTN]]*IF(NOTA[[#This Row],[C]]="",0,NOTA[[#This Row],[C]]))</f>
        <v/>
      </c>
      <c r="Y655" s="37" t="str">
        <f>IF(NOTA[[#This Row],[JUMLAH]]="","",NOTA[[#This Row],[JUMLAH]]*NOTA[[#This Row],[DISC 1]])</f>
        <v/>
      </c>
      <c r="Z655" s="37" t="str">
        <f>IF(NOTA[[#This Row],[JUMLAH]]="","",(NOTA[[#This Row],[JUMLAH]]-NOTA[[#This Row],[DISC 1-]])*NOTA[[#This Row],[DISC 2]])</f>
        <v/>
      </c>
      <c r="AA655" s="37" t="str">
        <f>IF(NOTA[[#This Row],[JUMLAH]]="","",(NOTA[[#This Row],[JUMLAH]]-NOTA[[#This Row],[DISC 1-]]-NOTA[[#This Row],[DISC 2-]])*NOTA[[#This Row],[DISC 3]])</f>
        <v/>
      </c>
      <c r="AB655" s="37" t="str">
        <f>IF(NOTA[[#This Row],[JUMLAH]]="","",NOTA[[#This Row],[DISC 1-]]+NOTA[[#This Row],[DISC 2-]]+NOTA[[#This Row],[DISC 3-]])</f>
        <v/>
      </c>
      <c r="AC655" s="37" t="str">
        <f>IF(NOTA[[#This Row],[JUMLAH]]="","",NOTA[[#This Row],[JUMLAH]]-NOTA[[#This Row],[DISC]])</f>
        <v/>
      </c>
      <c r="AD655" s="37"/>
      <c r="AE6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5" s="37" t="str">
        <f>IF(OR(NOTA[[#This Row],[QTY]]="",NOTA[[#This Row],[HARGA SATUAN]]="",),"",NOTA[[#This Row],[QTY]]*NOTA[[#This Row],[HARGA SATUAN]])</f>
        <v/>
      </c>
      <c r="AI655" s="26" t="str">
        <f ca="1">IF(NOTA[[#This Row],[ID_H]]="","",INDEX(NOTA[TANGGAL],MATCH(,INDIRECT(ADDRESS(ROW(NOTA[TANGGAL]),COLUMN(NOTA[TANGGAL]))&amp;":"&amp;ADDRESS(ROW(),COLUMN(NOTA[TANGGAL]))),-1)))</f>
        <v/>
      </c>
      <c r="AJ655" s="26" t="str">
        <f ca="1">IF(NOTA[[#This Row],[ID_H]]="","",INDEX(NOTA[TGL.NOTA],MATCH(,INDIRECT(ADDRESS(ROW(NOTA[TGL.NOTA]),COLUMN(NOTA[TGL.NOTA]))&amp;":"&amp;ADDRESS(ROW(),COLUMN(NOTA[TGL.NOTA]))),-1)))</f>
        <v/>
      </c>
      <c r="AK655" s="26" t="str">
        <f ca="1">IF(NOTA[[#This Row],[ID_H]]="","",INDEX(NOTA[NO.NOTA],MATCH(NOTA[[#This Row],[ID_H]],NOTA[ID_H],0)))</f>
        <v/>
      </c>
      <c r="AL655" s="28" t="str">
        <f ca="1">IF(NOTA[[#This Row],[NAMA BARANG]]="","",INDEX(NOTA[SUPPLIER],MATCH(,INDIRECT(ADDRESS(ROW(NOTA[ID]),COLUMN(NOTA[ID]))&amp;":"&amp;ADDRESS(ROW(),COLUMN(NOTA[ID]))),-1)))</f>
        <v/>
      </c>
      <c r="AM655" s="28" t="str">
        <f ca="1">IF(NOTA[[#This Row],[ID_H]]="","",IF(NOTA[[#This Row],[FAKTUR]]="",INDIRECT(ADDRESS(ROW()-1,COLUMN())),NOTA[[#This Row],[FAKTUR]]))</f>
        <v/>
      </c>
      <c r="AN655" s="25" t="str">
        <f ca="1">IF(NOTA[[#This Row],[ID]]="","",COUNTIF(NOTA[ID_H],NOTA[[#This Row],[ID_H]]))</f>
        <v/>
      </c>
      <c r="AO655" s="25" t="str">
        <f ca="1">IF(NOTA[[#This Row],[TGL.NOTA]]="",IF(NOTA[[#This Row],[SUPPLIER_H]]="","",AO654),MONTH(NOTA[[#This Row],[TGL.NOTA]]))</f>
        <v/>
      </c>
      <c r="AP6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5" s="25"/>
      <c r="AU655" s="25" t="str">
        <f>IF(NOTA[[#This Row],[CONCAT1]]="","",MATCH(NOTA[[#This Row],[CONCAT1]],[3]!db[NB NOTA_C],0))</f>
        <v/>
      </c>
      <c r="AV655" s="25" t="str">
        <f>IF(NOTA[[#This Row],[QTY/ CTN]]="","",TRUE)</f>
        <v/>
      </c>
      <c r="AW655" s="25" t="str">
        <f ca="1">IF(NOTA[[#This Row],[ID_H]]="","",IF(NOTA[[#This Row],[Column3]]=TRUE,NOTA[[#This Row],[QTY/ CTN]],INDEX([3]!db[QTY/ CTN],NOTA[[#This Row],[//DB]])))</f>
        <v/>
      </c>
      <c r="AX6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5" s="25" t="str">
        <f ca="1">IF(NOTA[[#This Row],[ID_H]]="","",MATCH(NOTA[[#This Row],[NB NOTA_C_QTY]],[3]!db[NB NOTA_C_QTY+F],0))</f>
        <v/>
      </c>
      <c r="AZ655" s="38" t="str">
        <f ca="1">IF(NOTA[[#This Row],[NB NOTA_C_QTY]]="","",ROW()-2)</f>
        <v/>
      </c>
    </row>
    <row r="656" spans="1:52" ht="20.100000000000001" customHeight="1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6" s="25" t="str">
        <f ca="1">IF(NOTA[[#This Row],[NAMA BARANG]]="","",INDEX(NOTA[ID],MATCH(,INDIRECT(ADDRESS(ROW(NOTA[ID]),COLUMN(NOTA[ID]))&amp;":"&amp;ADDRESS(ROW(),COLUMN(NOTA[ID]))),-1)))</f>
        <v/>
      </c>
      <c r="E656" s="33"/>
      <c r="H656" s="34"/>
      <c r="Q656" s="29"/>
      <c r="R656" s="35"/>
      <c r="S656" s="36"/>
      <c r="V656" s="37"/>
      <c r="W656" s="32"/>
      <c r="X656" s="37" t="str">
        <f>IF(NOTA[[#This Row],[HARGA/ CTN]]="",NOTA[[#This Row],[JUMLAH_H]],NOTA[[#This Row],[HARGA/ CTN]]*IF(NOTA[[#This Row],[C]]="",0,NOTA[[#This Row],[C]]))</f>
        <v/>
      </c>
      <c r="Y656" s="37" t="str">
        <f>IF(NOTA[[#This Row],[JUMLAH]]="","",NOTA[[#This Row],[JUMLAH]]*NOTA[[#This Row],[DISC 1]])</f>
        <v/>
      </c>
      <c r="Z656" s="37" t="str">
        <f>IF(NOTA[[#This Row],[JUMLAH]]="","",(NOTA[[#This Row],[JUMLAH]]-NOTA[[#This Row],[DISC 1-]])*NOTA[[#This Row],[DISC 2]])</f>
        <v/>
      </c>
      <c r="AA656" s="37" t="str">
        <f>IF(NOTA[[#This Row],[JUMLAH]]="","",(NOTA[[#This Row],[JUMLAH]]-NOTA[[#This Row],[DISC 1-]]-NOTA[[#This Row],[DISC 2-]])*NOTA[[#This Row],[DISC 3]])</f>
        <v/>
      </c>
      <c r="AB656" s="37" t="str">
        <f>IF(NOTA[[#This Row],[JUMLAH]]="","",NOTA[[#This Row],[DISC 1-]]+NOTA[[#This Row],[DISC 2-]]+NOTA[[#This Row],[DISC 3-]])</f>
        <v/>
      </c>
      <c r="AC656" s="37" t="str">
        <f>IF(NOTA[[#This Row],[JUMLAH]]="","",NOTA[[#This Row],[JUMLAH]]-NOTA[[#This Row],[DISC]])</f>
        <v/>
      </c>
      <c r="AD656" s="37"/>
      <c r="AE6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6" s="37" t="str">
        <f>IF(OR(NOTA[[#This Row],[QTY]]="",NOTA[[#This Row],[HARGA SATUAN]]="",),"",NOTA[[#This Row],[QTY]]*NOTA[[#This Row],[HARGA SATUAN]])</f>
        <v/>
      </c>
      <c r="AI656" s="26" t="str">
        <f ca="1">IF(NOTA[[#This Row],[ID_H]]="","",INDEX(NOTA[TANGGAL],MATCH(,INDIRECT(ADDRESS(ROW(NOTA[TANGGAL]),COLUMN(NOTA[TANGGAL]))&amp;":"&amp;ADDRESS(ROW(),COLUMN(NOTA[TANGGAL]))),-1)))</f>
        <v/>
      </c>
      <c r="AJ656" s="26" t="str">
        <f ca="1">IF(NOTA[[#This Row],[ID_H]]="","",INDEX(NOTA[TGL.NOTA],MATCH(,INDIRECT(ADDRESS(ROW(NOTA[TGL.NOTA]),COLUMN(NOTA[TGL.NOTA]))&amp;":"&amp;ADDRESS(ROW(),COLUMN(NOTA[TGL.NOTA]))),-1)))</f>
        <v/>
      </c>
      <c r="AK656" s="26" t="str">
        <f ca="1">IF(NOTA[[#This Row],[ID_H]]="","",INDEX(NOTA[NO.NOTA],MATCH(NOTA[[#This Row],[ID_H]],NOTA[ID_H],0)))</f>
        <v/>
      </c>
      <c r="AL656" s="28" t="str">
        <f ca="1">IF(NOTA[[#This Row],[NAMA BARANG]]="","",INDEX(NOTA[SUPPLIER],MATCH(,INDIRECT(ADDRESS(ROW(NOTA[ID]),COLUMN(NOTA[ID]))&amp;":"&amp;ADDRESS(ROW(),COLUMN(NOTA[ID]))),-1)))</f>
        <v/>
      </c>
      <c r="AM656" s="28" t="str">
        <f ca="1">IF(NOTA[[#This Row],[ID_H]]="","",IF(NOTA[[#This Row],[FAKTUR]]="",INDIRECT(ADDRESS(ROW()-1,COLUMN())),NOTA[[#This Row],[FAKTUR]]))</f>
        <v/>
      </c>
      <c r="AN656" s="25" t="str">
        <f ca="1">IF(NOTA[[#This Row],[ID]]="","",COUNTIF(NOTA[ID_H],NOTA[[#This Row],[ID_H]]))</f>
        <v/>
      </c>
      <c r="AO656" s="25" t="str">
        <f ca="1">IF(NOTA[[#This Row],[TGL.NOTA]]="",IF(NOTA[[#This Row],[SUPPLIER_H]]="","",AO655),MONTH(NOTA[[#This Row],[TGL.NOTA]]))</f>
        <v/>
      </c>
      <c r="AP6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6" s="25"/>
      <c r="AU656" s="25" t="str">
        <f>IF(NOTA[[#This Row],[CONCAT1]]="","",MATCH(NOTA[[#This Row],[CONCAT1]],[3]!db[NB NOTA_C],0))</f>
        <v/>
      </c>
      <c r="AV656" s="25" t="str">
        <f>IF(NOTA[[#This Row],[QTY/ CTN]]="","",TRUE)</f>
        <v/>
      </c>
      <c r="AW656" s="25" t="str">
        <f ca="1">IF(NOTA[[#This Row],[ID_H]]="","",IF(NOTA[[#This Row],[Column3]]=TRUE,NOTA[[#This Row],[QTY/ CTN]],INDEX([3]!db[QTY/ CTN],NOTA[[#This Row],[//DB]])))</f>
        <v/>
      </c>
      <c r="AX6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6" s="25" t="str">
        <f ca="1">IF(NOTA[[#This Row],[ID_H]]="","",MATCH(NOTA[[#This Row],[NB NOTA_C_QTY]],[3]!db[NB NOTA_C_QTY+F],0))</f>
        <v/>
      </c>
      <c r="AZ656" s="38" t="str">
        <f ca="1">IF(NOTA[[#This Row],[NB NOTA_C_QTY]]="","",ROW()-2)</f>
        <v/>
      </c>
    </row>
    <row r="657" spans="1:52" ht="20.100000000000001" customHeight="1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7" s="25" t="str">
        <f ca="1">IF(NOTA[[#This Row],[NAMA BARANG]]="","",INDEX(NOTA[ID],MATCH(,INDIRECT(ADDRESS(ROW(NOTA[ID]),COLUMN(NOTA[ID]))&amp;":"&amp;ADDRESS(ROW(),COLUMN(NOTA[ID]))),-1)))</f>
        <v/>
      </c>
      <c r="E657" s="33"/>
      <c r="H657" s="34"/>
      <c r="Q657" s="29"/>
      <c r="R657" s="35"/>
      <c r="S657" s="36"/>
      <c r="V657" s="37"/>
      <c r="W657" s="32"/>
      <c r="X657" s="37" t="str">
        <f>IF(NOTA[[#This Row],[HARGA/ CTN]]="",NOTA[[#This Row],[JUMLAH_H]],NOTA[[#This Row],[HARGA/ CTN]]*IF(NOTA[[#This Row],[C]]="",0,NOTA[[#This Row],[C]]))</f>
        <v/>
      </c>
      <c r="Y657" s="37" t="str">
        <f>IF(NOTA[[#This Row],[JUMLAH]]="","",NOTA[[#This Row],[JUMLAH]]*NOTA[[#This Row],[DISC 1]])</f>
        <v/>
      </c>
      <c r="Z657" s="37" t="str">
        <f>IF(NOTA[[#This Row],[JUMLAH]]="","",(NOTA[[#This Row],[JUMLAH]]-NOTA[[#This Row],[DISC 1-]])*NOTA[[#This Row],[DISC 2]])</f>
        <v/>
      </c>
      <c r="AA657" s="37" t="str">
        <f>IF(NOTA[[#This Row],[JUMLAH]]="","",(NOTA[[#This Row],[JUMLAH]]-NOTA[[#This Row],[DISC 1-]]-NOTA[[#This Row],[DISC 2-]])*NOTA[[#This Row],[DISC 3]])</f>
        <v/>
      </c>
      <c r="AB657" s="37" t="str">
        <f>IF(NOTA[[#This Row],[JUMLAH]]="","",NOTA[[#This Row],[DISC 1-]]+NOTA[[#This Row],[DISC 2-]]+NOTA[[#This Row],[DISC 3-]])</f>
        <v/>
      </c>
      <c r="AC657" s="37" t="str">
        <f>IF(NOTA[[#This Row],[JUMLAH]]="","",NOTA[[#This Row],[JUMLAH]]-NOTA[[#This Row],[DISC]])</f>
        <v/>
      </c>
      <c r="AD657" s="37"/>
      <c r="AE6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7" s="37" t="str">
        <f>IF(OR(NOTA[[#This Row],[QTY]]="",NOTA[[#This Row],[HARGA SATUAN]]="",),"",NOTA[[#This Row],[QTY]]*NOTA[[#This Row],[HARGA SATUAN]])</f>
        <v/>
      </c>
      <c r="AI657" s="26" t="str">
        <f ca="1">IF(NOTA[[#This Row],[ID_H]]="","",INDEX(NOTA[TANGGAL],MATCH(,INDIRECT(ADDRESS(ROW(NOTA[TANGGAL]),COLUMN(NOTA[TANGGAL]))&amp;":"&amp;ADDRESS(ROW(),COLUMN(NOTA[TANGGAL]))),-1)))</f>
        <v/>
      </c>
      <c r="AJ657" s="26" t="str">
        <f ca="1">IF(NOTA[[#This Row],[ID_H]]="","",INDEX(NOTA[TGL.NOTA],MATCH(,INDIRECT(ADDRESS(ROW(NOTA[TGL.NOTA]),COLUMN(NOTA[TGL.NOTA]))&amp;":"&amp;ADDRESS(ROW(),COLUMN(NOTA[TGL.NOTA]))),-1)))</f>
        <v/>
      </c>
      <c r="AK657" s="26" t="str">
        <f ca="1">IF(NOTA[[#This Row],[ID_H]]="","",INDEX(NOTA[NO.NOTA],MATCH(NOTA[[#This Row],[ID_H]],NOTA[ID_H],0)))</f>
        <v/>
      </c>
      <c r="AL657" s="28" t="str">
        <f ca="1">IF(NOTA[[#This Row],[NAMA BARANG]]="","",INDEX(NOTA[SUPPLIER],MATCH(,INDIRECT(ADDRESS(ROW(NOTA[ID]),COLUMN(NOTA[ID]))&amp;":"&amp;ADDRESS(ROW(),COLUMN(NOTA[ID]))),-1)))</f>
        <v/>
      </c>
      <c r="AM657" s="28" t="str">
        <f ca="1">IF(NOTA[[#This Row],[ID_H]]="","",IF(NOTA[[#This Row],[FAKTUR]]="",INDIRECT(ADDRESS(ROW()-1,COLUMN())),NOTA[[#This Row],[FAKTUR]]))</f>
        <v/>
      </c>
      <c r="AN657" s="25" t="str">
        <f ca="1">IF(NOTA[[#This Row],[ID]]="","",COUNTIF(NOTA[ID_H],NOTA[[#This Row],[ID_H]]))</f>
        <v/>
      </c>
      <c r="AO657" s="25" t="str">
        <f ca="1">IF(NOTA[[#This Row],[TGL.NOTA]]="",IF(NOTA[[#This Row],[SUPPLIER_H]]="","",AO656),MONTH(NOTA[[#This Row],[TGL.NOTA]]))</f>
        <v/>
      </c>
      <c r="AP6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7" s="25"/>
      <c r="AU657" s="25" t="str">
        <f>IF(NOTA[[#This Row],[CONCAT1]]="","",MATCH(NOTA[[#This Row],[CONCAT1]],[3]!db[NB NOTA_C],0))</f>
        <v/>
      </c>
      <c r="AV657" s="25" t="str">
        <f>IF(NOTA[[#This Row],[QTY/ CTN]]="","",TRUE)</f>
        <v/>
      </c>
      <c r="AW657" s="25" t="str">
        <f ca="1">IF(NOTA[[#This Row],[ID_H]]="","",IF(NOTA[[#This Row],[Column3]]=TRUE,NOTA[[#This Row],[QTY/ CTN]],INDEX([3]!db[QTY/ CTN],NOTA[[#This Row],[//DB]])))</f>
        <v/>
      </c>
      <c r="AX6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7" s="25" t="str">
        <f ca="1">IF(NOTA[[#This Row],[ID_H]]="","",MATCH(NOTA[[#This Row],[NB NOTA_C_QTY]],[3]!db[NB NOTA_C_QTY+F],0))</f>
        <v/>
      </c>
      <c r="AZ657" s="38" t="str">
        <f ca="1">IF(NOTA[[#This Row],[NB NOTA_C_QTY]]="","",ROW()-2)</f>
        <v/>
      </c>
    </row>
    <row r="658" spans="1:52" ht="20.100000000000001" customHeight="1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8" s="25" t="str">
        <f ca="1">IF(NOTA[[#This Row],[NAMA BARANG]]="","",INDEX(NOTA[ID],MATCH(,INDIRECT(ADDRESS(ROW(NOTA[ID]),COLUMN(NOTA[ID]))&amp;":"&amp;ADDRESS(ROW(),COLUMN(NOTA[ID]))),-1)))</f>
        <v/>
      </c>
      <c r="E658" s="33"/>
      <c r="H658" s="34"/>
      <c r="Q658" s="29"/>
      <c r="R658" s="35"/>
      <c r="S658" s="36"/>
      <c r="V658" s="37"/>
      <c r="W658" s="32"/>
      <c r="X658" s="37" t="str">
        <f>IF(NOTA[[#This Row],[HARGA/ CTN]]="",NOTA[[#This Row],[JUMLAH_H]],NOTA[[#This Row],[HARGA/ CTN]]*IF(NOTA[[#This Row],[C]]="",0,NOTA[[#This Row],[C]]))</f>
        <v/>
      </c>
      <c r="Y658" s="37" t="str">
        <f>IF(NOTA[[#This Row],[JUMLAH]]="","",NOTA[[#This Row],[JUMLAH]]*NOTA[[#This Row],[DISC 1]])</f>
        <v/>
      </c>
      <c r="Z658" s="37" t="str">
        <f>IF(NOTA[[#This Row],[JUMLAH]]="","",(NOTA[[#This Row],[JUMLAH]]-NOTA[[#This Row],[DISC 1-]])*NOTA[[#This Row],[DISC 2]])</f>
        <v/>
      </c>
      <c r="AA658" s="37" t="str">
        <f>IF(NOTA[[#This Row],[JUMLAH]]="","",(NOTA[[#This Row],[JUMLAH]]-NOTA[[#This Row],[DISC 1-]]-NOTA[[#This Row],[DISC 2-]])*NOTA[[#This Row],[DISC 3]])</f>
        <v/>
      </c>
      <c r="AB658" s="37" t="str">
        <f>IF(NOTA[[#This Row],[JUMLAH]]="","",NOTA[[#This Row],[DISC 1-]]+NOTA[[#This Row],[DISC 2-]]+NOTA[[#This Row],[DISC 3-]])</f>
        <v/>
      </c>
      <c r="AC658" s="37" t="str">
        <f>IF(NOTA[[#This Row],[JUMLAH]]="","",NOTA[[#This Row],[JUMLAH]]-NOTA[[#This Row],[DISC]])</f>
        <v/>
      </c>
      <c r="AD658" s="37"/>
      <c r="AE6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8" s="37" t="str">
        <f>IF(OR(NOTA[[#This Row],[QTY]]="",NOTA[[#This Row],[HARGA SATUAN]]="",),"",NOTA[[#This Row],[QTY]]*NOTA[[#This Row],[HARGA SATUAN]])</f>
        <v/>
      </c>
      <c r="AI658" s="26" t="str">
        <f ca="1">IF(NOTA[[#This Row],[ID_H]]="","",INDEX(NOTA[TANGGAL],MATCH(,INDIRECT(ADDRESS(ROW(NOTA[TANGGAL]),COLUMN(NOTA[TANGGAL]))&amp;":"&amp;ADDRESS(ROW(),COLUMN(NOTA[TANGGAL]))),-1)))</f>
        <v/>
      </c>
      <c r="AJ658" s="26" t="str">
        <f ca="1">IF(NOTA[[#This Row],[ID_H]]="","",INDEX(NOTA[TGL.NOTA],MATCH(,INDIRECT(ADDRESS(ROW(NOTA[TGL.NOTA]),COLUMN(NOTA[TGL.NOTA]))&amp;":"&amp;ADDRESS(ROW(),COLUMN(NOTA[TGL.NOTA]))),-1)))</f>
        <v/>
      </c>
      <c r="AK658" s="26" t="str">
        <f ca="1">IF(NOTA[[#This Row],[ID_H]]="","",INDEX(NOTA[NO.NOTA],MATCH(NOTA[[#This Row],[ID_H]],NOTA[ID_H],0)))</f>
        <v/>
      </c>
      <c r="AL658" s="28" t="str">
        <f ca="1">IF(NOTA[[#This Row],[NAMA BARANG]]="","",INDEX(NOTA[SUPPLIER],MATCH(,INDIRECT(ADDRESS(ROW(NOTA[ID]),COLUMN(NOTA[ID]))&amp;":"&amp;ADDRESS(ROW(),COLUMN(NOTA[ID]))),-1)))</f>
        <v/>
      </c>
      <c r="AM658" s="28" t="str">
        <f ca="1">IF(NOTA[[#This Row],[ID_H]]="","",IF(NOTA[[#This Row],[FAKTUR]]="",INDIRECT(ADDRESS(ROW()-1,COLUMN())),NOTA[[#This Row],[FAKTUR]]))</f>
        <v/>
      </c>
      <c r="AN658" s="25" t="str">
        <f ca="1">IF(NOTA[[#This Row],[ID]]="","",COUNTIF(NOTA[ID_H],NOTA[[#This Row],[ID_H]]))</f>
        <v/>
      </c>
      <c r="AO658" s="25" t="str">
        <f ca="1">IF(NOTA[[#This Row],[TGL.NOTA]]="",IF(NOTA[[#This Row],[SUPPLIER_H]]="","",AO657),MONTH(NOTA[[#This Row],[TGL.NOTA]]))</f>
        <v/>
      </c>
      <c r="AP6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8" s="25"/>
      <c r="AU658" s="25" t="str">
        <f>IF(NOTA[[#This Row],[CONCAT1]]="","",MATCH(NOTA[[#This Row],[CONCAT1]],[3]!db[NB NOTA_C],0))</f>
        <v/>
      </c>
      <c r="AV658" s="25" t="str">
        <f>IF(NOTA[[#This Row],[QTY/ CTN]]="","",TRUE)</f>
        <v/>
      </c>
      <c r="AW658" s="25" t="str">
        <f ca="1">IF(NOTA[[#This Row],[ID_H]]="","",IF(NOTA[[#This Row],[Column3]]=TRUE,NOTA[[#This Row],[QTY/ CTN]],INDEX([3]!db[QTY/ CTN],NOTA[[#This Row],[//DB]])))</f>
        <v/>
      </c>
      <c r="AX6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8" s="25" t="str">
        <f ca="1">IF(NOTA[[#This Row],[ID_H]]="","",MATCH(NOTA[[#This Row],[NB NOTA_C_QTY]],[3]!db[NB NOTA_C_QTY+F],0))</f>
        <v/>
      </c>
      <c r="AZ658" s="38" t="str">
        <f ca="1">IF(NOTA[[#This Row],[NB NOTA_C_QTY]]="","",ROW()-2)</f>
        <v/>
      </c>
    </row>
    <row r="659" spans="1:52" ht="20.100000000000001" customHeight="1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9" s="25" t="str">
        <f ca="1">IF(NOTA[[#This Row],[NAMA BARANG]]="","",INDEX(NOTA[ID],MATCH(,INDIRECT(ADDRESS(ROW(NOTA[ID]),COLUMN(NOTA[ID]))&amp;":"&amp;ADDRESS(ROW(),COLUMN(NOTA[ID]))),-1)))</f>
        <v/>
      </c>
      <c r="E659" s="33"/>
      <c r="H659" s="34"/>
      <c r="Q659" s="29"/>
      <c r="R659" s="35"/>
      <c r="S659" s="36"/>
      <c r="V659" s="37"/>
      <c r="W659" s="32"/>
      <c r="X659" s="37" t="str">
        <f>IF(NOTA[[#This Row],[HARGA/ CTN]]="",NOTA[[#This Row],[JUMLAH_H]],NOTA[[#This Row],[HARGA/ CTN]]*IF(NOTA[[#This Row],[C]]="",0,NOTA[[#This Row],[C]]))</f>
        <v/>
      </c>
      <c r="Y659" s="37" t="str">
        <f>IF(NOTA[[#This Row],[JUMLAH]]="","",NOTA[[#This Row],[JUMLAH]]*NOTA[[#This Row],[DISC 1]])</f>
        <v/>
      </c>
      <c r="Z659" s="37" t="str">
        <f>IF(NOTA[[#This Row],[JUMLAH]]="","",(NOTA[[#This Row],[JUMLAH]]-NOTA[[#This Row],[DISC 1-]])*NOTA[[#This Row],[DISC 2]])</f>
        <v/>
      </c>
      <c r="AA659" s="37" t="str">
        <f>IF(NOTA[[#This Row],[JUMLAH]]="","",(NOTA[[#This Row],[JUMLAH]]-NOTA[[#This Row],[DISC 1-]]-NOTA[[#This Row],[DISC 2-]])*NOTA[[#This Row],[DISC 3]])</f>
        <v/>
      </c>
      <c r="AB659" s="37" t="str">
        <f>IF(NOTA[[#This Row],[JUMLAH]]="","",NOTA[[#This Row],[DISC 1-]]+NOTA[[#This Row],[DISC 2-]]+NOTA[[#This Row],[DISC 3-]])</f>
        <v/>
      </c>
      <c r="AC659" s="37" t="str">
        <f>IF(NOTA[[#This Row],[JUMLAH]]="","",NOTA[[#This Row],[JUMLAH]]-NOTA[[#This Row],[DISC]])</f>
        <v/>
      </c>
      <c r="AD659" s="37"/>
      <c r="AE6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9" s="37" t="str">
        <f>IF(OR(NOTA[[#This Row],[QTY]]="",NOTA[[#This Row],[HARGA SATUAN]]="",),"",NOTA[[#This Row],[QTY]]*NOTA[[#This Row],[HARGA SATUAN]])</f>
        <v/>
      </c>
      <c r="AI659" s="26" t="str">
        <f ca="1">IF(NOTA[[#This Row],[ID_H]]="","",INDEX(NOTA[TANGGAL],MATCH(,INDIRECT(ADDRESS(ROW(NOTA[TANGGAL]),COLUMN(NOTA[TANGGAL]))&amp;":"&amp;ADDRESS(ROW(),COLUMN(NOTA[TANGGAL]))),-1)))</f>
        <v/>
      </c>
      <c r="AJ659" s="26" t="str">
        <f ca="1">IF(NOTA[[#This Row],[ID_H]]="","",INDEX(NOTA[TGL.NOTA],MATCH(,INDIRECT(ADDRESS(ROW(NOTA[TGL.NOTA]),COLUMN(NOTA[TGL.NOTA]))&amp;":"&amp;ADDRESS(ROW(),COLUMN(NOTA[TGL.NOTA]))),-1)))</f>
        <v/>
      </c>
      <c r="AK659" s="26" t="str">
        <f ca="1">IF(NOTA[[#This Row],[ID_H]]="","",INDEX(NOTA[NO.NOTA],MATCH(NOTA[[#This Row],[ID_H]],NOTA[ID_H],0)))</f>
        <v/>
      </c>
      <c r="AL659" s="28" t="str">
        <f ca="1">IF(NOTA[[#This Row],[NAMA BARANG]]="","",INDEX(NOTA[SUPPLIER],MATCH(,INDIRECT(ADDRESS(ROW(NOTA[ID]),COLUMN(NOTA[ID]))&amp;":"&amp;ADDRESS(ROW(),COLUMN(NOTA[ID]))),-1)))</f>
        <v/>
      </c>
      <c r="AM659" s="28" t="str">
        <f ca="1">IF(NOTA[[#This Row],[ID_H]]="","",IF(NOTA[[#This Row],[FAKTUR]]="",INDIRECT(ADDRESS(ROW()-1,COLUMN())),NOTA[[#This Row],[FAKTUR]]))</f>
        <v/>
      </c>
      <c r="AN659" s="25" t="str">
        <f ca="1">IF(NOTA[[#This Row],[ID]]="","",COUNTIF(NOTA[ID_H],NOTA[[#This Row],[ID_H]]))</f>
        <v/>
      </c>
      <c r="AO659" s="25" t="str">
        <f ca="1">IF(NOTA[[#This Row],[TGL.NOTA]]="",IF(NOTA[[#This Row],[SUPPLIER_H]]="","",AO658),MONTH(NOTA[[#This Row],[TGL.NOTA]]))</f>
        <v/>
      </c>
      <c r="AP6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9" s="25"/>
      <c r="AU659" s="25" t="str">
        <f>IF(NOTA[[#This Row],[CONCAT1]]="","",MATCH(NOTA[[#This Row],[CONCAT1]],[3]!db[NB NOTA_C],0))</f>
        <v/>
      </c>
      <c r="AV659" s="25" t="str">
        <f>IF(NOTA[[#This Row],[QTY/ CTN]]="","",TRUE)</f>
        <v/>
      </c>
      <c r="AW659" s="25" t="str">
        <f ca="1">IF(NOTA[[#This Row],[ID_H]]="","",IF(NOTA[[#This Row],[Column3]]=TRUE,NOTA[[#This Row],[QTY/ CTN]],INDEX([3]!db[QTY/ CTN],NOTA[[#This Row],[//DB]])))</f>
        <v/>
      </c>
      <c r="AX6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9" s="25" t="str">
        <f ca="1">IF(NOTA[[#This Row],[ID_H]]="","",MATCH(NOTA[[#This Row],[NB NOTA_C_QTY]],[3]!db[NB NOTA_C_QTY+F],0))</f>
        <v/>
      </c>
      <c r="AZ659" s="38" t="str">
        <f ca="1">IF(NOTA[[#This Row],[NB NOTA_C_QTY]]="","",ROW()-2)</f>
        <v/>
      </c>
    </row>
    <row r="660" spans="1:52" ht="20.100000000000001" customHeight="1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0" s="25" t="str">
        <f ca="1">IF(NOTA[[#This Row],[NAMA BARANG]]="","",INDEX(NOTA[ID],MATCH(,INDIRECT(ADDRESS(ROW(NOTA[ID]),COLUMN(NOTA[ID]))&amp;":"&amp;ADDRESS(ROW(),COLUMN(NOTA[ID]))),-1)))</f>
        <v/>
      </c>
      <c r="E660" s="33"/>
      <c r="H660" s="34"/>
      <c r="Q660" s="29"/>
      <c r="R660" s="35"/>
      <c r="S660" s="36"/>
      <c r="V660" s="37"/>
      <c r="W660" s="32"/>
      <c r="X660" s="37" t="str">
        <f>IF(NOTA[[#This Row],[HARGA/ CTN]]="",NOTA[[#This Row],[JUMLAH_H]],NOTA[[#This Row],[HARGA/ CTN]]*IF(NOTA[[#This Row],[C]]="",0,NOTA[[#This Row],[C]]))</f>
        <v/>
      </c>
      <c r="Y660" s="37" t="str">
        <f>IF(NOTA[[#This Row],[JUMLAH]]="","",NOTA[[#This Row],[JUMLAH]]*NOTA[[#This Row],[DISC 1]])</f>
        <v/>
      </c>
      <c r="Z660" s="37" t="str">
        <f>IF(NOTA[[#This Row],[JUMLAH]]="","",(NOTA[[#This Row],[JUMLAH]]-NOTA[[#This Row],[DISC 1-]])*NOTA[[#This Row],[DISC 2]])</f>
        <v/>
      </c>
      <c r="AA660" s="37" t="str">
        <f>IF(NOTA[[#This Row],[JUMLAH]]="","",(NOTA[[#This Row],[JUMLAH]]-NOTA[[#This Row],[DISC 1-]]-NOTA[[#This Row],[DISC 2-]])*NOTA[[#This Row],[DISC 3]])</f>
        <v/>
      </c>
      <c r="AB660" s="37" t="str">
        <f>IF(NOTA[[#This Row],[JUMLAH]]="","",NOTA[[#This Row],[DISC 1-]]+NOTA[[#This Row],[DISC 2-]]+NOTA[[#This Row],[DISC 3-]])</f>
        <v/>
      </c>
      <c r="AC660" s="37" t="str">
        <f>IF(NOTA[[#This Row],[JUMLAH]]="","",NOTA[[#This Row],[JUMLAH]]-NOTA[[#This Row],[DISC]])</f>
        <v/>
      </c>
      <c r="AD660" s="37"/>
      <c r="AE6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0" s="37" t="str">
        <f>IF(OR(NOTA[[#This Row],[QTY]]="",NOTA[[#This Row],[HARGA SATUAN]]="",),"",NOTA[[#This Row],[QTY]]*NOTA[[#This Row],[HARGA SATUAN]])</f>
        <v/>
      </c>
      <c r="AI660" s="26" t="str">
        <f ca="1">IF(NOTA[[#This Row],[ID_H]]="","",INDEX(NOTA[TANGGAL],MATCH(,INDIRECT(ADDRESS(ROW(NOTA[TANGGAL]),COLUMN(NOTA[TANGGAL]))&amp;":"&amp;ADDRESS(ROW(),COLUMN(NOTA[TANGGAL]))),-1)))</f>
        <v/>
      </c>
      <c r="AJ660" s="26" t="str">
        <f ca="1">IF(NOTA[[#This Row],[ID_H]]="","",INDEX(NOTA[TGL.NOTA],MATCH(,INDIRECT(ADDRESS(ROW(NOTA[TGL.NOTA]),COLUMN(NOTA[TGL.NOTA]))&amp;":"&amp;ADDRESS(ROW(),COLUMN(NOTA[TGL.NOTA]))),-1)))</f>
        <v/>
      </c>
      <c r="AK660" s="26" t="str">
        <f ca="1">IF(NOTA[[#This Row],[ID_H]]="","",INDEX(NOTA[NO.NOTA],MATCH(NOTA[[#This Row],[ID_H]],NOTA[ID_H],0)))</f>
        <v/>
      </c>
      <c r="AL660" s="28" t="str">
        <f ca="1">IF(NOTA[[#This Row],[NAMA BARANG]]="","",INDEX(NOTA[SUPPLIER],MATCH(,INDIRECT(ADDRESS(ROW(NOTA[ID]),COLUMN(NOTA[ID]))&amp;":"&amp;ADDRESS(ROW(),COLUMN(NOTA[ID]))),-1)))</f>
        <v/>
      </c>
      <c r="AM660" s="28" t="str">
        <f ca="1">IF(NOTA[[#This Row],[ID_H]]="","",IF(NOTA[[#This Row],[FAKTUR]]="",INDIRECT(ADDRESS(ROW()-1,COLUMN())),NOTA[[#This Row],[FAKTUR]]))</f>
        <v/>
      </c>
      <c r="AN660" s="25" t="str">
        <f ca="1">IF(NOTA[[#This Row],[ID]]="","",COUNTIF(NOTA[ID_H],NOTA[[#This Row],[ID_H]]))</f>
        <v/>
      </c>
      <c r="AO660" s="25" t="str">
        <f ca="1">IF(NOTA[[#This Row],[TGL.NOTA]]="",IF(NOTA[[#This Row],[SUPPLIER_H]]="","",AO659),MONTH(NOTA[[#This Row],[TGL.NOTA]]))</f>
        <v/>
      </c>
      <c r="AP6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0" s="25"/>
      <c r="AU660" s="25" t="str">
        <f>IF(NOTA[[#This Row],[CONCAT1]]="","",MATCH(NOTA[[#This Row],[CONCAT1]],[3]!db[NB NOTA_C],0))</f>
        <v/>
      </c>
      <c r="AV660" s="25" t="str">
        <f>IF(NOTA[[#This Row],[QTY/ CTN]]="","",TRUE)</f>
        <v/>
      </c>
      <c r="AW660" s="25" t="str">
        <f ca="1">IF(NOTA[[#This Row],[ID_H]]="","",IF(NOTA[[#This Row],[Column3]]=TRUE,NOTA[[#This Row],[QTY/ CTN]],INDEX([3]!db[QTY/ CTN],NOTA[[#This Row],[//DB]])))</f>
        <v/>
      </c>
      <c r="AX6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0" s="25" t="str">
        <f ca="1">IF(NOTA[[#This Row],[ID_H]]="","",MATCH(NOTA[[#This Row],[NB NOTA_C_QTY]],[3]!db[NB NOTA_C_QTY+F],0))</f>
        <v/>
      </c>
      <c r="AZ660" s="38" t="str">
        <f ca="1">IF(NOTA[[#This Row],[NB NOTA_C_QTY]]="","",ROW()-2)</f>
        <v/>
      </c>
    </row>
    <row r="661" spans="1:52" ht="20.100000000000001" customHeight="1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1" s="25" t="str">
        <f ca="1">IF(NOTA[[#This Row],[NAMA BARANG]]="","",INDEX(NOTA[ID],MATCH(,INDIRECT(ADDRESS(ROW(NOTA[ID]),COLUMN(NOTA[ID]))&amp;":"&amp;ADDRESS(ROW(),COLUMN(NOTA[ID]))),-1)))</f>
        <v/>
      </c>
      <c r="E661" s="33"/>
      <c r="H661" s="34"/>
      <c r="Q661" s="29"/>
      <c r="R661" s="35"/>
      <c r="S661" s="36"/>
      <c r="V661" s="37"/>
      <c r="W661" s="32"/>
      <c r="X661" s="37" t="str">
        <f>IF(NOTA[[#This Row],[HARGA/ CTN]]="",NOTA[[#This Row],[JUMLAH_H]],NOTA[[#This Row],[HARGA/ CTN]]*IF(NOTA[[#This Row],[C]]="",0,NOTA[[#This Row],[C]]))</f>
        <v/>
      </c>
      <c r="Y661" s="37" t="str">
        <f>IF(NOTA[[#This Row],[JUMLAH]]="","",NOTA[[#This Row],[JUMLAH]]*NOTA[[#This Row],[DISC 1]])</f>
        <v/>
      </c>
      <c r="Z661" s="37" t="str">
        <f>IF(NOTA[[#This Row],[JUMLAH]]="","",(NOTA[[#This Row],[JUMLAH]]-NOTA[[#This Row],[DISC 1-]])*NOTA[[#This Row],[DISC 2]])</f>
        <v/>
      </c>
      <c r="AA661" s="37" t="str">
        <f>IF(NOTA[[#This Row],[JUMLAH]]="","",(NOTA[[#This Row],[JUMLAH]]-NOTA[[#This Row],[DISC 1-]]-NOTA[[#This Row],[DISC 2-]])*NOTA[[#This Row],[DISC 3]])</f>
        <v/>
      </c>
      <c r="AB661" s="37" t="str">
        <f>IF(NOTA[[#This Row],[JUMLAH]]="","",NOTA[[#This Row],[DISC 1-]]+NOTA[[#This Row],[DISC 2-]]+NOTA[[#This Row],[DISC 3-]])</f>
        <v/>
      </c>
      <c r="AC661" s="37" t="str">
        <f>IF(NOTA[[#This Row],[JUMLAH]]="","",NOTA[[#This Row],[JUMLAH]]-NOTA[[#This Row],[DISC]])</f>
        <v/>
      </c>
      <c r="AD661" s="37"/>
      <c r="AE6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1" s="37" t="str">
        <f>IF(OR(NOTA[[#This Row],[QTY]]="",NOTA[[#This Row],[HARGA SATUAN]]="",),"",NOTA[[#This Row],[QTY]]*NOTA[[#This Row],[HARGA SATUAN]])</f>
        <v/>
      </c>
      <c r="AI661" s="26" t="str">
        <f ca="1">IF(NOTA[[#This Row],[ID_H]]="","",INDEX(NOTA[TANGGAL],MATCH(,INDIRECT(ADDRESS(ROW(NOTA[TANGGAL]),COLUMN(NOTA[TANGGAL]))&amp;":"&amp;ADDRESS(ROW(),COLUMN(NOTA[TANGGAL]))),-1)))</f>
        <v/>
      </c>
      <c r="AJ661" s="26" t="str">
        <f ca="1">IF(NOTA[[#This Row],[ID_H]]="","",INDEX(NOTA[TGL.NOTA],MATCH(,INDIRECT(ADDRESS(ROW(NOTA[TGL.NOTA]),COLUMN(NOTA[TGL.NOTA]))&amp;":"&amp;ADDRESS(ROW(),COLUMN(NOTA[TGL.NOTA]))),-1)))</f>
        <v/>
      </c>
      <c r="AK661" s="26" t="str">
        <f ca="1">IF(NOTA[[#This Row],[ID_H]]="","",INDEX(NOTA[NO.NOTA],MATCH(NOTA[[#This Row],[ID_H]],NOTA[ID_H],0)))</f>
        <v/>
      </c>
      <c r="AL661" s="28" t="str">
        <f ca="1">IF(NOTA[[#This Row],[NAMA BARANG]]="","",INDEX(NOTA[SUPPLIER],MATCH(,INDIRECT(ADDRESS(ROW(NOTA[ID]),COLUMN(NOTA[ID]))&amp;":"&amp;ADDRESS(ROW(),COLUMN(NOTA[ID]))),-1)))</f>
        <v/>
      </c>
      <c r="AM661" s="28" t="str">
        <f ca="1">IF(NOTA[[#This Row],[ID_H]]="","",IF(NOTA[[#This Row],[FAKTUR]]="",INDIRECT(ADDRESS(ROW()-1,COLUMN())),NOTA[[#This Row],[FAKTUR]]))</f>
        <v/>
      </c>
      <c r="AN661" s="25" t="str">
        <f ca="1">IF(NOTA[[#This Row],[ID]]="","",COUNTIF(NOTA[ID_H],NOTA[[#This Row],[ID_H]]))</f>
        <v/>
      </c>
      <c r="AO661" s="25" t="str">
        <f ca="1">IF(NOTA[[#This Row],[TGL.NOTA]]="",IF(NOTA[[#This Row],[SUPPLIER_H]]="","",AO660),MONTH(NOTA[[#This Row],[TGL.NOTA]]))</f>
        <v/>
      </c>
      <c r="AP6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1" s="25"/>
      <c r="AU661" s="25" t="str">
        <f>IF(NOTA[[#This Row],[CONCAT1]]="","",MATCH(NOTA[[#This Row],[CONCAT1]],[3]!db[NB NOTA_C],0))</f>
        <v/>
      </c>
      <c r="AV661" s="25" t="str">
        <f>IF(NOTA[[#This Row],[QTY/ CTN]]="","",TRUE)</f>
        <v/>
      </c>
      <c r="AW661" s="25" t="str">
        <f ca="1">IF(NOTA[[#This Row],[ID_H]]="","",IF(NOTA[[#This Row],[Column3]]=TRUE,NOTA[[#This Row],[QTY/ CTN]],INDEX([3]!db[QTY/ CTN],NOTA[[#This Row],[//DB]])))</f>
        <v/>
      </c>
      <c r="AX6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1" s="25" t="str">
        <f ca="1">IF(NOTA[[#This Row],[ID_H]]="","",MATCH(NOTA[[#This Row],[NB NOTA_C_QTY]],[3]!db[NB NOTA_C_QTY+F],0))</f>
        <v/>
      </c>
      <c r="AZ661" s="38" t="str">
        <f ca="1">IF(NOTA[[#This Row],[NB NOTA_C_QTY]]="","",ROW()-2)</f>
        <v/>
      </c>
    </row>
    <row r="662" spans="1:52" ht="20.100000000000001" customHeight="1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2" s="25" t="str">
        <f ca="1">IF(NOTA[[#This Row],[NAMA BARANG]]="","",INDEX(NOTA[ID],MATCH(,INDIRECT(ADDRESS(ROW(NOTA[ID]),COLUMN(NOTA[ID]))&amp;":"&amp;ADDRESS(ROW(),COLUMN(NOTA[ID]))),-1)))</f>
        <v/>
      </c>
      <c r="E662" s="33"/>
      <c r="H662" s="34"/>
      <c r="Q662" s="29"/>
      <c r="R662" s="35"/>
      <c r="S662" s="36"/>
      <c r="V662" s="37"/>
      <c r="W662" s="32"/>
      <c r="X662" s="37" t="str">
        <f>IF(NOTA[[#This Row],[HARGA/ CTN]]="",NOTA[[#This Row],[JUMLAH_H]],NOTA[[#This Row],[HARGA/ CTN]]*IF(NOTA[[#This Row],[C]]="",0,NOTA[[#This Row],[C]]))</f>
        <v/>
      </c>
      <c r="Y662" s="37" t="str">
        <f>IF(NOTA[[#This Row],[JUMLAH]]="","",NOTA[[#This Row],[JUMLAH]]*NOTA[[#This Row],[DISC 1]])</f>
        <v/>
      </c>
      <c r="Z662" s="37" t="str">
        <f>IF(NOTA[[#This Row],[JUMLAH]]="","",(NOTA[[#This Row],[JUMLAH]]-NOTA[[#This Row],[DISC 1-]])*NOTA[[#This Row],[DISC 2]])</f>
        <v/>
      </c>
      <c r="AA662" s="37" t="str">
        <f>IF(NOTA[[#This Row],[JUMLAH]]="","",(NOTA[[#This Row],[JUMLAH]]-NOTA[[#This Row],[DISC 1-]]-NOTA[[#This Row],[DISC 2-]])*NOTA[[#This Row],[DISC 3]])</f>
        <v/>
      </c>
      <c r="AB662" s="37" t="str">
        <f>IF(NOTA[[#This Row],[JUMLAH]]="","",NOTA[[#This Row],[DISC 1-]]+NOTA[[#This Row],[DISC 2-]]+NOTA[[#This Row],[DISC 3-]])</f>
        <v/>
      </c>
      <c r="AC662" s="37" t="str">
        <f>IF(NOTA[[#This Row],[JUMLAH]]="","",NOTA[[#This Row],[JUMLAH]]-NOTA[[#This Row],[DISC]])</f>
        <v/>
      </c>
      <c r="AD662" s="37"/>
      <c r="AE6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2" s="37" t="str">
        <f>IF(OR(NOTA[[#This Row],[QTY]]="",NOTA[[#This Row],[HARGA SATUAN]]="",),"",NOTA[[#This Row],[QTY]]*NOTA[[#This Row],[HARGA SATUAN]])</f>
        <v/>
      </c>
      <c r="AI662" s="26" t="str">
        <f ca="1">IF(NOTA[[#This Row],[ID_H]]="","",INDEX(NOTA[TANGGAL],MATCH(,INDIRECT(ADDRESS(ROW(NOTA[TANGGAL]),COLUMN(NOTA[TANGGAL]))&amp;":"&amp;ADDRESS(ROW(),COLUMN(NOTA[TANGGAL]))),-1)))</f>
        <v/>
      </c>
      <c r="AJ662" s="26" t="str">
        <f ca="1">IF(NOTA[[#This Row],[ID_H]]="","",INDEX(NOTA[TGL.NOTA],MATCH(,INDIRECT(ADDRESS(ROW(NOTA[TGL.NOTA]),COLUMN(NOTA[TGL.NOTA]))&amp;":"&amp;ADDRESS(ROW(),COLUMN(NOTA[TGL.NOTA]))),-1)))</f>
        <v/>
      </c>
      <c r="AK662" s="26" t="str">
        <f ca="1">IF(NOTA[[#This Row],[ID_H]]="","",INDEX(NOTA[NO.NOTA],MATCH(NOTA[[#This Row],[ID_H]],NOTA[ID_H],0)))</f>
        <v/>
      </c>
      <c r="AL662" s="28" t="str">
        <f ca="1">IF(NOTA[[#This Row],[NAMA BARANG]]="","",INDEX(NOTA[SUPPLIER],MATCH(,INDIRECT(ADDRESS(ROW(NOTA[ID]),COLUMN(NOTA[ID]))&amp;":"&amp;ADDRESS(ROW(),COLUMN(NOTA[ID]))),-1)))</f>
        <v/>
      </c>
      <c r="AM662" s="28" t="str">
        <f ca="1">IF(NOTA[[#This Row],[ID_H]]="","",IF(NOTA[[#This Row],[FAKTUR]]="",INDIRECT(ADDRESS(ROW()-1,COLUMN())),NOTA[[#This Row],[FAKTUR]]))</f>
        <v/>
      </c>
      <c r="AN662" s="25" t="str">
        <f ca="1">IF(NOTA[[#This Row],[ID]]="","",COUNTIF(NOTA[ID_H],NOTA[[#This Row],[ID_H]]))</f>
        <v/>
      </c>
      <c r="AO662" s="25" t="str">
        <f ca="1">IF(NOTA[[#This Row],[TGL.NOTA]]="",IF(NOTA[[#This Row],[SUPPLIER_H]]="","",AO661),MONTH(NOTA[[#This Row],[TGL.NOTA]]))</f>
        <v/>
      </c>
      <c r="AP6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2" s="25"/>
      <c r="AU662" s="25" t="str">
        <f>IF(NOTA[[#This Row],[CONCAT1]]="","",MATCH(NOTA[[#This Row],[CONCAT1]],[3]!db[NB NOTA_C],0))</f>
        <v/>
      </c>
      <c r="AV662" s="25" t="str">
        <f>IF(NOTA[[#This Row],[QTY/ CTN]]="","",TRUE)</f>
        <v/>
      </c>
      <c r="AW662" s="25" t="str">
        <f ca="1">IF(NOTA[[#This Row],[ID_H]]="","",IF(NOTA[[#This Row],[Column3]]=TRUE,NOTA[[#This Row],[QTY/ CTN]],INDEX([3]!db[QTY/ CTN],NOTA[[#This Row],[//DB]])))</f>
        <v/>
      </c>
      <c r="AX6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2" s="25" t="str">
        <f ca="1">IF(NOTA[[#This Row],[ID_H]]="","",MATCH(NOTA[[#This Row],[NB NOTA_C_QTY]],[3]!db[NB NOTA_C_QTY+F],0))</f>
        <v/>
      </c>
      <c r="AZ662" s="38" t="str">
        <f ca="1">IF(NOTA[[#This Row],[NB NOTA_C_QTY]]="","",ROW()-2)</f>
        <v/>
      </c>
    </row>
    <row r="663" spans="1:52" ht="20.100000000000001" customHeight="1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3" s="25" t="str">
        <f ca="1">IF(NOTA[[#This Row],[NAMA BARANG]]="","",INDEX(NOTA[ID],MATCH(,INDIRECT(ADDRESS(ROW(NOTA[ID]),COLUMN(NOTA[ID]))&amp;":"&amp;ADDRESS(ROW(),COLUMN(NOTA[ID]))),-1)))</f>
        <v/>
      </c>
      <c r="E663" s="33"/>
      <c r="H663" s="34"/>
      <c r="Q663" s="29"/>
      <c r="R663" s="35"/>
      <c r="S663" s="36"/>
      <c r="V663" s="37"/>
      <c r="W663" s="32"/>
      <c r="X663" s="37" t="str">
        <f>IF(NOTA[[#This Row],[HARGA/ CTN]]="",NOTA[[#This Row],[JUMLAH_H]],NOTA[[#This Row],[HARGA/ CTN]]*IF(NOTA[[#This Row],[C]]="",0,NOTA[[#This Row],[C]]))</f>
        <v/>
      </c>
      <c r="Y663" s="37" t="str">
        <f>IF(NOTA[[#This Row],[JUMLAH]]="","",NOTA[[#This Row],[JUMLAH]]*NOTA[[#This Row],[DISC 1]])</f>
        <v/>
      </c>
      <c r="Z663" s="37" t="str">
        <f>IF(NOTA[[#This Row],[JUMLAH]]="","",(NOTA[[#This Row],[JUMLAH]]-NOTA[[#This Row],[DISC 1-]])*NOTA[[#This Row],[DISC 2]])</f>
        <v/>
      </c>
      <c r="AA663" s="37" t="str">
        <f>IF(NOTA[[#This Row],[JUMLAH]]="","",(NOTA[[#This Row],[JUMLAH]]-NOTA[[#This Row],[DISC 1-]]-NOTA[[#This Row],[DISC 2-]])*NOTA[[#This Row],[DISC 3]])</f>
        <v/>
      </c>
      <c r="AB663" s="37" t="str">
        <f>IF(NOTA[[#This Row],[JUMLAH]]="","",NOTA[[#This Row],[DISC 1-]]+NOTA[[#This Row],[DISC 2-]]+NOTA[[#This Row],[DISC 3-]])</f>
        <v/>
      </c>
      <c r="AC663" s="37" t="str">
        <f>IF(NOTA[[#This Row],[JUMLAH]]="","",NOTA[[#This Row],[JUMLAH]]-NOTA[[#This Row],[DISC]])</f>
        <v/>
      </c>
      <c r="AD663" s="37"/>
      <c r="AE6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3" s="37" t="str">
        <f>IF(OR(NOTA[[#This Row],[QTY]]="",NOTA[[#This Row],[HARGA SATUAN]]="",),"",NOTA[[#This Row],[QTY]]*NOTA[[#This Row],[HARGA SATUAN]])</f>
        <v/>
      </c>
      <c r="AI663" s="26" t="str">
        <f ca="1">IF(NOTA[[#This Row],[ID_H]]="","",INDEX(NOTA[TANGGAL],MATCH(,INDIRECT(ADDRESS(ROW(NOTA[TANGGAL]),COLUMN(NOTA[TANGGAL]))&amp;":"&amp;ADDRESS(ROW(),COLUMN(NOTA[TANGGAL]))),-1)))</f>
        <v/>
      </c>
      <c r="AJ663" s="26" t="str">
        <f ca="1">IF(NOTA[[#This Row],[ID_H]]="","",INDEX(NOTA[TGL.NOTA],MATCH(,INDIRECT(ADDRESS(ROW(NOTA[TGL.NOTA]),COLUMN(NOTA[TGL.NOTA]))&amp;":"&amp;ADDRESS(ROW(),COLUMN(NOTA[TGL.NOTA]))),-1)))</f>
        <v/>
      </c>
      <c r="AK663" s="26" t="str">
        <f ca="1">IF(NOTA[[#This Row],[ID_H]]="","",INDEX(NOTA[NO.NOTA],MATCH(NOTA[[#This Row],[ID_H]],NOTA[ID_H],0)))</f>
        <v/>
      </c>
      <c r="AL663" s="28" t="str">
        <f ca="1">IF(NOTA[[#This Row],[NAMA BARANG]]="","",INDEX(NOTA[SUPPLIER],MATCH(,INDIRECT(ADDRESS(ROW(NOTA[ID]),COLUMN(NOTA[ID]))&amp;":"&amp;ADDRESS(ROW(),COLUMN(NOTA[ID]))),-1)))</f>
        <v/>
      </c>
      <c r="AM663" s="28" t="str">
        <f ca="1">IF(NOTA[[#This Row],[ID_H]]="","",IF(NOTA[[#This Row],[FAKTUR]]="",INDIRECT(ADDRESS(ROW()-1,COLUMN())),NOTA[[#This Row],[FAKTUR]]))</f>
        <v/>
      </c>
      <c r="AN663" s="25" t="str">
        <f ca="1">IF(NOTA[[#This Row],[ID]]="","",COUNTIF(NOTA[ID_H],NOTA[[#This Row],[ID_H]]))</f>
        <v/>
      </c>
      <c r="AO663" s="25" t="str">
        <f ca="1">IF(NOTA[[#This Row],[TGL.NOTA]]="",IF(NOTA[[#This Row],[SUPPLIER_H]]="","",AO662),MONTH(NOTA[[#This Row],[TGL.NOTA]]))</f>
        <v/>
      </c>
      <c r="AP6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3" s="25"/>
      <c r="AU663" s="25" t="str">
        <f>IF(NOTA[[#This Row],[CONCAT1]]="","",MATCH(NOTA[[#This Row],[CONCAT1]],[3]!db[NB NOTA_C],0))</f>
        <v/>
      </c>
      <c r="AV663" s="25" t="str">
        <f>IF(NOTA[[#This Row],[QTY/ CTN]]="","",TRUE)</f>
        <v/>
      </c>
      <c r="AW663" s="25" t="str">
        <f ca="1">IF(NOTA[[#This Row],[ID_H]]="","",IF(NOTA[[#This Row],[Column3]]=TRUE,NOTA[[#This Row],[QTY/ CTN]],INDEX([3]!db[QTY/ CTN],NOTA[[#This Row],[//DB]])))</f>
        <v/>
      </c>
      <c r="AX6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3" s="25" t="str">
        <f ca="1">IF(NOTA[[#This Row],[ID_H]]="","",MATCH(NOTA[[#This Row],[NB NOTA_C_QTY]],[3]!db[NB NOTA_C_QTY+F],0))</f>
        <v/>
      </c>
      <c r="AZ663" s="38" t="str">
        <f ca="1">IF(NOTA[[#This Row],[NB NOTA_C_QTY]]="","",ROW()-2)</f>
        <v/>
      </c>
    </row>
    <row r="664" spans="1:52" ht="20.100000000000001" customHeight="1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4" s="25" t="str">
        <f ca="1">IF(NOTA[[#This Row],[NAMA BARANG]]="","",INDEX(NOTA[ID],MATCH(,INDIRECT(ADDRESS(ROW(NOTA[ID]),COLUMN(NOTA[ID]))&amp;":"&amp;ADDRESS(ROW(),COLUMN(NOTA[ID]))),-1)))</f>
        <v/>
      </c>
      <c r="E664" s="33"/>
      <c r="H664" s="34"/>
      <c r="Q664" s="29"/>
      <c r="R664" s="35"/>
      <c r="S664" s="36"/>
      <c r="V664" s="37"/>
      <c r="W664" s="32"/>
      <c r="X664" s="37" t="str">
        <f>IF(NOTA[[#This Row],[HARGA/ CTN]]="",NOTA[[#This Row],[JUMLAH_H]],NOTA[[#This Row],[HARGA/ CTN]]*IF(NOTA[[#This Row],[C]]="",0,NOTA[[#This Row],[C]]))</f>
        <v/>
      </c>
      <c r="Y664" s="37" t="str">
        <f>IF(NOTA[[#This Row],[JUMLAH]]="","",NOTA[[#This Row],[JUMLAH]]*NOTA[[#This Row],[DISC 1]])</f>
        <v/>
      </c>
      <c r="Z664" s="37" t="str">
        <f>IF(NOTA[[#This Row],[JUMLAH]]="","",(NOTA[[#This Row],[JUMLAH]]-NOTA[[#This Row],[DISC 1-]])*NOTA[[#This Row],[DISC 2]])</f>
        <v/>
      </c>
      <c r="AA664" s="37" t="str">
        <f>IF(NOTA[[#This Row],[JUMLAH]]="","",(NOTA[[#This Row],[JUMLAH]]-NOTA[[#This Row],[DISC 1-]]-NOTA[[#This Row],[DISC 2-]])*NOTA[[#This Row],[DISC 3]])</f>
        <v/>
      </c>
      <c r="AB664" s="37" t="str">
        <f>IF(NOTA[[#This Row],[JUMLAH]]="","",NOTA[[#This Row],[DISC 1-]]+NOTA[[#This Row],[DISC 2-]]+NOTA[[#This Row],[DISC 3-]])</f>
        <v/>
      </c>
      <c r="AC664" s="37" t="str">
        <f>IF(NOTA[[#This Row],[JUMLAH]]="","",NOTA[[#This Row],[JUMLAH]]-NOTA[[#This Row],[DISC]])</f>
        <v/>
      </c>
      <c r="AD664" s="37"/>
      <c r="AE6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4" s="37" t="str">
        <f>IF(OR(NOTA[[#This Row],[QTY]]="",NOTA[[#This Row],[HARGA SATUAN]]="",),"",NOTA[[#This Row],[QTY]]*NOTA[[#This Row],[HARGA SATUAN]])</f>
        <v/>
      </c>
      <c r="AI664" s="26" t="str">
        <f ca="1">IF(NOTA[[#This Row],[ID_H]]="","",INDEX(NOTA[TANGGAL],MATCH(,INDIRECT(ADDRESS(ROW(NOTA[TANGGAL]),COLUMN(NOTA[TANGGAL]))&amp;":"&amp;ADDRESS(ROW(),COLUMN(NOTA[TANGGAL]))),-1)))</f>
        <v/>
      </c>
      <c r="AJ664" s="26" t="str">
        <f ca="1">IF(NOTA[[#This Row],[ID_H]]="","",INDEX(NOTA[TGL.NOTA],MATCH(,INDIRECT(ADDRESS(ROW(NOTA[TGL.NOTA]),COLUMN(NOTA[TGL.NOTA]))&amp;":"&amp;ADDRESS(ROW(),COLUMN(NOTA[TGL.NOTA]))),-1)))</f>
        <v/>
      </c>
      <c r="AK664" s="26" t="str">
        <f ca="1">IF(NOTA[[#This Row],[ID_H]]="","",INDEX(NOTA[NO.NOTA],MATCH(NOTA[[#This Row],[ID_H]],NOTA[ID_H],0)))</f>
        <v/>
      </c>
      <c r="AL664" s="28" t="str">
        <f ca="1">IF(NOTA[[#This Row],[NAMA BARANG]]="","",INDEX(NOTA[SUPPLIER],MATCH(,INDIRECT(ADDRESS(ROW(NOTA[ID]),COLUMN(NOTA[ID]))&amp;":"&amp;ADDRESS(ROW(),COLUMN(NOTA[ID]))),-1)))</f>
        <v/>
      </c>
      <c r="AM664" s="28" t="str">
        <f ca="1">IF(NOTA[[#This Row],[ID_H]]="","",IF(NOTA[[#This Row],[FAKTUR]]="",INDIRECT(ADDRESS(ROW()-1,COLUMN())),NOTA[[#This Row],[FAKTUR]]))</f>
        <v/>
      </c>
      <c r="AN664" s="25" t="str">
        <f ca="1">IF(NOTA[[#This Row],[ID]]="","",COUNTIF(NOTA[ID_H],NOTA[[#This Row],[ID_H]]))</f>
        <v/>
      </c>
      <c r="AO664" s="25" t="str">
        <f ca="1">IF(NOTA[[#This Row],[TGL.NOTA]]="",IF(NOTA[[#This Row],[SUPPLIER_H]]="","",AO663),MONTH(NOTA[[#This Row],[TGL.NOTA]]))</f>
        <v/>
      </c>
      <c r="AP6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4" s="25"/>
      <c r="AU664" s="25" t="str">
        <f>IF(NOTA[[#This Row],[CONCAT1]]="","",MATCH(NOTA[[#This Row],[CONCAT1]],[3]!db[NB NOTA_C],0))</f>
        <v/>
      </c>
      <c r="AV664" s="25" t="str">
        <f>IF(NOTA[[#This Row],[QTY/ CTN]]="","",TRUE)</f>
        <v/>
      </c>
      <c r="AW664" s="25" t="str">
        <f ca="1">IF(NOTA[[#This Row],[ID_H]]="","",IF(NOTA[[#This Row],[Column3]]=TRUE,NOTA[[#This Row],[QTY/ CTN]],INDEX([3]!db[QTY/ CTN],NOTA[[#This Row],[//DB]])))</f>
        <v/>
      </c>
      <c r="AX6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4" s="25" t="str">
        <f ca="1">IF(NOTA[[#This Row],[ID_H]]="","",MATCH(NOTA[[#This Row],[NB NOTA_C_QTY]],[3]!db[NB NOTA_C_QTY+F],0))</f>
        <v/>
      </c>
      <c r="AZ664" s="38" t="str">
        <f ca="1">IF(NOTA[[#This Row],[NB NOTA_C_QTY]]="","",ROW()-2)</f>
        <v/>
      </c>
    </row>
    <row r="665" spans="1:52" ht="20.100000000000001" customHeight="1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5" s="25" t="str">
        <f ca="1">IF(NOTA[[#This Row],[NAMA BARANG]]="","",INDEX(NOTA[ID],MATCH(,INDIRECT(ADDRESS(ROW(NOTA[ID]),COLUMN(NOTA[ID]))&amp;":"&amp;ADDRESS(ROW(),COLUMN(NOTA[ID]))),-1)))</f>
        <v/>
      </c>
      <c r="E665" s="33"/>
      <c r="H665" s="34"/>
      <c r="Q665" s="29"/>
      <c r="R665" s="35"/>
      <c r="S665" s="36"/>
      <c r="V665" s="37"/>
      <c r="W665" s="32"/>
      <c r="X665" s="37" t="str">
        <f>IF(NOTA[[#This Row],[HARGA/ CTN]]="",NOTA[[#This Row],[JUMLAH_H]],NOTA[[#This Row],[HARGA/ CTN]]*IF(NOTA[[#This Row],[C]]="",0,NOTA[[#This Row],[C]]))</f>
        <v/>
      </c>
      <c r="Y665" s="37" t="str">
        <f>IF(NOTA[[#This Row],[JUMLAH]]="","",NOTA[[#This Row],[JUMLAH]]*NOTA[[#This Row],[DISC 1]])</f>
        <v/>
      </c>
      <c r="Z665" s="37" t="str">
        <f>IF(NOTA[[#This Row],[JUMLAH]]="","",(NOTA[[#This Row],[JUMLAH]]-NOTA[[#This Row],[DISC 1-]])*NOTA[[#This Row],[DISC 2]])</f>
        <v/>
      </c>
      <c r="AA665" s="37" t="str">
        <f>IF(NOTA[[#This Row],[JUMLAH]]="","",(NOTA[[#This Row],[JUMLAH]]-NOTA[[#This Row],[DISC 1-]]-NOTA[[#This Row],[DISC 2-]])*NOTA[[#This Row],[DISC 3]])</f>
        <v/>
      </c>
      <c r="AB665" s="37" t="str">
        <f>IF(NOTA[[#This Row],[JUMLAH]]="","",NOTA[[#This Row],[DISC 1-]]+NOTA[[#This Row],[DISC 2-]]+NOTA[[#This Row],[DISC 3-]])</f>
        <v/>
      </c>
      <c r="AC665" s="37" t="str">
        <f>IF(NOTA[[#This Row],[JUMLAH]]="","",NOTA[[#This Row],[JUMLAH]]-NOTA[[#This Row],[DISC]])</f>
        <v/>
      </c>
      <c r="AD665" s="37"/>
      <c r="AE6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5" s="37" t="str">
        <f>IF(OR(NOTA[[#This Row],[QTY]]="",NOTA[[#This Row],[HARGA SATUAN]]="",),"",NOTA[[#This Row],[QTY]]*NOTA[[#This Row],[HARGA SATUAN]])</f>
        <v/>
      </c>
      <c r="AI665" s="26" t="str">
        <f ca="1">IF(NOTA[[#This Row],[ID_H]]="","",INDEX(NOTA[TANGGAL],MATCH(,INDIRECT(ADDRESS(ROW(NOTA[TANGGAL]),COLUMN(NOTA[TANGGAL]))&amp;":"&amp;ADDRESS(ROW(),COLUMN(NOTA[TANGGAL]))),-1)))</f>
        <v/>
      </c>
      <c r="AJ665" s="26" t="str">
        <f ca="1">IF(NOTA[[#This Row],[ID_H]]="","",INDEX(NOTA[TGL.NOTA],MATCH(,INDIRECT(ADDRESS(ROW(NOTA[TGL.NOTA]),COLUMN(NOTA[TGL.NOTA]))&amp;":"&amp;ADDRESS(ROW(),COLUMN(NOTA[TGL.NOTA]))),-1)))</f>
        <v/>
      </c>
      <c r="AK665" s="26" t="str">
        <f ca="1">IF(NOTA[[#This Row],[ID_H]]="","",INDEX(NOTA[NO.NOTA],MATCH(NOTA[[#This Row],[ID_H]],NOTA[ID_H],0)))</f>
        <v/>
      </c>
      <c r="AL665" s="28" t="str">
        <f ca="1">IF(NOTA[[#This Row],[NAMA BARANG]]="","",INDEX(NOTA[SUPPLIER],MATCH(,INDIRECT(ADDRESS(ROW(NOTA[ID]),COLUMN(NOTA[ID]))&amp;":"&amp;ADDRESS(ROW(),COLUMN(NOTA[ID]))),-1)))</f>
        <v/>
      </c>
      <c r="AM665" s="28" t="str">
        <f ca="1">IF(NOTA[[#This Row],[ID_H]]="","",IF(NOTA[[#This Row],[FAKTUR]]="",INDIRECT(ADDRESS(ROW()-1,COLUMN())),NOTA[[#This Row],[FAKTUR]]))</f>
        <v/>
      </c>
      <c r="AN665" s="25" t="str">
        <f ca="1">IF(NOTA[[#This Row],[ID]]="","",COUNTIF(NOTA[ID_H],NOTA[[#This Row],[ID_H]]))</f>
        <v/>
      </c>
      <c r="AO665" s="25" t="str">
        <f ca="1">IF(NOTA[[#This Row],[TGL.NOTA]]="",IF(NOTA[[#This Row],[SUPPLIER_H]]="","",AO664),MONTH(NOTA[[#This Row],[TGL.NOTA]]))</f>
        <v/>
      </c>
      <c r="AP6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5" s="25"/>
      <c r="AU665" s="25" t="str">
        <f>IF(NOTA[[#This Row],[CONCAT1]]="","",MATCH(NOTA[[#This Row],[CONCAT1]],[3]!db[NB NOTA_C],0))</f>
        <v/>
      </c>
      <c r="AV665" s="25" t="str">
        <f>IF(NOTA[[#This Row],[QTY/ CTN]]="","",TRUE)</f>
        <v/>
      </c>
      <c r="AW665" s="25" t="str">
        <f ca="1">IF(NOTA[[#This Row],[ID_H]]="","",IF(NOTA[[#This Row],[Column3]]=TRUE,NOTA[[#This Row],[QTY/ CTN]],INDEX([3]!db[QTY/ CTN],NOTA[[#This Row],[//DB]])))</f>
        <v/>
      </c>
      <c r="AX6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5" s="25" t="str">
        <f ca="1">IF(NOTA[[#This Row],[ID_H]]="","",MATCH(NOTA[[#This Row],[NB NOTA_C_QTY]],[3]!db[NB NOTA_C_QTY+F],0))</f>
        <v/>
      </c>
      <c r="AZ665" s="38" t="str">
        <f ca="1">IF(NOTA[[#This Row],[NB NOTA_C_QTY]]="","",ROW()-2)</f>
        <v/>
      </c>
    </row>
    <row r="666" spans="1:52" ht="20.100000000000001" customHeight="1">
      <c r="A6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6" s="25" t="str">
        <f ca="1">IF(NOTA[[#This Row],[NAMA BARANG]]="","",INDEX(NOTA[ID],MATCH(,INDIRECT(ADDRESS(ROW(NOTA[ID]),COLUMN(NOTA[ID]))&amp;":"&amp;ADDRESS(ROW(),COLUMN(NOTA[ID]))),-1)))</f>
        <v/>
      </c>
      <c r="E666" s="33"/>
      <c r="H666" s="34"/>
      <c r="Q666" s="29"/>
      <c r="R666" s="35"/>
      <c r="S666" s="36"/>
      <c r="V666" s="37"/>
      <c r="W666" s="32"/>
      <c r="X666" s="37" t="str">
        <f>IF(NOTA[[#This Row],[HARGA/ CTN]]="",NOTA[[#This Row],[JUMLAH_H]],NOTA[[#This Row],[HARGA/ CTN]]*IF(NOTA[[#This Row],[C]]="",0,NOTA[[#This Row],[C]]))</f>
        <v/>
      </c>
      <c r="Y666" s="37" t="str">
        <f>IF(NOTA[[#This Row],[JUMLAH]]="","",NOTA[[#This Row],[JUMLAH]]*NOTA[[#This Row],[DISC 1]])</f>
        <v/>
      </c>
      <c r="Z666" s="37" t="str">
        <f>IF(NOTA[[#This Row],[JUMLAH]]="","",(NOTA[[#This Row],[JUMLAH]]-NOTA[[#This Row],[DISC 1-]])*NOTA[[#This Row],[DISC 2]])</f>
        <v/>
      </c>
      <c r="AA666" s="37" t="str">
        <f>IF(NOTA[[#This Row],[JUMLAH]]="","",(NOTA[[#This Row],[JUMLAH]]-NOTA[[#This Row],[DISC 1-]]-NOTA[[#This Row],[DISC 2-]])*NOTA[[#This Row],[DISC 3]])</f>
        <v/>
      </c>
      <c r="AB666" s="37" t="str">
        <f>IF(NOTA[[#This Row],[JUMLAH]]="","",NOTA[[#This Row],[DISC 1-]]+NOTA[[#This Row],[DISC 2-]]+NOTA[[#This Row],[DISC 3-]])</f>
        <v/>
      </c>
      <c r="AC666" s="37" t="str">
        <f>IF(NOTA[[#This Row],[JUMLAH]]="","",NOTA[[#This Row],[JUMLAH]]-NOTA[[#This Row],[DISC]])</f>
        <v/>
      </c>
      <c r="AD666" s="37"/>
      <c r="AE6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6" s="37" t="str">
        <f>IF(OR(NOTA[[#This Row],[QTY]]="",NOTA[[#This Row],[HARGA SATUAN]]="",),"",NOTA[[#This Row],[QTY]]*NOTA[[#This Row],[HARGA SATUAN]])</f>
        <v/>
      </c>
      <c r="AI666" s="26" t="str">
        <f ca="1">IF(NOTA[[#This Row],[ID_H]]="","",INDEX(NOTA[TANGGAL],MATCH(,INDIRECT(ADDRESS(ROW(NOTA[TANGGAL]),COLUMN(NOTA[TANGGAL]))&amp;":"&amp;ADDRESS(ROW(),COLUMN(NOTA[TANGGAL]))),-1)))</f>
        <v/>
      </c>
      <c r="AJ666" s="26" t="str">
        <f ca="1">IF(NOTA[[#This Row],[ID_H]]="","",INDEX(NOTA[TGL.NOTA],MATCH(,INDIRECT(ADDRESS(ROW(NOTA[TGL.NOTA]),COLUMN(NOTA[TGL.NOTA]))&amp;":"&amp;ADDRESS(ROW(),COLUMN(NOTA[TGL.NOTA]))),-1)))</f>
        <v/>
      </c>
      <c r="AK666" s="26" t="str">
        <f ca="1">IF(NOTA[[#This Row],[ID_H]]="","",INDEX(NOTA[NO.NOTA],MATCH(NOTA[[#This Row],[ID_H]],NOTA[ID_H],0)))</f>
        <v/>
      </c>
      <c r="AL666" s="28" t="str">
        <f ca="1">IF(NOTA[[#This Row],[NAMA BARANG]]="","",INDEX(NOTA[SUPPLIER],MATCH(,INDIRECT(ADDRESS(ROW(NOTA[ID]),COLUMN(NOTA[ID]))&amp;":"&amp;ADDRESS(ROW(),COLUMN(NOTA[ID]))),-1)))</f>
        <v/>
      </c>
      <c r="AM666" s="28" t="str">
        <f ca="1">IF(NOTA[[#This Row],[ID_H]]="","",IF(NOTA[[#This Row],[FAKTUR]]="",INDIRECT(ADDRESS(ROW()-1,COLUMN())),NOTA[[#This Row],[FAKTUR]]))</f>
        <v/>
      </c>
      <c r="AN666" s="25" t="str">
        <f ca="1">IF(NOTA[[#This Row],[ID]]="","",COUNTIF(NOTA[ID_H],NOTA[[#This Row],[ID_H]]))</f>
        <v/>
      </c>
      <c r="AO666" s="25" t="str">
        <f ca="1">IF(NOTA[[#This Row],[TGL.NOTA]]="",IF(NOTA[[#This Row],[SUPPLIER_H]]="","",AO665),MONTH(NOTA[[#This Row],[TGL.NOTA]]))</f>
        <v/>
      </c>
      <c r="AP6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6" s="25"/>
      <c r="AU666" s="25" t="str">
        <f>IF(NOTA[[#This Row],[CONCAT1]]="","",MATCH(NOTA[[#This Row],[CONCAT1]],[3]!db[NB NOTA_C],0))</f>
        <v/>
      </c>
      <c r="AV666" s="25" t="str">
        <f>IF(NOTA[[#This Row],[QTY/ CTN]]="","",TRUE)</f>
        <v/>
      </c>
      <c r="AW666" s="25" t="str">
        <f ca="1">IF(NOTA[[#This Row],[ID_H]]="","",IF(NOTA[[#This Row],[Column3]]=TRUE,NOTA[[#This Row],[QTY/ CTN]],INDEX([3]!db[QTY/ CTN],NOTA[[#This Row],[//DB]])))</f>
        <v/>
      </c>
      <c r="AX6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6" s="25" t="str">
        <f ca="1">IF(NOTA[[#This Row],[ID_H]]="","",MATCH(NOTA[[#This Row],[NB NOTA_C_QTY]],[3]!db[NB NOTA_C_QTY+F],0))</f>
        <v/>
      </c>
      <c r="AZ666" s="38" t="str">
        <f ca="1">IF(NOTA[[#This Row],[NB NOTA_C_QTY]]="","",ROW()-2)</f>
        <v/>
      </c>
    </row>
    <row r="667" spans="1:52" ht="20.100000000000001" customHeight="1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7" s="25" t="str">
        <f ca="1">IF(NOTA[[#This Row],[NAMA BARANG]]="","",INDEX(NOTA[ID],MATCH(,INDIRECT(ADDRESS(ROW(NOTA[ID]),COLUMN(NOTA[ID]))&amp;":"&amp;ADDRESS(ROW(),COLUMN(NOTA[ID]))),-1)))</f>
        <v/>
      </c>
      <c r="E667" s="33"/>
      <c r="H667" s="34"/>
      <c r="Q667" s="29"/>
      <c r="R667" s="35"/>
      <c r="S667" s="36"/>
      <c r="V667" s="37"/>
      <c r="W667" s="32"/>
      <c r="X667" s="37" t="str">
        <f>IF(NOTA[[#This Row],[HARGA/ CTN]]="",NOTA[[#This Row],[JUMLAH_H]],NOTA[[#This Row],[HARGA/ CTN]]*IF(NOTA[[#This Row],[C]]="",0,NOTA[[#This Row],[C]]))</f>
        <v/>
      </c>
      <c r="Y667" s="37" t="str">
        <f>IF(NOTA[[#This Row],[JUMLAH]]="","",NOTA[[#This Row],[JUMLAH]]*NOTA[[#This Row],[DISC 1]])</f>
        <v/>
      </c>
      <c r="Z667" s="37" t="str">
        <f>IF(NOTA[[#This Row],[JUMLAH]]="","",(NOTA[[#This Row],[JUMLAH]]-NOTA[[#This Row],[DISC 1-]])*NOTA[[#This Row],[DISC 2]])</f>
        <v/>
      </c>
      <c r="AA667" s="37" t="str">
        <f>IF(NOTA[[#This Row],[JUMLAH]]="","",(NOTA[[#This Row],[JUMLAH]]-NOTA[[#This Row],[DISC 1-]]-NOTA[[#This Row],[DISC 2-]])*NOTA[[#This Row],[DISC 3]])</f>
        <v/>
      </c>
      <c r="AB667" s="37" t="str">
        <f>IF(NOTA[[#This Row],[JUMLAH]]="","",NOTA[[#This Row],[DISC 1-]]+NOTA[[#This Row],[DISC 2-]]+NOTA[[#This Row],[DISC 3-]])</f>
        <v/>
      </c>
      <c r="AC667" s="37" t="str">
        <f>IF(NOTA[[#This Row],[JUMLAH]]="","",NOTA[[#This Row],[JUMLAH]]-NOTA[[#This Row],[DISC]])</f>
        <v/>
      </c>
      <c r="AD667" s="37"/>
      <c r="AE6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7" s="37" t="str">
        <f>IF(OR(NOTA[[#This Row],[QTY]]="",NOTA[[#This Row],[HARGA SATUAN]]="",),"",NOTA[[#This Row],[QTY]]*NOTA[[#This Row],[HARGA SATUAN]])</f>
        <v/>
      </c>
      <c r="AI667" s="26" t="str">
        <f ca="1">IF(NOTA[[#This Row],[ID_H]]="","",INDEX(NOTA[TANGGAL],MATCH(,INDIRECT(ADDRESS(ROW(NOTA[TANGGAL]),COLUMN(NOTA[TANGGAL]))&amp;":"&amp;ADDRESS(ROW(),COLUMN(NOTA[TANGGAL]))),-1)))</f>
        <v/>
      </c>
      <c r="AJ667" s="26" t="str">
        <f ca="1">IF(NOTA[[#This Row],[ID_H]]="","",INDEX(NOTA[TGL.NOTA],MATCH(,INDIRECT(ADDRESS(ROW(NOTA[TGL.NOTA]),COLUMN(NOTA[TGL.NOTA]))&amp;":"&amp;ADDRESS(ROW(),COLUMN(NOTA[TGL.NOTA]))),-1)))</f>
        <v/>
      </c>
      <c r="AK667" s="26" t="str">
        <f ca="1">IF(NOTA[[#This Row],[ID_H]]="","",INDEX(NOTA[NO.NOTA],MATCH(NOTA[[#This Row],[ID_H]],NOTA[ID_H],0)))</f>
        <v/>
      </c>
      <c r="AL667" s="28" t="str">
        <f ca="1">IF(NOTA[[#This Row],[NAMA BARANG]]="","",INDEX(NOTA[SUPPLIER],MATCH(,INDIRECT(ADDRESS(ROW(NOTA[ID]),COLUMN(NOTA[ID]))&amp;":"&amp;ADDRESS(ROW(),COLUMN(NOTA[ID]))),-1)))</f>
        <v/>
      </c>
      <c r="AM667" s="28" t="str">
        <f ca="1">IF(NOTA[[#This Row],[ID_H]]="","",IF(NOTA[[#This Row],[FAKTUR]]="",INDIRECT(ADDRESS(ROW()-1,COLUMN())),NOTA[[#This Row],[FAKTUR]]))</f>
        <v/>
      </c>
      <c r="AN667" s="25" t="str">
        <f ca="1">IF(NOTA[[#This Row],[ID]]="","",COUNTIF(NOTA[ID_H],NOTA[[#This Row],[ID_H]]))</f>
        <v/>
      </c>
      <c r="AO667" s="25" t="str">
        <f ca="1">IF(NOTA[[#This Row],[TGL.NOTA]]="",IF(NOTA[[#This Row],[SUPPLIER_H]]="","",AO666),MONTH(NOTA[[#This Row],[TGL.NOTA]]))</f>
        <v/>
      </c>
      <c r="AP6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7" s="25"/>
      <c r="AU667" s="25" t="str">
        <f>IF(NOTA[[#This Row],[CONCAT1]]="","",MATCH(NOTA[[#This Row],[CONCAT1]],[3]!db[NB NOTA_C],0))</f>
        <v/>
      </c>
      <c r="AV667" s="25" t="str">
        <f>IF(NOTA[[#This Row],[QTY/ CTN]]="","",TRUE)</f>
        <v/>
      </c>
      <c r="AW667" s="25" t="str">
        <f ca="1">IF(NOTA[[#This Row],[ID_H]]="","",IF(NOTA[[#This Row],[Column3]]=TRUE,NOTA[[#This Row],[QTY/ CTN]],INDEX([3]!db[QTY/ CTN],NOTA[[#This Row],[//DB]])))</f>
        <v/>
      </c>
      <c r="AX6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7" s="25" t="str">
        <f ca="1">IF(NOTA[[#This Row],[ID_H]]="","",MATCH(NOTA[[#This Row],[NB NOTA_C_QTY]],[3]!db[NB NOTA_C_QTY+F],0))</f>
        <v/>
      </c>
      <c r="AZ667" s="38" t="str">
        <f ca="1">IF(NOTA[[#This Row],[NB NOTA_C_QTY]]="","",ROW()-2)</f>
        <v/>
      </c>
    </row>
    <row r="668" spans="1:52" ht="20.100000000000001" customHeight="1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8" s="25" t="str">
        <f ca="1">IF(NOTA[[#This Row],[NAMA BARANG]]="","",INDEX(NOTA[ID],MATCH(,INDIRECT(ADDRESS(ROW(NOTA[ID]),COLUMN(NOTA[ID]))&amp;":"&amp;ADDRESS(ROW(),COLUMN(NOTA[ID]))),-1)))</f>
        <v/>
      </c>
      <c r="E668" s="33"/>
      <c r="H668" s="34"/>
      <c r="Q668" s="29"/>
      <c r="R668" s="35"/>
      <c r="S668" s="36"/>
      <c r="V668" s="37"/>
      <c r="W668" s="32"/>
      <c r="X668" s="37" t="str">
        <f>IF(NOTA[[#This Row],[HARGA/ CTN]]="",NOTA[[#This Row],[JUMLAH_H]],NOTA[[#This Row],[HARGA/ CTN]]*IF(NOTA[[#This Row],[C]]="",0,NOTA[[#This Row],[C]]))</f>
        <v/>
      </c>
      <c r="Y668" s="37" t="str">
        <f>IF(NOTA[[#This Row],[JUMLAH]]="","",NOTA[[#This Row],[JUMLAH]]*NOTA[[#This Row],[DISC 1]])</f>
        <v/>
      </c>
      <c r="Z668" s="37" t="str">
        <f>IF(NOTA[[#This Row],[JUMLAH]]="","",(NOTA[[#This Row],[JUMLAH]]-NOTA[[#This Row],[DISC 1-]])*NOTA[[#This Row],[DISC 2]])</f>
        <v/>
      </c>
      <c r="AA668" s="37" t="str">
        <f>IF(NOTA[[#This Row],[JUMLAH]]="","",(NOTA[[#This Row],[JUMLAH]]-NOTA[[#This Row],[DISC 1-]]-NOTA[[#This Row],[DISC 2-]])*NOTA[[#This Row],[DISC 3]])</f>
        <v/>
      </c>
      <c r="AB668" s="37" t="str">
        <f>IF(NOTA[[#This Row],[JUMLAH]]="","",NOTA[[#This Row],[DISC 1-]]+NOTA[[#This Row],[DISC 2-]]+NOTA[[#This Row],[DISC 3-]])</f>
        <v/>
      </c>
      <c r="AC668" s="37" t="str">
        <f>IF(NOTA[[#This Row],[JUMLAH]]="","",NOTA[[#This Row],[JUMLAH]]-NOTA[[#This Row],[DISC]])</f>
        <v/>
      </c>
      <c r="AD668" s="37"/>
      <c r="AE6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8" s="37" t="str">
        <f>IF(OR(NOTA[[#This Row],[QTY]]="",NOTA[[#This Row],[HARGA SATUAN]]="",),"",NOTA[[#This Row],[QTY]]*NOTA[[#This Row],[HARGA SATUAN]])</f>
        <v/>
      </c>
      <c r="AI668" s="26" t="str">
        <f ca="1">IF(NOTA[[#This Row],[ID_H]]="","",INDEX(NOTA[TANGGAL],MATCH(,INDIRECT(ADDRESS(ROW(NOTA[TANGGAL]),COLUMN(NOTA[TANGGAL]))&amp;":"&amp;ADDRESS(ROW(),COLUMN(NOTA[TANGGAL]))),-1)))</f>
        <v/>
      </c>
      <c r="AJ668" s="26" t="str">
        <f ca="1">IF(NOTA[[#This Row],[ID_H]]="","",INDEX(NOTA[TGL.NOTA],MATCH(,INDIRECT(ADDRESS(ROW(NOTA[TGL.NOTA]),COLUMN(NOTA[TGL.NOTA]))&amp;":"&amp;ADDRESS(ROW(),COLUMN(NOTA[TGL.NOTA]))),-1)))</f>
        <v/>
      </c>
      <c r="AK668" s="26" t="str">
        <f ca="1">IF(NOTA[[#This Row],[ID_H]]="","",INDEX(NOTA[NO.NOTA],MATCH(NOTA[[#This Row],[ID_H]],NOTA[ID_H],0)))</f>
        <v/>
      </c>
      <c r="AL668" s="28" t="str">
        <f ca="1">IF(NOTA[[#This Row],[NAMA BARANG]]="","",INDEX(NOTA[SUPPLIER],MATCH(,INDIRECT(ADDRESS(ROW(NOTA[ID]),COLUMN(NOTA[ID]))&amp;":"&amp;ADDRESS(ROW(),COLUMN(NOTA[ID]))),-1)))</f>
        <v/>
      </c>
      <c r="AM668" s="28" t="str">
        <f ca="1">IF(NOTA[[#This Row],[ID_H]]="","",IF(NOTA[[#This Row],[FAKTUR]]="",INDIRECT(ADDRESS(ROW()-1,COLUMN())),NOTA[[#This Row],[FAKTUR]]))</f>
        <v/>
      </c>
      <c r="AN668" s="25" t="str">
        <f ca="1">IF(NOTA[[#This Row],[ID]]="","",COUNTIF(NOTA[ID_H],NOTA[[#This Row],[ID_H]]))</f>
        <v/>
      </c>
      <c r="AO668" s="25" t="str">
        <f ca="1">IF(NOTA[[#This Row],[TGL.NOTA]]="",IF(NOTA[[#This Row],[SUPPLIER_H]]="","",AO667),MONTH(NOTA[[#This Row],[TGL.NOTA]]))</f>
        <v/>
      </c>
      <c r="AP6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8" s="25"/>
      <c r="AU668" s="25" t="str">
        <f>IF(NOTA[[#This Row],[CONCAT1]]="","",MATCH(NOTA[[#This Row],[CONCAT1]],[3]!db[NB NOTA_C],0))</f>
        <v/>
      </c>
      <c r="AV668" s="25" t="str">
        <f>IF(NOTA[[#This Row],[QTY/ CTN]]="","",TRUE)</f>
        <v/>
      </c>
      <c r="AW668" s="25" t="str">
        <f ca="1">IF(NOTA[[#This Row],[ID_H]]="","",IF(NOTA[[#This Row],[Column3]]=TRUE,NOTA[[#This Row],[QTY/ CTN]],INDEX([3]!db[QTY/ CTN],NOTA[[#This Row],[//DB]])))</f>
        <v/>
      </c>
      <c r="AX6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8" s="25" t="str">
        <f ca="1">IF(NOTA[[#This Row],[ID_H]]="","",MATCH(NOTA[[#This Row],[NB NOTA_C_QTY]],[3]!db[NB NOTA_C_QTY+F],0))</f>
        <v/>
      </c>
      <c r="AZ668" s="38" t="str">
        <f ca="1">IF(NOTA[[#This Row],[NB NOTA_C_QTY]]="","",ROW()-2)</f>
        <v/>
      </c>
    </row>
    <row r="669" spans="1:52" ht="20.100000000000001" customHeight="1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9" s="25" t="str">
        <f ca="1">IF(NOTA[[#This Row],[NAMA BARANG]]="","",INDEX(NOTA[ID],MATCH(,INDIRECT(ADDRESS(ROW(NOTA[ID]),COLUMN(NOTA[ID]))&amp;":"&amp;ADDRESS(ROW(),COLUMN(NOTA[ID]))),-1)))</f>
        <v/>
      </c>
      <c r="E669" s="33"/>
      <c r="H669" s="34"/>
      <c r="Q669" s="29"/>
      <c r="R669" s="35"/>
      <c r="S669" s="36"/>
      <c r="V669" s="37"/>
      <c r="W669" s="32"/>
      <c r="X669" s="37" t="str">
        <f>IF(NOTA[[#This Row],[HARGA/ CTN]]="",NOTA[[#This Row],[JUMLAH_H]],NOTA[[#This Row],[HARGA/ CTN]]*IF(NOTA[[#This Row],[C]]="",0,NOTA[[#This Row],[C]]))</f>
        <v/>
      </c>
      <c r="Y669" s="37" t="str">
        <f>IF(NOTA[[#This Row],[JUMLAH]]="","",NOTA[[#This Row],[JUMLAH]]*NOTA[[#This Row],[DISC 1]])</f>
        <v/>
      </c>
      <c r="Z669" s="37" t="str">
        <f>IF(NOTA[[#This Row],[JUMLAH]]="","",(NOTA[[#This Row],[JUMLAH]]-NOTA[[#This Row],[DISC 1-]])*NOTA[[#This Row],[DISC 2]])</f>
        <v/>
      </c>
      <c r="AA669" s="37" t="str">
        <f>IF(NOTA[[#This Row],[JUMLAH]]="","",(NOTA[[#This Row],[JUMLAH]]-NOTA[[#This Row],[DISC 1-]]-NOTA[[#This Row],[DISC 2-]])*NOTA[[#This Row],[DISC 3]])</f>
        <v/>
      </c>
      <c r="AB669" s="37" t="str">
        <f>IF(NOTA[[#This Row],[JUMLAH]]="","",NOTA[[#This Row],[DISC 1-]]+NOTA[[#This Row],[DISC 2-]]+NOTA[[#This Row],[DISC 3-]])</f>
        <v/>
      </c>
      <c r="AC669" s="37" t="str">
        <f>IF(NOTA[[#This Row],[JUMLAH]]="","",NOTA[[#This Row],[JUMLAH]]-NOTA[[#This Row],[DISC]])</f>
        <v/>
      </c>
      <c r="AD669" s="37"/>
      <c r="AE6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9" s="37" t="str">
        <f>IF(OR(NOTA[[#This Row],[QTY]]="",NOTA[[#This Row],[HARGA SATUAN]]="",),"",NOTA[[#This Row],[QTY]]*NOTA[[#This Row],[HARGA SATUAN]])</f>
        <v/>
      </c>
      <c r="AI669" s="26" t="str">
        <f ca="1">IF(NOTA[[#This Row],[ID_H]]="","",INDEX(NOTA[TANGGAL],MATCH(,INDIRECT(ADDRESS(ROW(NOTA[TANGGAL]),COLUMN(NOTA[TANGGAL]))&amp;":"&amp;ADDRESS(ROW(),COLUMN(NOTA[TANGGAL]))),-1)))</f>
        <v/>
      </c>
      <c r="AJ669" s="26" t="str">
        <f ca="1">IF(NOTA[[#This Row],[ID_H]]="","",INDEX(NOTA[TGL.NOTA],MATCH(,INDIRECT(ADDRESS(ROW(NOTA[TGL.NOTA]),COLUMN(NOTA[TGL.NOTA]))&amp;":"&amp;ADDRESS(ROW(),COLUMN(NOTA[TGL.NOTA]))),-1)))</f>
        <v/>
      </c>
      <c r="AK669" s="26" t="str">
        <f ca="1">IF(NOTA[[#This Row],[ID_H]]="","",INDEX(NOTA[NO.NOTA],MATCH(NOTA[[#This Row],[ID_H]],NOTA[ID_H],0)))</f>
        <v/>
      </c>
      <c r="AL669" s="28" t="str">
        <f ca="1">IF(NOTA[[#This Row],[NAMA BARANG]]="","",INDEX(NOTA[SUPPLIER],MATCH(,INDIRECT(ADDRESS(ROW(NOTA[ID]),COLUMN(NOTA[ID]))&amp;":"&amp;ADDRESS(ROW(),COLUMN(NOTA[ID]))),-1)))</f>
        <v/>
      </c>
      <c r="AM669" s="28" t="str">
        <f ca="1">IF(NOTA[[#This Row],[ID_H]]="","",IF(NOTA[[#This Row],[FAKTUR]]="",INDIRECT(ADDRESS(ROW()-1,COLUMN())),NOTA[[#This Row],[FAKTUR]]))</f>
        <v/>
      </c>
      <c r="AN669" s="25" t="str">
        <f ca="1">IF(NOTA[[#This Row],[ID]]="","",COUNTIF(NOTA[ID_H],NOTA[[#This Row],[ID_H]]))</f>
        <v/>
      </c>
      <c r="AO669" s="25" t="str">
        <f ca="1">IF(NOTA[[#This Row],[TGL.NOTA]]="",IF(NOTA[[#This Row],[SUPPLIER_H]]="","",AO668),MONTH(NOTA[[#This Row],[TGL.NOTA]]))</f>
        <v/>
      </c>
      <c r="AP6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9" s="25"/>
      <c r="AU669" s="25" t="str">
        <f>IF(NOTA[[#This Row],[CONCAT1]]="","",MATCH(NOTA[[#This Row],[CONCAT1]],[3]!db[NB NOTA_C],0))</f>
        <v/>
      </c>
      <c r="AV669" s="25" t="str">
        <f>IF(NOTA[[#This Row],[QTY/ CTN]]="","",TRUE)</f>
        <v/>
      </c>
      <c r="AW669" s="25" t="str">
        <f ca="1">IF(NOTA[[#This Row],[ID_H]]="","",IF(NOTA[[#This Row],[Column3]]=TRUE,NOTA[[#This Row],[QTY/ CTN]],INDEX([3]!db[QTY/ CTN],NOTA[[#This Row],[//DB]])))</f>
        <v/>
      </c>
      <c r="AX6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9" s="25" t="str">
        <f ca="1">IF(NOTA[[#This Row],[ID_H]]="","",MATCH(NOTA[[#This Row],[NB NOTA_C_QTY]],[3]!db[NB NOTA_C_QTY+F],0))</f>
        <v/>
      </c>
      <c r="AZ669" s="38" t="str">
        <f ca="1">IF(NOTA[[#This Row],[NB NOTA_C_QTY]]="","",ROW()-2)</f>
        <v/>
      </c>
    </row>
    <row r="670" spans="1:52" ht="20.100000000000001" customHeight="1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0" s="25" t="str">
        <f ca="1">IF(NOTA[[#This Row],[NAMA BARANG]]="","",INDEX(NOTA[ID],MATCH(,INDIRECT(ADDRESS(ROW(NOTA[ID]),COLUMN(NOTA[ID]))&amp;":"&amp;ADDRESS(ROW(),COLUMN(NOTA[ID]))),-1)))</f>
        <v/>
      </c>
      <c r="E670" s="33"/>
      <c r="H670" s="34"/>
      <c r="Q670" s="29"/>
      <c r="R670" s="35"/>
      <c r="S670" s="36"/>
      <c r="V670" s="37"/>
      <c r="W670" s="32"/>
      <c r="X670" s="37" t="str">
        <f>IF(NOTA[[#This Row],[HARGA/ CTN]]="",NOTA[[#This Row],[JUMLAH_H]],NOTA[[#This Row],[HARGA/ CTN]]*IF(NOTA[[#This Row],[C]]="",0,NOTA[[#This Row],[C]]))</f>
        <v/>
      </c>
      <c r="Y670" s="37" t="str">
        <f>IF(NOTA[[#This Row],[JUMLAH]]="","",NOTA[[#This Row],[JUMLAH]]*NOTA[[#This Row],[DISC 1]])</f>
        <v/>
      </c>
      <c r="Z670" s="37" t="str">
        <f>IF(NOTA[[#This Row],[JUMLAH]]="","",(NOTA[[#This Row],[JUMLAH]]-NOTA[[#This Row],[DISC 1-]])*NOTA[[#This Row],[DISC 2]])</f>
        <v/>
      </c>
      <c r="AA670" s="37" t="str">
        <f>IF(NOTA[[#This Row],[JUMLAH]]="","",(NOTA[[#This Row],[JUMLAH]]-NOTA[[#This Row],[DISC 1-]]-NOTA[[#This Row],[DISC 2-]])*NOTA[[#This Row],[DISC 3]])</f>
        <v/>
      </c>
      <c r="AB670" s="37" t="str">
        <f>IF(NOTA[[#This Row],[JUMLAH]]="","",NOTA[[#This Row],[DISC 1-]]+NOTA[[#This Row],[DISC 2-]]+NOTA[[#This Row],[DISC 3-]])</f>
        <v/>
      </c>
      <c r="AC670" s="37" t="str">
        <f>IF(NOTA[[#This Row],[JUMLAH]]="","",NOTA[[#This Row],[JUMLAH]]-NOTA[[#This Row],[DISC]])</f>
        <v/>
      </c>
      <c r="AD670" s="37"/>
      <c r="AE6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0" s="37" t="str">
        <f>IF(OR(NOTA[[#This Row],[QTY]]="",NOTA[[#This Row],[HARGA SATUAN]]="",),"",NOTA[[#This Row],[QTY]]*NOTA[[#This Row],[HARGA SATUAN]])</f>
        <v/>
      </c>
      <c r="AI670" s="26" t="str">
        <f ca="1">IF(NOTA[[#This Row],[ID_H]]="","",INDEX(NOTA[TANGGAL],MATCH(,INDIRECT(ADDRESS(ROW(NOTA[TANGGAL]),COLUMN(NOTA[TANGGAL]))&amp;":"&amp;ADDRESS(ROW(),COLUMN(NOTA[TANGGAL]))),-1)))</f>
        <v/>
      </c>
      <c r="AJ670" s="26" t="str">
        <f ca="1">IF(NOTA[[#This Row],[ID_H]]="","",INDEX(NOTA[TGL.NOTA],MATCH(,INDIRECT(ADDRESS(ROW(NOTA[TGL.NOTA]),COLUMN(NOTA[TGL.NOTA]))&amp;":"&amp;ADDRESS(ROW(),COLUMN(NOTA[TGL.NOTA]))),-1)))</f>
        <v/>
      </c>
      <c r="AK670" s="26" t="str">
        <f ca="1">IF(NOTA[[#This Row],[ID_H]]="","",INDEX(NOTA[NO.NOTA],MATCH(NOTA[[#This Row],[ID_H]],NOTA[ID_H],0)))</f>
        <v/>
      </c>
      <c r="AL670" s="28" t="str">
        <f ca="1">IF(NOTA[[#This Row],[NAMA BARANG]]="","",INDEX(NOTA[SUPPLIER],MATCH(,INDIRECT(ADDRESS(ROW(NOTA[ID]),COLUMN(NOTA[ID]))&amp;":"&amp;ADDRESS(ROW(),COLUMN(NOTA[ID]))),-1)))</f>
        <v/>
      </c>
      <c r="AM670" s="28" t="str">
        <f ca="1">IF(NOTA[[#This Row],[ID_H]]="","",IF(NOTA[[#This Row],[FAKTUR]]="",INDIRECT(ADDRESS(ROW()-1,COLUMN())),NOTA[[#This Row],[FAKTUR]]))</f>
        <v/>
      </c>
      <c r="AN670" s="25" t="str">
        <f ca="1">IF(NOTA[[#This Row],[ID]]="","",COUNTIF(NOTA[ID_H],NOTA[[#This Row],[ID_H]]))</f>
        <v/>
      </c>
      <c r="AO670" s="25" t="str">
        <f ca="1">IF(NOTA[[#This Row],[TGL.NOTA]]="",IF(NOTA[[#This Row],[SUPPLIER_H]]="","",AO669),MONTH(NOTA[[#This Row],[TGL.NOTA]]))</f>
        <v/>
      </c>
      <c r="AP6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0" s="25"/>
      <c r="AU670" s="25" t="str">
        <f>IF(NOTA[[#This Row],[CONCAT1]]="","",MATCH(NOTA[[#This Row],[CONCAT1]],[3]!db[NB NOTA_C],0))</f>
        <v/>
      </c>
      <c r="AV670" s="25" t="str">
        <f>IF(NOTA[[#This Row],[QTY/ CTN]]="","",TRUE)</f>
        <v/>
      </c>
      <c r="AW670" s="25" t="str">
        <f ca="1">IF(NOTA[[#This Row],[ID_H]]="","",IF(NOTA[[#This Row],[Column3]]=TRUE,NOTA[[#This Row],[QTY/ CTN]],INDEX([3]!db[QTY/ CTN],NOTA[[#This Row],[//DB]])))</f>
        <v/>
      </c>
      <c r="AX6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0" s="25" t="str">
        <f ca="1">IF(NOTA[[#This Row],[ID_H]]="","",MATCH(NOTA[[#This Row],[NB NOTA_C_QTY]],[3]!db[NB NOTA_C_QTY+F],0))</f>
        <v/>
      </c>
      <c r="AZ670" s="38" t="str">
        <f ca="1">IF(NOTA[[#This Row],[NB NOTA_C_QTY]]="","",ROW()-2)</f>
        <v/>
      </c>
    </row>
    <row r="671" spans="1:52" ht="20.100000000000001" customHeight="1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1" s="25" t="str">
        <f ca="1">IF(NOTA[[#This Row],[NAMA BARANG]]="","",INDEX(NOTA[ID],MATCH(,INDIRECT(ADDRESS(ROW(NOTA[ID]),COLUMN(NOTA[ID]))&amp;":"&amp;ADDRESS(ROW(),COLUMN(NOTA[ID]))),-1)))</f>
        <v/>
      </c>
      <c r="E671" s="33"/>
      <c r="H671" s="34"/>
      <c r="Q671" s="29"/>
      <c r="R671" s="35"/>
      <c r="S671" s="36"/>
      <c r="V671" s="37"/>
      <c r="W671" s="32"/>
      <c r="X671" s="37" t="str">
        <f>IF(NOTA[[#This Row],[HARGA/ CTN]]="",NOTA[[#This Row],[JUMLAH_H]],NOTA[[#This Row],[HARGA/ CTN]]*IF(NOTA[[#This Row],[C]]="",0,NOTA[[#This Row],[C]]))</f>
        <v/>
      </c>
      <c r="Y671" s="37" t="str">
        <f>IF(NOTA[[#This Row],[JUMLAH]]="","",NOTA[[#This Row],[JUMLAH]]*NOTA[[#This Row],[DISC 1]])</f>
        <v/>
      </c>
      <c r="Z671" s="37" t="str">
        <f>IF(NOTA[[#This Row],[JUMLAH]]="","",(NOTA[[#This Row],[JUMLAH]]-NOTA[[#This Row],[DISC 1-]])*NOTA[[#This Row],[DISC 2]])</f>
        <v/>
      </c>
      <c r="AA671" s="37" t="str">
        <f>IF(NOTA[[#This Row],[JUMLAH]]="","",(NOTA[[#This Row],[JUMLAH]]-NOTA[[#This Row],[DISC 1-]]-NOTA[[#This Row],[DISC 2-]])*NOTA[[#This Row],[DISC 3]])</f>
        <v/>
      </c>
      <c r="AB671" s="37" t="str">
        <f>IF(NOTA[[#This Row],[JUMLAH]]="","",NOTA[[#This Row],[DISC 1-]]+NOTA[[#This Row],[DISC 2-]]+NOTA[[#This Row],[DISC 3-]])</f>
        <v/>
      </c>
      <c r="AC671" s="37" t="str">
        <f>IF(NOTA[[#This Row],[JUMLAH]]="","",NOTA[[#This Row],[JUMLAH]]-NOTA[[#This Row],[DISC]])</f>
        <v/>
      </c>
      <c r="AD671" s="37"/>
      <c r="AE6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1" s="37" t="str">
        <f>IF(OR(NOTA[[#This Row],[QTY]]="",NOTA[[#This Row],[HARGA SATUAN]]="",),"",NOTA[[#This Row],[QTY]]*NOTA[[#This Row],[HARGA SATUAN]])</f>
        <v/>
      </c>
      <c r="AI671" s="26" t="str">
        <f ca="1">IF(NOTA[[#This Row],[ID_H]]="","",INDEX(NOTA[TANGGAL],MATCH(,INDIRECT(ADDRESS(ROW(NOTA[TANGGAL]),COLUMN(NOTA[TANGGAL]))&amp;":"&amp;ADDRESS(ROW(),COLUMN(NOTA[TANGGAL]))),-1)))</f>
        <v/>
      </c>
      <c r="AJ671" s="26" t="str">
        <f ca="1">IF(NOTA[[#This Row],[ID_H]]="","",INDEX(NOTA[TGL.NOTA],MATCH(,INDIRECT(ADDRESS(ROW(NOTA[TGL.NOTA]),COLUMN(NOTA[TGL.NOTA]))&amp;":"&amp;ADDRESS(ROW(),COLUMN(NOTA[TGL.NOTA]))),-1)))</f>
        <v/>
      </c>
      <c r="AK671" s="26" t="str">
        <f ca="1">IF(NOTA[[#This Row],[ID_H]]="","",INDEX(NOTA[NO.NOTA],MATCH(NOTA[[#This Row],[ID_H]],NOTA[ID_H],0)))</f>
        <v/>
      </c>
      <c r="AL671" s="28" t="str">
        <f ca="1">IF(NOTA[[#This Row],[NAMA BARANG]]="","",INDEX(NOTA[SUPPLIER],MATCH(,INDIRECT(ADDRESS(ROW(NOTA[ID]),COLUMN(NOTA[ID]))&amp;":"&amp;ADDRESS(ROW(),COLUMN(NOTA[ID]))),-1)))</f>
        <v/>
      </c>
      <c r="AM671" s="28" t="str">
        <f ca="1">IF(NOTA[[#This Row],[ID_H]]="","",IF(NOTA[[#This Row],[FAKTUR]]="",INDIRECT(ADDRESS(ROW()-1,COLUMN())),NOTA[[#This Row],[FAKTUR]]))</f>
        <v/>
      </c>
      <c r="AN671" s="25" t="str">
        <f ca="1">IF(NOTA[[#This Row],[ID]]="","",COUNTIF(NOTA[ID_H],NOTA[[#This Row],[ID_H]]))</f>
        <v/>
      </c>
      <c r="AO671" s="25" t="str">
        <f ca="1">IF(NOTA[[#This Row],[TGL.NOTA]]="",IF(NOTA[[#This Row],[SUPPLIER_H]]="","",AO670),MONTH(NOTA[[#This Row],[TGL.NOTA]]))</f>
        <v/>
      </c>
      <c r="AP6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1" s="25"/>
      <c r="AU671" s="25" t="str">
        <f>IF(NOTA[[#This Row],[CONCAT1]]="","",MATCH(NOTA[[#This Row],[CONCAT1]],[3]!db[NB NOTA_C],0))</f>
        <v/>
      </c>
      <c r="AV671" s="25" t="str">
        <f>IF(NOTA[[#This Row],[QTY/ CTN]]="","",TRUE)</f>
        <v/>
      </c>
      <c r="AW671" s="25" t="str">
        <f ca="1">IF(NOTA[[#This Row],[ID_H]]="","",IF(NOTA[[#This Row],[Column3]]=TRUE,NOTA[[#This Row],[QTY/ CTN]],INDEX([3]!db[QTY/ CTN],NOTA[[#This Row],[//DB]])))</f>
        <v/>
      </c>
      <c r="AX6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1" s="25" t="str">
        <f ca="1">IF(NOTA[[#This Row],[ID_H]]="","",MATCH(NOTA[[#This Row],[NB NOTA_C_QTY]],[3]!db[NB NOTA_C_QTY+F],0))</f>
        <v/>
      </c>
      <c r="AZ671" s="38" t="str">
        <f ca="1">IF(NOTA[[#This Row],[NB NOTA_C_QTY]]="","",ROW()-2)</f>
        <v/>
      </c>
    </row>
    <row r="672" spans="1:52" ht="20.100000000000001" customHeight="1">
      <c r="A6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2" s="25" t="str">
        <f ca="1">IF(NOTA[[#This Row],[NAMA BARANG]]="","",INDEX(NOTA[ID],MATCH(,INDIRECT(ADDRESS(ROW(NOTA[ID]),COLUMN(NOTA[ID]))&amp;":"&amp;ADDRESS(ROW(),COLUMN(NOTA[ID]))),-1)))</f>
        <v/>
      </c>
      <c r="E672" s="33"/>
      <c r="H672" s="34"/>
      <c r="Q672" s="29"/>
      <c r="R672" s="35"/>
      <c r="S672" s="36"/>
      <c r="V672" s="37"/>
      <c r="W672" s="32"/>
      <c r="X672" s="37" t="str">
        <f>IF(NOTA[[#This Row],[HARGA/ CTN]]="",NOTA[[#This Row],[JUMLAH_H]],NOTA[[#This Row],[HARGA/ CTN]]*IF(NOTA[[#This Row],[C]]="",0,NOTA[[#This Row],[C]]))</f>
        <v/>
      </c>
      <c r="Y672" s="37" t="str">
        <f>IF(NOTA[[#This Row],[JUMLAH]]="","",NOTA[[#This Row],[JUMLAH]]*NOTA[[#This Row],[DISC 1]])</f>
        <v/>
      </c>
      <c r="Z672" s="37" t="str">
        <f>IF(NOTA[[#This Row],[JUMLAH]]="","",(NOTA[[#This Row],[JUMLAH]]-NOTA[[#This Row],[DISC 1-]])*NOTA[[#This Row],[DISC 2]])</f>
        <v/>
      </c>
      <c r="AA672" s="37" t="str">
        <f>IF(NOTA[[#This Row],[JUMLAH]]="","",(NOTA[[#This Row],[JUMLAH]]-NOTA[[#This Row],[DISC 1-]]-NOTA[[#This Row],[DISC 2-]])*NOTA[[#This Row],[DISC 3]])</f>
        <v/>
      </c>
      <c r="AB672" s="37" t="str">
        <f>IF(NOTA[[#This Row],[JUMLAH]]="","",NOTA[[#This Row],[DISC 1-]]+NOTA[[#This Row],[DISC 2-]]+NOTA[[#This Row],[DISC 3-]])</f>
        <v/>
      </c>
      <c r="AC672" s="37" t="str">
        <f>IF(NOTA[[#This Row],[JUMLAH]]="","",NOTA[[#This Row],[JUMLAH]]-NOTA[[#This Row],[DISC]])</f>
        <v/>
      </c>
      <c r="AD672" s="37"/>
      <c r="AE6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2" s="37" t="str">
        <f>IF(OR(NOTA[[#This Row],[QTY]]="",NOTA[[#This Row],[HARGA SATUAN]]="",),"",NOTA[[#This Row],[QTY]]*NOTA[[#This Row],[HARGA SATUAN]])</f>
        <v/>
      </c>
      <c r="AI672" s="26" t="str">
        <f ca="1">IF(NOTA[[#This Row],[ID_H]]="","",INDEX(NOTA[TANGGAL],MATCH(,INDIRECT(ADDRESS(ROW(NOTA[TANGGAL]),COLUMN(NOTA[TANGGAL]))&amp;":"&amp;ADDRESS(ROW(),COLUMN(NOTA[TANGGAL]))),-1)))</f>
        <v/>
      </c>
      <c r="AJ672" s="26" t="str">
        <f ca="1">IF(NOTA[[#This Row],[ID_H]]="","",INDEX(NOTA[TGL.NOTA],MATCH(,INDIRECT(ADDRESS(ROW(NOTA[TGL.NOTA]),COLUMN(NOTA[TGL.NOTA]))&amp;":"&amp;ADDRESS(ROW(),COLUMN(NOTA[TGL.NOTA]))),-1)))</f>
        <v/>
      </c>
      <c r="AK672" s="26" t="str">
        <f ca="1">IF(NOTA[[#This Row],[ID_H]]="","",INDEX(NOTA[NO.NOTA],MATCH(NOTA[[#This Row],[ID_H]],NOTA[ID_H],0)))</f>
        <v/>
      </c>
      <c r="AL672" s="28" t="str">
        <f ca="1">IF(NOTA[[#This Row],[NAMA BARANG]]="","",INDEX(NOTA[SUPPLIER],MATCH(,INDIRECT(ADDRESS(ROW(NOTA[ID]),COLUMN(NOTA[ID]))&amp;":"&amp;ADDRESS(ROW(),COLUMN(NOTA[ID]))),-1)))</f>
        <v/>
      </c>
      <c r="AM672" s="28" t="str">
        <f ca="1">IF(NOTA[[#This Row],[ID_H]]="","",IF(NOTA[[#This Row],[FAKTUR]]="",INDIRECT(ADDRESS(ROW()-1,COLUMN())),NOTA[[#This Row],[FAKTUR]]))</f>
        <v/>
      </c>
      <c r="AN672" s="25" t="str">
        <f ca="1">IF(NOTA[[#This Row],[ID]]="","",COUNTIF(NOTA[ID_H],NOTA[[#This Row],[ID_H]]))</f>
        <v/>
      </c>
      <c r="AO672" s="25" t="str">
        <f ca="1">IF(NOTA[[#This Row],[TGL.NOTA]]="",IF(NOTA[[#This Row],[SUPPLIER_H]]="","",AO671),MONTH(NOTA[[#This Row],[TGL.NOTA]]))</f>
        <v/>
      </c>
      <c r="AP6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2" s="25"/>
      <c r="AU672" s="25" t="str">
        <f>IF(NOTA[[#This Row],[CONCAT1]]="","",MATCH(NOTA[[#This Row],[CONCAT1]],[3]!db[NB NOTA_C],0))</f>
        <v/>
      </c>
      <c r="AV672" s="25" t="str">
        <f>IF(NOTA[[#This Row],[QTY/ CTN]]="","",TRUE)</f>
        <v/>
      </c>
      <c r="AW672" s="25" t="str">
        <f ca="1">IF(NOTA[[#This Row],[ID_H]]="","",IF(NOTA[[#This Row],[Column3]]=TRUE,NOTA[[#This Row],[QTY/ CTN]],INDEX([3]!db[QTY/ CTN],NOTA[[#This Row],[//DB]])))</f>
        <v/>
      </c>
      <c r="AX6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2" s="25" t="str">
        <f ca="1">IF(NOTA[[#This Row],[ID_H]]="","",MATCH(NOTA[[#This Row],[NB NOTA_C_QTY]],[3]!db[NB NOTA_C_QTY+F],0))</f>
        <v/>
      </c>
      <c r="AZ672" s="38" t="str">
        <f ca="1">IF(NOTA[[#This Row],[NB NOTA_C_QTY]]="","",ROW()-2)</f>
        <v/>
      </c>
    </row>
    <row r="673" spans="1:52" ht="20.100000000000001" customHeight="1">
      <c r="A6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3" s="25" t="str">
        <f ca="1">IF(NOTA[[#This Row],[NAMA BARANG]]="","",INDEX(NOTA[ID],MATCH(,INDIRECT(ADDRESS(ROW(NOTA[ID]),COLUMN(NOTA[ID]))&amp;":"&amp;ADDRESS(ROW(),COLUMN(NOTA[ID]))),-1)))</f>
        <v/>
      </c>
      <c r="E673" s="33"/>
      <c r="H673" s="34"/>
      <c r="Q673" s="29"/>
      <c r="R673" s="35"/>
      <c r="S673" s="36"/>
      <c r="V673" s="37"/>
      <c r="W673" s="32"/>
      <c r="X673" s="37" t="str">
        <f>IF(NOTA[[#This Row],[HARGA/ CTN]]="",NOTA[[#This Row],[JUMLAH_H]],NOTA[[#This Row],[HARGA/ CTN]]*IF(NOTA[[#This Row],[C]]="",0,NOTA[[#This Row],[C]]))</f>
        <v/>
      </c>
      <c r="Y673" s="37" t="str">
        <f>IF(NOTA[[#This Row],[JUMLAH]]="","",NOTA[[#This Row],[JUMLAH]]*NOTA[[#This Row],[DISC 1]])</f>
        <v/>
      </c>
      <c r="Z673" s="37" t="str">
        <f>IF(NOTA[[#This Row],[JUMLAH]]="","",(NOTA[[#This Row],[JUMLAH]]-NOTA[[#This Row],[DISC 1-]])*NOTA[[#This Row],[DISC 2]])</f>
        <v/>
      </c>
      <c r="AA673" s="37" t="str">
        <f>IF(NOTA[[#This Row],[JUMLAH]]="","",(NOTA[[#This Row],[JUMLAH]]-NOTA[[#This Row],[DISC 1-]]-NOTA[[#This Row],[DISC 2-]])*NOTA[[#This Row],[DISC 3]])</f>
        <v/>
      </c>
      <c r="AB673" s="37" t="str">
        <f>IF(NOTA[[#This Row],[JUMLAH]]="","",NOTA[[#This Row],[DISC 1-]]+NOTA[[#This Row],[DISC 2-]]+NOTA[[#This Row],[DISC 3-]])</f>
        <v/>
      </c>
      <c r="AC673" s="37" t="str">
        <f>IF(NOTA[[#This Row],[JUMLAH]]="","",NOTA[[#This Row],[JUMLAH]]-NOTA[[#This Row],[DISC]])</f>
        <v/>
      </c>
      <c r="AD673" s="37"/>
      <c r="AE6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3" s="37" t="str">
        <f>IF(OR(NOTA[[#This Row],[QTY]]="",NOTA[[#This Row],[HARGA SATUAN]]="",),"",NOTA[[#This Row],[QTY]]*NOTA[[#This Row],[HARGA SATUAN]])</f>
        <v/>
      </c>
      <c r="AI673" s="26" t="str">
        <f ca="1">IF(NOTA[[#This Row],[ID_H]]="","",INDEX(NOTA[TANGGAL],MATCH(,INDIRECT(ADDRESS(ROW(NOTA[TANGGAL]),COLUMN(NOTA[TANGGAL]))&amp;":"&amp;ADDRESS(ROW(),COLUMN(NOTA[TANGGAL]))),-1)))</f>
        <v/>
      </c>
      <c r="AJ673" s="26" t="str">
        <f ca="1">IF(NOTA[[#This Row],[ID_H]]="","",INDEX(NOTA[TGL.NOTA],MATCH(,INDIRECT(ADDRESS(ROW(NOTA[TGL.NOTA]),COLUMN(NOTA[TGL.NOTA]))&amp;":"&amp;ADDRESS(ROW(),COLUMN(NOTA[TGL.NOTA]))),-1)))</f>
        <v/>
      </c>
      <c r="AK673" s="26" t="str">
        <f ca="1">IF(NOTA[[#This Row],[ID_H]]="","",INDEX(NOTA[NO.NOTA],MATCH(NOTA[[#This Row],[ID_H]],NOTA[ID_H],0)))</f>
        <v/>
      </c>
      <c r="AL673" s="28" t="str">
        <f ca="1">IF(NOTA[[#This Row],[NAMA BARANG]]="","",INDEX(NOTA[SUPPLIER],MATCH(,INDIRECT(ADDRESS(ROW(NOTA[ID]),COLUMN(NOTA[ID]))&amp;":"&amp;ADDRESS(ROW(),COLUMN(NOTA[ID]))),-1)))</f>
        <v/>
      </c>
      <c r="AM673" s="28" t="str">
        <f ca="1">IF(NOTA[[#This Row],[ID_H]]="","",IF(NOTA[[#This Row],[FAKTUR]]="",INDIRECT(ADDRESS(ROW()-1,COLUMN())),NOTA[[#This Row],[FAKTUR]]))</f>
        <v/>
      </c>
      <c r="AN673" s="25" t="str">
        <f ca="1">IF(NOTA[[#This Row],[ID]]="","",COUNTIF(NOTA[ID_H],NOTA[[#This Row],[ID_H]]))</f>
        <v/>
      </c>
      <c r="AO673" s="25" t="str">
        <f ca="1">IF(NOTA[[#This Row],[TGL.NOTA]]="",IF(NOTA[[#This Row],[SUPPLIER_H]]="","",AO672),MONTH(NOTA[[#This Row],[TGL.NOTA]]))</f>
        <v/>
      </c>
      <c r="AP6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3" s="25"/>
      <c r="AU673" s="25" t="str">
        <f>IF(NOTA[[#This Row],[CONCAT1]]="","",MATCH(NOTA[[#This Row],[CONCAT1]],[3]!db[NB NOTA_C],0))</f>
        <v/>
      </c>
      <c r="AV673" s="25" t="str">
        <f>IF(NOTA[[#This Row],[QTY/ CTN]]="","",TRUE)</f>
        <v/>
      </c>
      <c r="AW673" s="25" t="str">
        <f ca="1">IF(NOTA[[#This Row],[ID_H]]="","",IF(NOTA[[#This Row],[Column3]]=TRUE,NOTA[[#This Row],[QTY/ CTN]],INDEX([3]!db[QTY/ CTN],NOTA[[#This Row],[//DB]])))</f>
        <v/>
      </c>
      <c r="AX6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3" s="25" t="str">
        <f ca="1">IF(NOTA[[#This Row],[ID_H]]="","",MATCH(NOTA[[#This Row],[NB NOTA_C_QTY]],[3]!db[NB NOTA_C_QTY+F],0))</f>
        <v/>
      </c>
      <c r="AZ673" s="38" t="str">
        <f ca="1">IF(NOTA[[#This Row],[NB NOTA_C_QTY]]="","",ROW()-2)</f>
        <v/>
      </c>
    </row>
    <row r="674" spans="1:52" ht="20.100000000000001" customHeight="1">
      <c r="A6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4" s="25" t="str">
        <f ca="1">IF(NOTA[[#This Row],[NAMA BARANG]]="","",INDEX(NOTA[ID],MATCH(,INDIRECT(ADDRESS(ROW(NOTA[ID]),COLUMN(NOTA[ID]))&amp;":"&amp;ADDRESS(ROW(),COLUMN(NOTA[ID]))),-1)))</f>
        <v/>
      </c>
      <c r="E674" s="33"/>
      <c r="H674" s="34"/>
      <c r="Q674" s="29"/>
      <c r="R674" s="35"/>
      <c r="S674" s="36"/>
      <c r="V674" s="37"/>
      <c r="W674" s="32"/>
      <c r="X674" s="37" t="str">
        <f>IF(NOTA[[#This Row],[HARGA/ CTN]]="",NOTA[[#This Row],[JUMLAH_H]],NOTA[[#This Row],[HARGA/ CTN]]*IF(NOTA[[#This Row],[C]]="",0,NOTA[[#This Row],[C]]))</f>
        <v/>
      </c>
      <c r="Y674" s="37" t="str">
        <f>IF(NOTA[[#This Row],[JUMLAH]]="","",NOTA[[#This Row],[JUMLAH]]*NOTA[[#This Row],[DISC 1]])</f>
        <v/>
      </c>
      <c r="Z674" s="37" t="str">
        <f>IF(NOTA[[#This Row],[JUMLAH]]="","",(NOTA[[#This Row],[JUMLAH]]-NOTA[[#This Row],[DISC 1-]])*NOTA[[#This Row],[DISC 2]])</f>
        <v/>
      </c>
      <c r="AA674" s="37" t="str">
        <f>IF(NOTA[[#This Row],[JUMLAH]]="","",(NOTA[[#This Row],[JUMLAH]]-NOTA[[#This Row],[DISC 1-]]-NOTA[[#This Row],[DISC 2-]])*NOTA[[#This Row],[DISC 3]])</f>
        <v/>
      </c>
      <c r="AB674" s="37" t="str">
        <f>IF(NOTA[[#This Row],[JUMLAH]]="","",NOTA[[#This Row],[DISC 1-]]+NOTA[[#This Row],[DISC 2-]]+NOTA[[#This Row],[DISC 3-]])</f>
        <v/>
      </c>
      <c r="AC674" s="37" t="str">
        <f>IF(NOTA[[#This Row],[JUMLAH]]="","",NOTA[[#This Row],[JUMLAH]]-NOTA[[#This Row],[DISC]])</f>
        <v/>
      </c>
      <c r="AD674" s="37"/>
      <c r="AE6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4" s="37" t="str">
        <f>IF(OR(NOTA[[#This Row],[QTY]]="",NOTA[[#This Row],[HARGA SATUAN]]="",),"",NOTA[[#This Row],[QTY]]*NOTA[[#This Row],[HARGA SATUAN]])</f>
        <v/>
      </c>
      <c r="AI674" s="26" t="str">
        <f ca="1">IF(NOTA[[#This Row],[ID_H]]="","",INDEX(NOTA[TANGGAL],MATCH(,INDIRECT(ADDRESS(ROW(NOTA[TANGGAL]),COLUMN(NOTA[TANGGAL]))&amp;":"&amp;ADDRESS(ROW(),COLUMN(NOTA[TANGGAL]))),-1)))</f>
        <v/>
      </c>
      <c r="AJ674" s="26" t="str">
        <f ca="1">IF(NOTA[[#This Row],[ID_H]]="","",INDEX(NOTA[TGL.NOTA],MATCH(,INDIRECT(ADDRESS(ROW(NOTA[TGL.NOTA]),COLUMN(NOTA[TGL.NOTA]))&amp;":"&amp;ADDRESS(ROW(),COLUMN(NOTA[TGL.NOTA]))),-1)))</f>
        <v/>
      </c>
      <c r="AK674" s="26" t="str">
        <f ca="1">IF(NOTA[[#This Row],[ID_H]]="","",INDEX(NOTA[NO.NOTA],MATCH(NOTA[[#This Row],[ID_H]],NOTA[ID_H],0)))</f>
        <v/>
      </c>
      <c r="AL674" s="28" t="str">
        <f ca="1">IF(NOTA[[#This Row],[NAMA BARANG]]="","",INDEX(NOTA[SUPPLIER],MATCH(,INDIRECT(ADDRESS(ROW(NOTA[ID]),COLUMN(NOTA[ID]))&amp;":"&amp;ADDRESS(ROW(),COLUMN(NOTA[ID]))),-1)))</f>
        <v/>
      </c>
      <c r="AM674" s="28" t="str">
        <f ca="1">IF(NOTA[[#This Row],[ID_H]]="","",IF(NOTA[[#This Row],[FAKTUR]]="",INDIRECT(ADDRESS(ROW()-1,COLUMN())),NOTA[[#This Row],[FAKTUR]]))</f>
        <v/>
      </c>
      <c r="AN674" s="25" t="str">
        <f ca="1">IF(NOTA[[#This Row],[ID]]="","",COUNTIF(NOTA[ID_H],NOTA[[#This Row],[ID_H]]))</f>
        <v/>
      </c>
      <c r="AO674" s="25" t="str">
        <f ca="1">IF(NOTA[[#This Row],[TGL.NOTA]]="",IF(NOTA[[#This Row],[SUPPLIER_H]]="","",AO673),MONTH(NOTA[[#This Row],[TGL.NOTA]]))</f>
        <v/>
      </c>
      <c r="AP6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4" s="25"/>
      <c r="AU674" s="25" t="str">
        <f>IF(NOTA[[#This Row],[CONCAT1]]="","",MATCH(NOTA[[#This Row],[CONCAT1]],[3]!db[NB NOTA_C],0))</f>
        <v/>
      </c>
      <c r="AV674" s="25" t="str">
        <f>IF(NOTA[[#This Row],[QTY/ CTN]]="","",TRUE)</f>
        <v/>
      </c>
      <c r="AW674" s="25" t="str">
        <f ca="1">IF(NOTA[[#This Row],[ID_H]]="","",IF(NOTA[[#This Row],[Column3]]=TRUE,NOTA[[#This Row],[QTY/ CTN]],INDEX([3]!db[QTY/ CTN],NOTA[[#This Row],[//DB]])))</f>
        <v/>
      </c>
      <c r="AX6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4" s="25" t="str">
        <f ca="1">IF(NOTA[[#This Row],[ID_H]]="","",MATCH(NOTA[[#This Row],[NB NOTA_C_QTY]],[3]!db[NB NOTA_C_QTY+F],0))</f>
        <v/>
      </c>
      <c r="AZ674" s="38" t="str">
        <f ca="1">IF(NOTA[[#This Row],[NB NOTA_C_QTY]]="","",ROW()-2)</f>
        <v/>
      </c>
    </row>
    <row r="675" spans="1:52" ht="20.100000000000001" customHeight="1">
      <c r="A6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5" s="25" t="str">
        <f ca="1">IF(NOTA[[#This Row],[NAMA BARANG]]="","",INDEX(NOTA[ID],MATCH(,INDIRECT(ADDRESS(ROW(NOTA[ID]),COLUMN(NOTA[ID]))&amp;":"&amp;ADDRESS(ROW(),COLUMN(NOTA[ID]))),-1)))</f>
        <v/>
      </c>
      <c r="E675" s="33"/>
      <c r="H675" s="34"/>
      <c r="Q675" s="29"/>
      <c r="R675" s="35"/>
      <c r="S675" s="36"/>
      <c r="V675" s="37"/>
      <c r="W675" s="32"/>
      <c r="X675" s="37" t="str">
        <f>IF(NOTA[[#This Row],[HARGA/ CTN]]="",NOTA[[#This Row],[JUMLAH_H]],NOTA[[#This Row],[HARGA/ CTN]]*IF(NOTA[[#This Row],[C]]="",0,NOTA[[#This Row],[C]]))</f>
        <v/>
      </c>
      <c r="Y675" s="37" t="str">
        <f>IF(NOTA[[#This Row],[JUMLAH]]="","",NOTA[[#This Row],[JUMLAH]]*NOTA[[#This Row],[DISC 1]])</f>
        <v/>
      </c>
      <c r="Z675" s="37" t="str">
        <f>IF(NOTA[[#This Row],[JUMLAH]]="","",(NOTA[[#This Row],[JUMLAH]]-NOTA[[#This Row],[DISC 1-]])*NOTA[[#This Row],[DISC 2]])</f>
        <v/>
      </c>
      <c r="AA675" s="37" t="str">
        <f>IF(NOTA[[#This Row],[JUMLAH]]="","",(NOTA[[#This Row],[JUMLAH]]-NOTA[[#This Row],[DISC 1-]]-NOTA[[#This Row],[DISC 2-]])*NOTA[[#This Row],[DISC 3]])</f>
        <v/>
      </c>
      <c r="AB675" s="37" t="str">
        <f>IF(NOTA[[#This Row],[JUMLAH]]="","",NOTA[[#This Row],[DISC 1-]]+NOTA[[#This Row],[DISC 2-]]+NOTA[[#This Row],[DISC 3-]])</f>
        <v/>
      </c>
      <c r="AC675" s="37" t="str">
        <f>IF(NOTA[[#This Row],[JUMLAH]]="","",NOTA[[#This Row],[JUMLAH]]-NOTA[[#This Row],[DISC]])</f>
        <v/>
      </c>
      <c r="AD675" s="37"/>
      <c r="AE6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5" s="37" t="str">
        <f>IF(OR(NOTA[[#This Row],[QTY]]="",NOTA[[#This Row],[HARGA SATUAN]]="",),"",NOTA[[#This Row],[QTY]]*NOTA[[#This Row],[HARGA SATUAN]])</f>
        <v/>
      </c>
      <c r="AI675" s="26" t="str">
        <f ca="1">IF(NOTA[[#This Row],[ID_H]]="","",INDEX(NOTA[TANGGAL],MATCH(,INDIRECT(ADDRESS(ROW(NOTA[TANGGAL]),COLUMN(NOTA[TANGGAL]))&amp;":"&amp;ADDRESS(ROW(),COLUMN(NOTA[TANGGAL]))),-1)))</f>
        <v/>
      </c>
      <c r="AJ675" s="26" t="str">
        <f ca="1">IF(NOTA[[#This Row],[ID_H]]="","",INDEX(NOTA[TGL.NOTA],MATCH(,INDIRECT(ADDRESS(ROW(NOTA[TGL.NOTA]),COLUMN(NOTA[TGL.NOTA]))&amp;":"&amp;ADDRESS(ROW(),COLUMN(NOTA[TGL.NOTA]))),-1)))</f>
        <v/>
      </c>
      <c r="AK675" s="26" t="str">
        <f ca="1">IF(NOTA[[#This Row],[ID_H]]="","",INDEX(NOTA[NO.NOTA],MATCH(NOTA[[#This Row],[ID_H]],NOTA[ID_H],0)))</f>
        <v/>
      </c>
      <c r="AL675" s="28" t="str">
        <f ca="1">IF(NOTA[[#This Row],[NAMA BARANG]]="","",INDEX(NOTA[SUPPLIER],MATCH(,INDIRECT(ADDRESS(ROW(NOTA[ID]),COLUMN(NOTA[ID]))&amp;":"&amp;ADDRESS(ROW(),COLUMN(NOTA[ID]))),-1)))</f>
        <v/>
      </c>
      <c r="AM675" s="28" t="str">
        <f ca="1">IF(NOTA[[#This Row],[ID_H]]="","",IF(NOTA[[#This Row],[FAKTUR]]="",INDIRECT(ADDRESS(ROW()-1,COLUMN())),NOTA[[#This Row],[FAKTUR]]))</f>
        <v/>
      </c>
      <c r="AN675" s="25" t="str">
        <f ca="1">IF(NOTA[[#This Row],[ID]]="","",COUNTIF(NOTA[ID_H],NOTA[[#This Row],[ID_H]]))</f>
        <v/>
      </c>
      <c r="AO675" s="25" t="str">
        <f ca="1">IF(NOTA[[#This Row],[TGL.NOTA]]="",IF(NOTA[[#This Row],[SUPPLIER_H]]="","",AO674),MONTH(NOTA[[#This Row],[TGL.NOTA]]))</f>
        <v/>
      </c>
      <c r="AP6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5" s="25"/>
      <c r="AU675" s="25" t="str">
        <f>IF(NOTA[[#This Row],[CONCAT1]]="","",MATCH(NOTA[[#This Row],[CONCAT1]],[3]!db[NB NOTA_C],0))</f>
        <v/>
      </c>
      <c r="AV675" s="25" t="str">
        <f>IF(NOTA[[#This Row],[QTY/ CTN]]="","",TRUE)</f>
        <v/>
      </c>
      <c r="AW675" s="25" t="str">
        <f ca="1">IF(NOTA[[#This Row],[ID_H]]="","",IF(NOTA[[#This Row],[Column3]]=TRUE,NOTA[[#This Row],[QTY/ CTN]],INDEX([3]!db[QTY/ CTN],NOTA[[#This Row],[//DB]])))</f>
        <v/>
      </c>
      <c r="AX6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5" s="25" t="str">
        <f ca="1">IF(NOTA[[#This Row],[ID_H]]="","",MATCH(NOTA[[#This Row],[NB NOTA_C_QTY]],[3]!db[NB NOTA_C_QTY+F],0))</f>
        <v/>
      </c>
      <c r="AZ675" s="38" t="str">
        <f ca="1">IF(NOTA[[#This Row],[NB NOTA_C_QTY]]="","",ROW()-2)</f>
        <v/>
      </c>
    </row>
    <row r="676" spans="1:52" ht="20.100000000000001" customHeight="1">
      <c r="A6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6" s="25" t="str">
        <f ca="1">IF(NOTA[[#This Row],[NAMA BARANG]]="","",INDEX(NOTA[ID],MATCH(,INDIRECT(ADDRESS(ROW(NOTA[ID]),COLUMN(NOTA[ID]))&amp;":"&amp;ADDRESS(ROW(),COLUMN(NOTA[ID]))),-1)))</f>
        <v/>
      </c>
      <c r="E676" s="33"/>
      <c r="H676" s="34"/>
      <c r="Q676" s="29"/>
      <c r="R676" s="35"/>
      <c r="S676" s="36"/>
      <c r="V676" s="37"/>
      <c r="W676" s="32"/>
      <c r="X676" s="37" t="str">
        <f>IF(NOTA[[#This Row],[HARGA/ CTN]]="",NOTA[[#This Row],[JUMLAH_H]],NOTA[[#This Row],[HARGA/ CTN]]*IF(NOTA[[#This Row],[C]]="",0,NOTA[[#This Row],[C]]))</f>
        <v/>
      </c>
      <c r="Y676" s="37" t="str">
        <f>IF(NOTA[[#This Row],[JUMLAH]]="","",NOTA[[#This Row],[JUMLAH]]*NOTA[[#This Row],[DISC 1]])</f>
        <v/>
      </c>
      <c r="Z676" s="37" t="str">
        <f>IF(NOTA[[#This Row],[JUMLAH]]="","",(NOTA[[#This Row],[JUMLAH]]-NOTA[[#This Row],[DISC 1-]])*NOTA[[#This Row],[DISC 2]])</f>
        <v/>
      </c>
      <c r="AA676" s="37" t="str">
        <f>IF(NOTA[[#This Row],[JUMLAH]]="","",(NOTA[[#This Row],[JUMLAH]]-NOTA[[#This Row],[DISC 1-]]-NOTA[[#This Row],[DISC 2-]])*NOTA[[#This Row],[DISC 3]])</f>
        <v/>
      </c>
      <c r="AB676" s="37" t="str">
        <f>IF(NOTA[[#This Row],[JUMLAH]]="","",NOTA[[#This Row],[DISC 1-]]+NOTA[[#This Row],[DISC 2-]]+NOTA[[#This Row],[DISC 3-]])</f>
        <v/>
      </c>
      <c r="AC676" s="37" t="str">
        <f>IF(NOTA[[#This Row],[JUMLAH]]="","",NOTA[[#This Row],[JUMLAH]]-NOTA[[#This Row],[DISC]])</f>
        <v/>
      </c>
      <c r="AD676" s="37"/>
      <c r="AE6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6" s="37" t="str">
        <f>IF(OR(NOTA[[#This Row],[QTY]]="",NOTA[[#This Row],[HARGA SATUAN]]="",),"",NOTA[[#This Row],[QTY]]*NOTA[[#This Row],[HARGA SATUAN]])</f>
        <v/>
      </c>
      <c r="AI676" s="26" t="str">
        <f ca="1">IF(NOTA[[#This Row],[ID_H]]="","",INDEX(NOTA[TANGGAL],MATCH(,INDIRECT(ADDRESS(ROW(NOTA[TANGGAL]),COLUMN(NOTA[TANGGAL]))&amp;":"&amp;ADDRESS(ROW(),COLUMN(NOTA[TANGGAL]))),-1)))</f>
        <v/>
      </c>
      <c r="AJ676" s="26" t="str">
        <f ca="1">IF(NOTA[[#This Row],[ID_H]]="","",INDEX(NOTA[TGL.NOTA],MATCH(,INDIRECT(ADDRESS(ROW(NOTA[TGL.NOTA]),COLUMN(NOTA[TGL.NOTA]))&amp;":"&amp;ADDRESS(ROW(),COLUMN(NOTA[TGL.NOTA]))),-1)))</f>
        <v/>
      </c>
      <c r="AK676" s="26" t="str">
        <f ca="1">IF(NOTA[[#This Row],[ID_H]]="","",INDEX(NOTA[NO.NOTA],MATCH(NOTA[[#This Row],[ID_H]],NOTA[ID_H],0)))</f>
        <v/>
      </c>
      <c r="AL676" s="28" t="str">
        <f ca="1">IF(NOTA[[#This Row],[NAMA BARANG]]="","",INDEX(NOTA[SUPPLIER],MATCH(,INDIRECT(ADDRESS(ROW(NOTA[ID]),COLUMN(NOTA[ID]))&amp;":"&amp;ADDRESS(ROW(),COLUMN(NOTA[ID]))),-1)))</f>
        <v/>
      </c>
      <c r="AM676" s="28" t="str">
        <f ca="1">IF(NOTA[[#This Row],[ID_H]]="","",IF(NOTA[[#This Row],[FAKTUR]]="",INDIRECT(ADDRESS(ROW()-1,COLUMN())),NOTA[[#This Row],[FAKTUR]]))</f>
        <v/>
      </c>
      <c r="AN676" s="25" t="str">
        <f ca="1">IF(NOTA[[#This Row],[ID]]="","",COUNTIF(NOTA[ID_H],NOTA[[#This Row],[ID_H]]))</f>
        <v/>
      </c>
      <c r="AO676" s="25" t="str">
        <f ca="1">IF(NOTA[[#This Row],[TGL.NOTA]]="",IF(NOTA[[#This Row],[SUPPLIER_H]]="","",AO675),MONTH(NOTA[[#This Row],[TGL.NOTA]]))</f>
        <v/>
      </c>
      <c r="AP6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6" s="25"/>
      <c r="AU676" s="25" t="str">
        <f>IF(NOTA[[#This Row],[CONCAT1]]="","",MATCH(NOTA[[#This Row],[CONCAT1]],[3]!db[NB NOTA_C],0))</f>
        <v/>
      </c>
      <c r="AV676" s="25" t="str">
        <f>IF(NOTA[[#This Row],[QTY/ CTN]]="","",TRUE)</f>
        <v/>
      </c>
      <c r="AW676" s="25" t="str">
        <f ca="1">IF(NOTA[[#This Row],[ID_H]]="","",IF(NOTA[[#This Row],[Column3]]=TRUE,NOTA[[#This Row],[QTY/ CTN]],INDEX([3]!db[QTY/ CTN],NOTA[[#This Row],[//DB]])))</f>
        <v/>
      </c>
      <c r="AX6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6" s="25" t="str">
        <f ca="1">IF(NOTA[[#This Row],[ID_H]]="","",MATCH(NOTA[[#This Row],[NB NOTA_C_QTY]],[3]!db[NB NOTA_C_QTY+F],0))</f>
        <v/>
      </c>
      <c r="AZ676" s="38" t="str">
        <f ca="1">IF(NOTA[[#This Row],[NB NOTA_C_QTY]]="","",ROW()-2)</f>
        <v/>
      </c>
    </row>
    <row r="677" spans="1:52" ht="20.100000000000001" customHeight="1">
      <c r="A6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7" s="25" t="str">
        <f ca="1">IF(NOTA[[#This Row],[NAMA BARANG]]="","",INDEX(NOTA[ID],MATCH(,INDIRECT(ADDRESS(ROW(NOTA[ID]),COLUMN(NOTA[ID]))&amp;":"&amp;ADDRESS(ROW(),COLUMN(NOTA[ID]))),-1)))</f>
        <v/>
      </c>
      <c r="E677" s="33"/>
      <c r="H677" s="34"/>
      <c r="Q677" s="29"/>
      <c r="R677" s="35"/>
      <c r="S677" s="36"/>
      <c r="V677" s="37"/>
      <c r="W677" s="32"/>
      <c r="X677" s="37" t="str">
        <f>IF(NOTA[[#This Row],[HARGA/ CTN]]="",NOTA[[#This Row],[JUMLAH_H]],NOTA[[#This Row],[HARGA/ CTN]]*IF(NOTA[[#This Row],[C]]="",0,NOTA[[#This Row],[C]]))</f>
        <v/>
      </c>
      <c r="Y677" s="37" t="str">
        <f>IF(NOTA[[#This Row],[JUMLAH]]="","",NOTA[[#This Row],[JUMLAH]]*NOTA[[#This Row],[DISC 1]])</f>
        <v/>
      </c>
      <c r="Z677" s="37" t="str">
        <f>IF(NOTA[[#This Row],[JUMLAH]]="","",(NOTA[[#This Row],[JUMLAH]]-NOTA[[#This Row],[DISC 1-]])*NOTA[[#This Row],[DISC 2]])</f>
        <v/>
      </c>
      <c r="AA677" s="37" t="str">
        <f>IF(NOTA[[#This Row],[JUMLAH]]="","",(NOTA[[#This Row],[JUMLAH]]-NOTA[[#This Row],[DISC 1-]]-NOTA[[#This Row],[DISC 2-]])*NOTA[[#This Row],[DISC 3]])</f>
        <v/>
      </c>
      <c r="AB677" s="37" t="str">
        <f>IF(NOTA[[#This Row],[JUMLAH]]="","",NOTA[[#This Row],[DISC 1-]]+NOTA[[#This Row],[DISC 2-]]+NOTA[[#This Row],[DISC 3-]])</f>
        <v/>
      </c>
      <c r="AC677" s="37" t="str">
        <f>IF(NOTA[[#This Row],[JUMLAH]]="","",NOTA[[#This Row],[JUMLAH]]-NOTA[[#This Row],[DISC]])</f>
        <v/>
      </c>
      <c r="AD677" s="37"/>
      <c r="AE6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7" s="37" t="str">
        <f>IF(OR(NOTA[[#This Row],[QTY]]="",NOTA[[#This Row],[HARGA SATUAN]]="",),"",NOTA[[#This Row],[QTY]]*NOTA[[#This Row],[HARGA SATUAN]])</f>
        <v/>
      </c>
      <c r="AI677" s="26" t="str">
        <f ca="1">IF(NOTA[[#This Row],[ID_H]]="","",INDEX(NOTA[TANGGAL],MATCH(,INDIRECT(ADDRESS(ROW(NOTA[TANGGAL]),COLUMN(NOTA[TANGGAL]))&amp;":"&amp;ADDRESS(ROW(),COLUMN(NOTA[TANGGAL]))),-1)))</f>
        <v/>
      </c>
      <c r="AJ677" s="26" t="str">
        <f ca="1">IF(NOTA[[#This Row],[ID_H]]="","",INDEX(NOTA[TGL.NOTA],MATCH(,INDIRECT(ADDRESS(ROW(NOTA[TGL.NOTA]),COLUMN(NOTA[TGL.NOTA]))&amp;":"&amp;ADDRESS(ROW(),COLUMN(NOTA[TGL.NOTA]))),-1)))</f>
        <v/>
      </c>
      <c r="AK677" s="26" t="str">
        <f ca="1">IF(NOTA[[#This Row],[ID_H]]="","",INDEX(NOTA[NO.NOTA],MATCH(NOTA[[#This Row],[ID_H]],NOTA[ID_H],0)))</f>
        <v/>
      </c>
      <c r="AL677" s="28" t="str">
        <f ca="1">IF(NOTA[[#This Row],[NAMA BARANG]]="","",INDEX(NOTA[SUPPLIER],MATCH(,INDIRECT(ADDRESS(ROW(NOTA[ID]),COLUMN(NOTA[ID]))&amp;":"&amp;ADDRESS(ROW(),COLUMN(NOTA[ID]))),-1)))</f>
        <v/>
      </c>
      <c r="AM677" s="28" t="str">
        <f ca="1">IF(NOTA[[#This Row],[ID_H]]="","",IF(NOTA[[#This Row],[FAKTUR]]="",INDIRECT(ADDRESS(ROW()-1,COLUMN())),NOTA[[#This Row],[FAKTUR]]))</f>
        <v/>
      </c>
      <c r="AN677" s="25" t="str">
        <f ca="1">IF(NOTA[[#This Row],[ID]]="","",COUNTIF(NOTA[ID_H],NOTA[[#This Row],[ID_H]]))</f>
        <v/>
      </c>
      <c r="AO677" s="25" t="str">
        <f ca="1">IF(NOTA[[#This Row],[TGL.NOTA]]="",IF(NOTA[[#This Row],[SUPPLIER_H]]="","",AO676),MONTH(NOTA[[#This Row],[TGL.NOTA]]))</f>
        <v/>
      </c>
      <c r="AP6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7" s="25"/>
      <c r="AU677" s="25" t="str">
        <f>IF(NOTA[[#This Row],[CONCAT1]]="","",MATCH(NOTA[[#This Row],[CONCAT1]],[3]!db[NB NOTA_C],0))</f>
        <v/>
      </c>
      <c r="AV677" s="25" t="str">
        <f>IF(NOTA[[#This Row],[QTY/ CTN]]="","",TRUE)</f>
        <v/>
      </c>
      <c r="AW677" s="25" t="str">
        <f ca="1">IF(NOTA[[#This Row],[ID_H]]="","",IF(NOTA[[#This Row],[Column3]]=TRUE,NOTA[[#This Row],[QTY/ CTN]],INDEX([3]!db[QTY/ CTN],NOTA[[#This Row],[//DB]])))</f>
        <v/>
      </c>
      <c r="AX6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7" s="25" t="str">
        <f ca="1">IF(NOTA[[#This Row],[ID_H]]="","",MATCH(NOTA[[#This Row],[NB NOTA_C_QTY]],[3]!db[NB NOTA_C_QTY+F],0))</f>
        <v/>
      </c>
      <c r="AZ677" s="38" t="str">
        <f ca="1">IF(NOTA[[#This Row],[NB NOTA_C_QTY]]="","",ROW()-2)</f>
        <v/>
      </c>
    </row>
    <row r="678" spans="1:52" ht="20.100000000000001" customHeight="1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8" s="25" t="str">
        <f ca="1">IF(NOTA[[#This Row],[NAMA BARANG]]="","",INDEX(NOTA[ID],MATCH(,INDIRECT(ADDRESS(ROW(NOTA[ID]),COLUMN(NOTA[ID]))&amp;":"&amp;ADDRESS(ROW(),COLUMN(NOTA[ID]))),-1)))</f>
        <v/>
      </c>
      <c r="E678" s="33"/>
      <c r="H678" s="34"/>
      <c r="Q678" s="29"/>
      <c r="R678" s="35"/>
      <c r="S678" s="36"/>
      <c r="V678" s="37"/>
      <c r="W678" s="32"/>
      <c r="X678" s="37" t="str">
        <f>IF(NOTA[[#This Row],[HARGA/ CTN]]="",NOTA[[#This Row],[JUMLAH_H]],NOTA[[#This Row],[HARGA/ CTN]]*IF(NOTA[[#This Row],[C]]="",0,NOTA[[#This Row],[C]]))</f>
        <v/>
      </c>
      <c r="Y678" s="37" t="str">
        <f>IF(NOTA[[#This Row],[JUMLAH]]="","",NOTA[[#This Row],[JUMLAH]]*NOTA[[#This Row],[DISC 1]])</f>
        <v/>
      </c>
      <c r="Z678" s="37" t="str">
        <f>IF(NOTA[[#This Row],[JUMLAH]]="","",(NOTA[[#This Row],[JUMLAH]]-NOTA[[#This Row],[DISC 1-]])*NOTA[[#This Row],[DISC 2]])</f>
        <v/>
      </c>
      <c r="AA678" s="37" t="str">
        <f>IF(NOTA[[#This Row],[JUMLAH]]="","",(NOTA[[#This Row],[JUMLAH]]-NOTA[[#This Row],[DISC 1-]]-NOTA[[#This Row],[DISC 2-]])*NOTA[[#This Row],[DISC 3]])</f>
        <v/>
      </c>
      <c r="AB678" s="37" t="str">
        <f>IF(NOTA[[#This Row],[JUMLAH]]="","",NOTA[[#This Row],[DISC 1-]]+NOTA[[#This Row],[DISC 2-]]+NOTA[[#This Row],[DISC 3-]])</f>
        <v/>
      </c>
      <c r="AC678" s="37" t="str">
        <f>IF(NOTA[[#This Row],[JUMLAH]]="","",NOTA[[#This Row],[JUMLAH]]-NOTA[[#This Row],[DISC]])</f>
        <v/>
      </c>
      <c r="AD678" s="37"/>
      <c r="AE6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8" s="37" t="str">
        <f>IF(OR(NOTA[[#This Row],[QTY]]="",NOTA[[#This Row],[HARGA SATUAN]]="",),"",NOTA[[#This Row],[QTY]]*NOTA[[#This Row],[HARGA SATUAN]])</f>
        <v/>
      </c>
      <c r="AI678" s="26" t="str">
        <f ca="1">IF(NOTA[[#This Row],[ID_H]]="","",INDEX(NOTA[TANGGAL],MATCH(,INDIRECT(ADDRESS(ROW(NOTA[TANGGAL]),COLUMN(NOTA[TANGGAL]))&amp;":"&amp;ADDRESS(ROW(),COLUMN(NOTA[TANGGAL]))),-1)))</f>
        <v/>
      </c>
      <c r="AJ678" s="26" t="str">
        <f ca="1">IF(NOTA[[#This Row],[ID_H]]="","",INDEX(NOTA[TGL.NOTA],MATCH(,INDIRECT(ADDRESS(ROW(NOTA[TGL.NOTA]),COLUMN(NOTA[TGL.NOTA]))&amp;":"&amp;ADDRESS(ROW(),COLUMN(NOTA[TGL.NOTA]))),-1)))</f>
        <v/>
      </c>
      <c r="AK678" s="26" t="str">
        <f ca="1">IF(NOTA[[#This Row],[ID_H]]="","",INDEX(NOTA[NO.NOTA],MATCH(NOTA[[#This Row],[ID_H]],NOTA[ID_H],0)))</f>
        <v/>
      </c>
      <c r="AL678" s="28" t="str">
        <f ca="1">IF(NOTA[[#This Row],[NAMA BARANG]]="","",INDEX(NOTA[SUPPLIER],MATCH(,INDIRECT(ADDRESS(ROW(NOTA[ID]),COLUMN(NOTA[ID]))&amp;":"&amp;ADDRESS(ROW(),COLUMN(NOTA[ID]))),-1)))</f>
        <v/>
      </c>
      <c r="AM678" s="28" t="str">
        <f ca="1">IF(NOTA[[#This Row],[ID_H]]="","",IF(NOTA[[#This Row],[FAKTUR]]="",INDIRECT(ADDRESS(ROW()-1,COLUMN())),NOTA[[#This Row],[FAKTUR]]))</f>
        <v/>
      </c>
      <c r="AN678" s="25" t="str">
        <f ca="1">IF(NOTA[[#This Row],[ID]]="","",COUNTIF(NOTA[ID_H],NOTA[[#This Row],[ID_H]]))</f>
        <v/>
      </c>
      <c r="AO678" s="25" t="str">
        <f ca="1">IF(NOTA[[#This Row],[TGL.NOTA]]="",IF(NOTA[[#This Row],[SUPPLIER_H]]="","",AO677),MONTH(NOTA[[#This Row],[TGL.NOTA]]))</f>
        <v/>
      </c>
      <c r="AP6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8" s="25"/>
      <c r="AU678" s="25" t="str">
        <f>IF(NOTA[[#This Row],[CONCAT1]]="","",MATCH(NOTA[[#This Row],[CONCAT1]],[3]!db[NB NOTA_C],0))</f>
        <v/>
      </c>
      <c r="AV678" s="25" t="str">
        <f>IF(NOTA[[#This Row],[QTY/ CTN]]="","",TRUE)</f>
        <v/>
      </c>
      <c r="AW678" s="25" t="str">
        <f ca="1">IF(NOTA[[#This Row],[ID_H]]="","",IF(NOTA[[#This Row],[Column3]]=TRUE,NOTA[[#This Row],[QTY/ CTN]],INDEX([3]!db[QTY/ CTN],NOTA[[#This Row],[//DB]])))</f>
        <v/>
      </c>
      <c r="AX6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8" s="25" t="str">
        <f ca="1">IF(NOTA[[#This Row],[ID_H]]="","",MATCH(NOTA[[#This Row],[NB NOTA_C_QTY]],[3]!db[NB NOTA_C_QTY+F],0))</f>
        <v/>
      </c>
      <c r="AZ678" s="38" t="str">
        <f ca="1">IF(NOTA[[#This Row],[NB NOTA_C_QTY]]="","",ROW()-2)</f>
        <v/>
      </c>
    </row>
    <row r="679" spans="1:52" ht="20.100000000000001" customHeight="1">
      <c r="A6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9" s="25" t="str">
        <f ca="1">IF(NOTA[[#This Row],[NAMA BARANG]]="","",INDEX(NOTA[ID],MATCH(,INDIRECT(ADDRESS(ROW(NOTA[ID]),COLUMN(NOTA[ID]))&amp;":"&amp;ADDRESS(ROW(),COLUMN(NOTA[ID]))),-1)))</f>
        <v/>
      </c>
      <c r="E679" s="33"/>
      <c r="H679" s="34"/>
      <c r="Q679" s="29"/>
      <c r="R679" s="35"/>
      <c r="S679" s="36"/>
      <c r="V679" s="37"/>
      <c r="W679" s="32"/>
      <c r="X679" s="37" t="str">
        <f>IF(NOTA[[#This Row],[HARGA/ CTN]]="",NOTA[[#This Row],[JUMLAH_H]],NOTA[[#This Row],[HARGA/ CTN]]*IF(NOTA[[#This Row],[C]]="",0,NOTA[[#This Row],[C]]))</f>
        <v/>
      </c>
      <c r="Y679" s="37" t="str">
        <f>IF(NOTA[[#This Row],[JUMLAH]]="","",NOTA[[#This Row],[JUMLAH]]*NOTA[[#This Row],[DISC 1]])</f>
        <v/>
      </c>
      <c r="Z679" s="37" t="str">
        <f>IF(NOTA[[#This Row],[JUMLAH]]="","",(NOTA[[#This Row],[JUMLAH]]-NOTA[[#This Row],[DISC 1-]])*NOTA[[#This Row],[DISC 2]])</f>
        <v/>
      </c>
      <c r="AA679" s="37" t="str">
        <f>IF(NOTA[[#This Row],[JUMLAH]]="","",(NOTA[[#This Row],[JUMLAH]]-NOTA[[#This Row],[DISC 1-]]-NOTA[[#This Row],[DISC 2-]])*NOTA[[#This Row],[DISC 3]])</f>
        <v/>
      </c>
      <c r="AB679" s="37" t="str">
        <f>IF(NOTA[[#This Row],[JUMLAH]]="","",NOTA[[#This Row],[DISC 1-]]+NOTA[[#This Row],[DISC 2-]]+NOTA[[#This Row],[DISC 3-]])</f>
        <v/>
      </c>
      <c r="AC679" s="37" t="str">
        <f>IF(NOTA[[#This Row],[JUMLAH]]="","",NOTA[[#This Row],[JUMLAH]]-NOTA[[#This Row],[DISC]])</f>
        <v/>
      </c>
      <c r="AD679" s="37"/>
      <c r="AE6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9" s="37" t="str">
        <f>IF(OR(NOTA[[#This Row],[QTY]]="",NOTA[[#This Row],[HARGA SATUAN]]="",),"",NOTA[[#This Row],[QTY]]*NOTA[[#This Row],[HARGA SATUAN]])</f>
        <v/>
      </c>
      <c r="AI679" s="26" t="str">
        <f ca="1">IF(NOTA[[#This Row],[ID_H]]="","",INDEX(NOTA[TANGGAL],MATCH(,INDIRECT(ADDRESS(ROW(NOTA[TANGGAL]),COLUMN(NOTA[TANGGAL]))&amp;":"&amp;ADDRESS(ROW(),COLUMN(NOTA[TANGGAL]))),-1)))</f>
        <v/>
      </c>
      <c r="AJ679" s="26" t="str">
        <f ca="1">IF(NOTA[[#This Row],[ID_H]]="","",INDEX(NOTA[TGL.NOTA],MATCH(,INDIRECT(ADDRESS(ROW(NOTA[TGL.NOTA]),COLUMN(NOTA[TGL.NOTA]))&amp;":"&amp;ADDRESS(ROW(),COLUMN(NOTA[TGL.NOTA]))),-1)))</f>
        <v/>
      </c>
      <c r="AK679" s="26" t="str">
        <f ca="1">IF(NOTA[[#This Row],[ID_H]]="","",INDEX(NOTA[NO.NOTA],MATCH(NOTA[[#This Row],[ID_H]],NOTA[ID_H],0)))</f>
        <v/>
      </c>
      <c r="AL679" s="28" t="str">
        <f ca="1">IF(NOTA[[#This Row],[NAMA BARANG]]="","",INDEX(NOTA[SUPPLIER],MATCH(,INDIRECT(ADDRESS(ROW(NOTA[ID]),COLUMN(NOTA[ID]))&amp;":"&amp;ADDRESS(ROW(),COLUMN(NOTA[ID]))),-1)))</f>
        <v/>
      </c>
      <c r="AM679" s="28" t="str">
        <f ca="1">IF(NOTA[[#This Row],[ID_H]]="","",IF(NOTA[[#This Row],[FAKTUR]]="",INDIRECT(ADDRESS(ROW()-1,COLUMN())),NOTA[[#This Row],[FAKTUR]]))</f>
        <v/>
      </c>
      <c r="AN679" s="25" t="str">
        <f ca="1">IF(NOTA[[#This Row],[ID]]="","",COUNTIF(NOTA[ID_H],NOTA[[#This Row],[ID_H]]))</f>
        <v/>
      </c>
      <c r="AO679" s="25" t="str">
        <f ca="1">IF(NOTA[[#This Row],[TGL.NOTA]]="",IF(NOTA[[#This Row],[SUPPLIER_H]]="","",AO678),MONTH(NOTA[[#This Row],[TGL.NOTA]]))</f>
        <v/>
      </c>
      <c r="AP6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9" s="25"/>
      <c r="AU679" s="25" t="str">
        <f>IF(NOTA[[#This Row],[CONCAT1]]="","",MATCH(NOTA[[#This Row],[CONCAT1]],[3]!db[NB NOTA_C],0))</f>
        <v/>
      </c>
      <c r="AV679" s="25" t="str">
        <f>IF(NOTA[[#This Row],[QTY/ CTN]]="","",TRUE)</f>
        <v/>
      </c>
      <c r="AW679" s="25" t="str">
        <f ca="1">IF(NOTA[[#This Row],[ID_H]]="","",IF(NOTA[[#This Row],[Column3]]=TRUE,NOTA[[#This Row],[QTY/ CTN]],INDEX([3]!db[QTY/ CTN],NOTA[[#This Row],[//DB]])))</f>
        <v/>
      </c>
      <c r="AX6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9" s="25" t="str">
        <f ca="1">IF(NOTA[[#This Row],[ID_H]]="","",MATCH(NOTA[[#This Row],[NB NOTA_C_QTY]],[3]!db[NB NOTA_C_QTY+F],0))</f>
        <v/>
      </c>
      <c r="AZ679" s="38" t="str">
        <f ca="1">IF(NOTA[[#This Row],[NB NOTA_C_QTY]]="","",ROW()-2)</f>
        <v/>
      </c>
    </row>
    <row r="680" spans="1:52" ht="20.100000000000001" customHeight="1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0" s="25" t="str">
        <f ca="1">IF(NOTA[[#This Row],[NAMA BARANG]]="","",INDEX(NOTA[ID],MATCH(,INDIRECT(ADDRESS(ROW(NOTA[ID]),COLUMN(NOTA[ID]))&amp;":"&amp;ADDRESS(ROW(),COLUMN(NOTA[ID]))),-1)))</f>
        <v/>
      </c>
      <c r="E680" s="33"/>
      <c r="H680" s="34"/>
      <c r="Q680" s="29"/>
      <c r="R680" s="35"/>
      <c r="S680" s="36"/>
      <c r="V680" s="37"/>
      <c r="W680" s="32"/>
      <c r="X680" s="37" t="str">
        <f>IF(NOTA[[#This Row],[HARGA/ CTN]]="",NOTA[[#This Row],[JUMLAH_H]],NOTA[[#This Row],[HARGA/ CTN]]*IF(NOTA[[#This Row],[C]]="",0,NOTA[[#This Row],[C]]))</f>
        <v/>
      </c>
      <c r="Y680" s="37" t="str">
        <f>IF(NOTA[[#This Row],[JUMLAH]]="","",NOTA[[#This Row],[JUMLAH]]*NOTA[[#This Row],[DISC 1]])</f>
        <v/>
      </c>
      <c r="Z680" s="37" t="str">
        <f>IF(NOTA[[#This Row],[JUMLAH]]="","",(NOTA[[#This Row],[JUMLAH]]-NOTA[[#This Row],[DISC 1-]])*NOTA[[#This Row],[DISC 2]])</f>
        <v/>
      </c>
      <c r="AA680" s="37" t="str">
        <f>IF(NOTA[[#This Row],[JUMLAH]]="","",(NOTA[[#This Row],[JUMLAH]]-NOTA[[#This Row],[DISC 1-]]-NOTA[[#This Row],[DISC 2-]])*NOTA[[#This Row],[DISC 3]])</f>
        <v/>
      </c>
      <c r="AB680" s="37" t="str">
        <f>IF(NOTA[[#This Row],[JUMLAH]]="","",NOTA[[#This Row],[DISC 1-]]+NOTA[[#This Row],[DISC 2-]]+NOTA[[#This Row],[DISC 3-]])</f>
        <v/>
      </c>
      <c r="AC680" s="37" t="str">
        <f>IF(NOTA[[#This Row],[JUMLAH]]="","",NOTA[[#This Row],[JUMLAH]]-NOTA[[#This Row],[DISC]])</f>
        <v/>
      </c>
      <c r="AD680" s="37"/>
      <c r="AE6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0" s="37" t="str">
        <f>IF(OR(NOTA[[#This Row],[QTY]]="",NOTA[[#This Row],[HARGA SATUAN]]="",),"",NOTA[[#This Row],[QTY]]*NOTA[[#This Row],[HARGA SATUAN]])</f>
        <v/>
      </c>
      <c r="AI680" s="26" t="str">
        <f ca="1">IF(NOTA[[#This Row],[ID_H]]="","",INDEX(NOTA[TANGGAL],MATCH(,INDIRECT(ADDRESS(ROW(NOTA[TANGGAL]),COLUMN(NOTA[TANGGAL]))&amp;":"&amp;ADDRESS(ROW(),COLUMN(NOTA[TANGGAL]))),-1)))</f>
        <v/>
      </c>
      <c r="AJ680" s="26" t="str">
        <f ca="1">IF(NOTA[[#This Row],[ID_H]]="","",INDEX(NOTA[TGL.NOTA],MATCH(,INDIRECT(ADDRESS(ROW(NOTA[TGL.NOTA]),COLUMN(NOTA[TGL.NOTA]))&amp;":"&amp;ADDRESS(ROW(),COLUMN(NOTA[TGL.NOTA]))),-1)))</f>
        <v/>
      </c>
      <c r="AK680" s="26" t="str">
        <f ca="1">IF(NOTA[[#This Row],[ID_H]]="","",INDEX(NOTA[NO.NOTA],MATCH(NOTA[[#This Row],[ID_H]],NOTA[ID_H],0)))</f>
        <v/>
      </c>
      <c r="AL680" s="28" t="str">
        <f ca="1">IF(NOTA[[#This Row],[NAMA BARANG]]="","",INDEX(NOTA[SUPPLIER],MATCH(,INDIRECT(ADDRESS(ROW(NOTA[ID]),COLUMN(NOTA[ID]))&amp;":"&amp;ADDRESS(ROW(),COLUMN(NOTA[ID]))),-1)))</f>
        <v/>
      </c>
      <c r="AM680" s="28" t="str">
        <f ca="1">IF(NOTA[[#This Row],[ID_H]]="","",IF(NOTA[[#This Row],[FAKTUR]]="",INDIRECT(ADDRESS(ROW()-1,COLUMN())),NOTA[[#This Row],[FAKTUR]]))</f>
        <v/>
      </c>
      <c r="AN680" s="25" t="str">
        <f ca="1">IF(NOTA[[#This Row],[ID]]="","",COUNTIF(NOTA[ID_H],NOTA[[#This Row],[ID_H]]))</f>
        <v/>
      </c>
      <c r="AO680" s="25" t="str">
        <f ca="1">IF(NOTA[[#This Row],[TGL.NOTA]]="",IF(NOTA[[#This Row],[SUPPLIER_H]]="","",AO679),MONTH(NOTA[[#This Row],[TGL.NOTA]]))</f>
        <v/>
      </c>
      <c r="AP6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0" s="25"/>
      <c r="AU680" s="25" t="str">
        <f>IF(NOTA[[#This Row],[CONCAT1]]="","",MATCH(NOTA[[#This Row],[CONCAT1]],[3]!db[NB NOTA_C],0))</f>
        <v/>
      </c>
      <c r="AV680" s="25" t="str">
        <f>IF(NOTA[[#This Row],[QTY/ CTN]]="","",TRUE)</f>
        <v/>
      </c>
      <c r="AW680" s="25" t="str">
        <f ca="1">IF(NOTA[[#This Row],[ID_H]]="","",IF(NOTA[[#This Row],[Column3]]=TRUE,NOTA[[#This Row],[QTY/ CTN]],INDEX([3]!db[QTY/ CTN],NOTA[[#This Row],[//DB]])))</f>
        <v/>
      </c>
      <c r="AX6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0" s="25" t="str">
        <f ca="1">IF(NOTA[[#This Row],[ID_H]]="","",MATCH(NOTA[[#This Row],[NB NOTA_C_QTY]],[3]!db[NB NOTA_C_QTY+F],0))</f>
        <v/>
      </c>
      <c r="AZ680" s="38" t="str">
        <f ca="1">IF(NOTA[[#This Row],[NB NOTA_C_QTY]]="","",ROW()-2)</f>
        <v/>
      </c>
    </row>
    <row r="681" spans="1:52" ht="20.100000000000001" customHeight="1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1" s="25" t="str">
        <f ca="1">IF(NOTA[[#This Row],[NAMA BARANG]]="","",INDEX(NOTA[ID],MATCH(,INDIRECT(ADDRESS(ROW(NOTA[ID]),COLUMN(NOTA[ID]))&amp;":"&amp;ADDRESS(ROW(),COLUMN(NOTA[ID]))),-1)))</f>
        <v/>
      </c>
      <c r="E681" s="33"/>
      <c r="H681" s="34"/>
      <c r="Q681" s="29"/>
      <c r="R681" s="35"/>
      <c r="S681" s="36"/>
      <c r="V681" s="37"/>
      <c r="W681" s="32"/>
      <c r="X681" s="37" t="str">
        <f>IF(NOTA[[#This Row],[HARGA/ CTN]]="",NOTA[[#This Row],[JUMLAH_H]],NOTA[[#This Row],[HARGA/ CTN]]*IF(NOTA[[#This Row],[C]]="",0,NOTA[[#This Row],[C]]))</f>
        <v/>
      </c>
      <c r="Y681" s="37" t="str">
        <f>IF(NOTA[[#This Row],[JUMLAH]]="","",NOTA[[#This Row],[JUMLAH]]*NOTA[[#This Row],[DISC 1]])</f>
        <v/>
      </c>
      <c r="Z681" s="37" t="str">
        <f>IF(NOTA[[#This Row],[JUMLAH]]="","",(NOTA[[#This Row],[JUMLAH]]-NOTA[[#This Row],[DISC 1-]])*NOTA[[#This Row],[DISC 2]])</f>
        <v/>
      </c>
      <c r="AA681" s="37" t="str">
        <f>IF(NOTA[[#This Row],[JUMLAH]]="","",(NOTA[[#This Row],[JUMLAH]]-NOTA[[#This Row],[DISC 1-]]-NOTA[[#This Row],[DISC 2-]])*NOTA[[#This Row],[DISC 3]])</f>
        <v/>
      </c>
      <c r="AB681" s="37" t="str">
        <f>IF(NOTA[[#This Row],[JUMLAH]]="","",NOTA[[#This Row],[DISC 1-]]+NOTA[[#This Row],[DISC 2-]]+NOTA[[#This Row],[DISC 3-]])</f>
        <v/>
      </c>
      <c r="AC681" s="37" t="str">
        <f>IF(NOTA[[#This Row],[JUMLAH]]="","",NOTA[[#This Row],[JUMLAH]]-NOTA[[#This Row],[DISC]])</f>
        <v/>
      </c>
      <c r="AD681" s="37"/>
      <c r="AE6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1" s="37" t="str">
        <f>IF(OR(NOTA[[#This Row],[QTY]]="",NOTA[[#This Row],[HARGA SATUAN]]="",),"",NOTA[[#This Row],[QTY]]*NOTA[[#This Row],[HARGA SATUAN]])</f>
        <v/>
      </c>
      <c r="AI681" s="26" t="str">
        <f ca="1">IF(NOTA[[#This Row],[ID_H]]="","",INDEX(NOTA[TANGGAL],MATCH(,INDIRECT(ADDRESS(ROW(NOTA[TANGGAL]),COLUMN(NOTA[TANGGAL]))&amp;":"&amp;ADDRESS(ROW(),COLUMN(NOTA[TANGGAL]))),-1)))</f>
        <v/>
      </c>
      <c r="AJ681" s="26" t="str">
        <f ca="1">IF(NOTA[[#This Row],[ID_H]]="","",INDEX(NOTA[TGL.NOTA],MATCH(,INDIRECT(ADDRESS(ROW(NOTA[TGL.NOTA]),COLUMN(NOTA[TGL.NOTA]))&amp;":"&amp;ADDRESS(ROW(),COLUMN(NOTA[TGL.NOTA]))),-1)))</f>
        <v/>
      </c>
      <c r="AK681" s="26" t="str">
        <f ca="1">IF(NOTA[[#This Row],[ID_H]]="","",INDEX(NOTA[NO.NOTA],MATCH(NOTA[[#This Row],[ID_H]],NOTA[ID_H],0)))</f>
        <v/>
      </c>
      <c r="AL681" s="28" t="str">
        <f ca="1">IF(NOTA[[#This Row],[NAMA BARANG]]="","",INDEX(NOTA[SUPPLIER],MATCH(,INDIRECT(ADDRESS(ROW(NOTA[ID]),COLUMN(NOTA[ID]))&amp;":"&amp;ADDRESS(ROW(),COLUMN(NOTA[ID]))),-1)))</f>
        <v/>
      </c>
      <c r="AM681" s="28" t="str">
        <f ca="1">IF(NOTA[[#This Row],[ID_H]]="","",IF(NOTA[[#This Row],[FAKTUR]]="",INDIRECT(ADDRESS(ROW()-1,COLUMN())),NOTA[[#This Row],[FAKTUR]]))</f>
        <v/>
      </c>
      <c r="AN681" s="25" t="str">
        <f ca="1">IF(NOTA[[#This Row],[ID]]="","",COUNTIF(NOTA[ID_H],NOTA[[#This Row],[ID_H]]))</f>
        <v/>
      </c>
      <c r="AO681" s="25" t="str">
        <f ca="1">IF(NOTA[[#This Row],[TGL.NOTA]]="",IF(NOTA[[#This Row],[SUPPLIER_H]]="","",AO680),MONTH(NOTA[[#This Row],[TGL.NOTA]]))</f>
        <v/>
      </c>
      <c r="AP6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1" s="25"/>
      <c r="AU681" s="25" t="str">
        <f>IF(NOTA[[#This Row],[CONCAT1]]="","",MATCH(NOTA[[#This Row],[CONCAT1]],[3]!db[NB NOTA_C],0))</f>
        <v/>
      </c>
      <c r="AV681" s="25" t="str">
        <f>IF(NOTA[[#This Row],[QTY/ CTN]]="","",TRUE)</f>
        <v/>
      </c>
      <c r="AW681" s="25" t="str">
        <f ca="1">IF(NOTA[[#This Row],[ID_H]]="","",IF(NOTA[[#This Row],[Column3]]=TRUE,NOTA[[#This Row],[QTY/ CTN]],INDEX([3]!db[QTY/ CTN],NOTA[[#This Row],[//DB]])))</f>
        <v/>
      </c>
      <c r="AX6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1" s="25" t="str">
        <f ca="1">IF(NOTA[[#This Row],[ID_H]]="","",MATCH(NOTA[[#This Row],[NB NOTA_C_QTY]],[3]!db[NB NOTA_C_QTY+F],0))</f>
        <v/>
      </c>
      <c r="AZ681" s="38" t="str">
        <f ca="1">IF(NOTA[[#This Row],[NB NOTA_C_QTY]]="","",ROW()-2)</f>
        <v/>
      </c>
    </row>
    <row r="682" spans="1:52" ht="20.100000000000001" customHeight="1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2" s="25" t="str">
        <f ca="1">IF(NOTA[[#This Row],[NAMA BARANG]]="","",INDEX(NOTA[ID],MATCH(,INDIRECT(ADDRESS(ROW(NOTA[ID]),COLUMN(NOTA[ID]))&amp;":"&amp;ADDRESS(ROW(),COLUMN(NOTA[ID]))),-1)))</f>
        <v/>
      </c>
      <c r="E682" s="33"/>
      <c r="H682" s="34"/>
      <c r="Q682" s="29"/>
      <c r="R682" s="35"/>
      <c r="S682" s="36"/>
      <c r="V682" s="37"/>
      <c r="W682" s="32"/>
      <c r="X682" s="37" t="str">
        <f>IF(NOTA[[#This Row],[HARGA/ CTN]]="",NOTA[[#This Row],[JUMLAH_H]],NOTA[[#This Row],[HARGA/ CTN]]*IF(NOTA[[#This Row],[C]]="",0,NOTA[[#This Row],[C]]))</f>
        <v/>
      </c>
      <c r="Y682" s="37" t="str">
        <f>IF(NOTA[[#This Row],[JUMLAH]]="","",NOTA[[#This Row],[JUMLAH]]*NOTA[[#This Row],[DISC 1]])</f>
        <v/>
      </c>
      <c r="Z682" s="37" t="str">
        <f>IF(NOTA[[#This Row],[JUMLAH]]="","",(NOTA[[#This Row],[JUMLAH]]-NOTA[[#This Row],[DISC 1-]])*NOTA[[#This Row],[DISC 2]])</f>
        <v/>
      </c>
      <c r="AA682" s="37" t="str">
        <f>IF(NOTA[[#This Row],[JUMLAH]]="","",(NOTA[[#This Row],[JUMLAH]]-NOTA[[#This Row],[DISC 1-]]-NOTA[[#This Row],[DISC 2-]])*NOTA[[#This Row],[DISC 3]])</f>
        <v/>
      </c>
      <c r="AB682" s="37" t="str">
        <f>IF(NOTA[[#This Row],[JUMLAH]]="","",NOTA[[#This Row],[DISC 1-]]+NOTA[[#This Row],[DISC 2-]]+NOTA[[#This Row],[DISC 3-]])</f>
        <v/>
      </c>
      <c r="AC682" s="37" t="str">
        <f>IF(NOTA[[#This Row],[JUMLAH]]="","",NOTA[[#This Row],[JUMLAH]]-NOTA[[#This Row],[DISC]])</f>
        <v/>
      </c>
      <c r="AD682" s="37"/>
      <c r="AE6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2" s="37" t="str">
        <f>IF(OR(NOTA[[#This Row],[QTY]]="",NOTA[[#This Row],[HARGA SATUAN]]="",),"",NOTA[[#This Row],[QTY]]*NOTA[[#This Row],[HARGA SATUAN]])</f>
        <v/>
      </c>
      <c r="AI682" s="26" t="str">
        <f ca="1">IF(NOTA[[#This Row],[ID_H]]="","",INDEX(NOTA[TANGGAL],MATCH(,INDIRECT(ADDRESS(ROW(NOTA[TANGGAL]),COLUMN(NOTA[TANGGAL]))&amp;":"&amp;ADDRESS(ROW(),COLUMN(NOTA[TANGGAL]))),-1)))</f>
        <v/>
      </c>
      <c r="AJ682" s="26" t="str">
        <f ca="1">IF(NOTA[[#This Row],[ID_H]]="","",INDEX(NOTA[TGL.NOTA],MATCH(,INDIRECT(ADDRESS(ROW(NOTA[TGL.NOTA]),COLUMN(NOTA[TGL.NOTA]))&amp;":"&amp;ADDRESS(ROW(),COLUMN(NOTA[TGL.NOTA]))),-1)))</f>
        <v/>
      </c>
      <c r="AK682" s="26" t="str">
        <f ca="1">IF(NOTA[[#This Row],[ID_H]]="","",INDEX(NOTA[NO.NOTA],MATCH(NOTA[[#This Row],[ID_H]],NOTA[ID_H],0)))</f>
        <v/>
      </c>
      <c r="AL682" s="28" t="str">
        <f ca="1">IF(NOTA[[#This Row],[NAMA BARANG]]="","",INDEX(NOTA[SUPPLIER],MATCH(,INDIRECT(ADDRESS(ROW(NOTA[ID]),COLUMN(NOTA[ID]))&amp;":"&amp;ADDRESS(ROW(),COLUMN(NOTA[ID]))),-1)))</f>
        <v/>
      </c>
      <c r="AM682" s="28" t="str">
        <f ca="1">IF(NOTA[[#This Row],[ID_H]]="","",IF(NOTA[[#This Row],[FAKTUR]]="",INDIRECT(ADDRESS(ROW()-1,COLUMN())),NOTA[[#This Row],[FAKTUR]]))</f>
        <v/>
      </c>
      <c r="AN682" s="25" t="str">
        <f ca="1">IF(NOTA[[#This Row],[ID]]="","",COUNTIF(NOTA[ID_H],NOTA[[#This Row],[ID_H]]))</f>
        <v/>
      </c>
      <c r="AO682" s="25" t="str">
        <f ca="1">IF(NOTA[[#This Row],[TGL.NOTA]]="",IF(NOTA[[#This Row],[SUPPLIER_H]]="","",AO681),MONTH(NOTA[[#This Row],[TGL.NOTA]]))</f>
        <v/>
      </c>
      <c r="AP6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2" s="25"/>
      <c r="AU682" s="25" t="str">
        <f>IF(NOTA[[#This Row],[CONCAT1]]="","",MATCH(NOTA[[#This Row],[CONCAT1]],[3]!db[NB NOTA_C],0))</f>
        <v/>
      </c>
      <c r="AV682" s="25" t="str">
        <f>IF(NOTA[[#This Row],[QTY/ CTN]]="","",TRUE)</f>
        <v/>
      </c>
      <c r="AW682" s="25" t="str">
        <f ca="1">IF(NOTA[[#This Row],[ID_H]]="","",IF(NOTA[[#This Row],[Column3]]=TRUE,NOTA[[#This Row],[QTY/ CTN]],INDEX([3]!db[QTY/ CTN],NOTA[[#This Row],[//DB]])))</f>
        <v/>
      </c>
      <c r="AX6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2" s="25" t="str">
        <f ca="1">IF(NOTA[[#This Row],[ID_H]]="","",MATCH(NOTA[[#This Row],[NB NOTA_C_QTY]],[3]!db[NB NOTA_C_QTY+F],0))</f>
        <v/>
      </c>
      <c r="AZ682" s="38" t="str">
        <f ca="1">IF(NOTA[[#This Row],[NB NOTA_C_QTY]]="","",ROW()-2)</f>
        <v/>
      </c>
    </row>
    <row r="683" spans="1:52" ht="20.100000000000001" customHeight="1">
      <c r="A6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3" s="25" t="str">
        <f ca="1">IF(NOTA[[#This Row],[NAMA BARANG]]="","",INDEX(NOTA[ID],MATCH(,INDIRECT(ADDRESS(ROW(NOTA[ID]),COLUMN(NOTA[ID]))&amp;":"&amp;ADDRESS(ROW(),COLUMN(NOTA[ID]))),-1)))</f>
        <v/>
      </c>
      <c r="E683" s="33"/>
      <c r="H683" s="34"/>
      <c r="Q683" s="29"/>
      <c r="R683" s="35"/>
      <c r="S683" s="36"/>
      <c r="V683" s="37"/>
      <c r="W683" s="32"/>
      <c r="X683" s="37" t="str">
        <f>IF(NOTA[[#This Row],[HARGA/ CTN]]="",NOTA[[#This Row],[JUMLAH_H]],NOTA[[#This Row],[HARGA/ CTN]]*IF(NOTA[[#This Row],[C]]="",0,NOTA[[#This Row],[C]]))</f>
        <v/>
      </c>
      <c r="Y683" s="37" t="str">
        <f>IF(NOTA[[#This Row],[JUMLAH]]="","",NOTA[[#This Row],[JUMLAH]]*NOTA[[#This Row],[DISC 1]])</f>
        <v/>
      </c>
      <c r="Z683" s="37" t="str">
        <f>IF(NOTA[[#This Row],[JUMLAH]]="","",(NOTA[[#This Row],[JUMLAH]]-NOTA[[#This Row],[DISC 1-]])*NOTA[[#This Row],[DISC 2]])</f>
        <v/>
      </c>
      <c r="AA683" s="37" t="str">
        <f>IF(NOTA[[#This Row],[JUMLAH]]="","",(NOTA[[#This Row],[JUMLAH]]-NOTA[[#This Row],[DISC 1-]]-NOTA[[#This Row],[DISC 2-]])*NOTA[[#This Row],[DISC 3]])</f>
        <v/>
      </c>
      <c r="AB683" s="37" t="str">
        <f>IF(NOTA[[#This Row],[JUMLAH]]="","",NOTA[[#This Row],[DISC 1-]]+NOTA[[#This Row],[DISC 2-]]+NOTA[[#This Row],[DISC 3-]])</f>
        <v/>
      </c>
      <c r="AC683" s="37" t="str">
        <f>IF(NOTA[[#This Row],[JUMLAH]]="","",NOTA[[#This Row],[JUMLAH]]-NOTA[[#This Row],[DISC]])</f>
        <v/>
      </c>
      <c r="AD683" s="37"/>
      <c r="AE6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3" s="37" t="str">
        <f>IF(OR(NOTA[[#This Row],[QTY]]="",NOTA[[#This Row],[HARGA SATUAN]]="",),"",NOTA[[#This Row],[QTY]]*NOTA[[#This Row],[HARGA SATUAN]])</f>
        <v/>
      </c>
      <c r="AI683" s="26" t="str">
        <f ca="1">IF(NOTA[[#This Row],[ID_H]]="","",INDEX(NOTA[TANGGAL],MATCH(,INDIRECT(ADDRESS(ROW(NOTA[TANGGAL]),COLUMN(NOTA[TANGGAL]))&amp;":"&amp;ADDRESS(ROW(),COLUMN(NOTA[TANGGAL]))),-1)))</f>
        <v/>
      </c>
      <c r="AJ683" s="26" t="str">
        <f ca="1">IF(NOTA[[#This Row],[ID_H]]="","",INDEX(NOTA[TGL.NOTA],MATCH(,INDIRECT(ADDRESS(ROW(NOTA[TGL.NOTA]),COLUMN(NOTA[TGL.NOTA]))&amp;":"&amp;ADDRESS(ROW(),COLUMN(NOTA[TGL.NOTA]))),-1)))</f>
        <v/>
      </c>
      <c r="AK683" s="26" t="str">
        <f ca="1">IF(NOTA[[#This Row],[ID_H]]="","",INDEX(NOTA[NO.NOTA],MATCH(NOTA[[#This Row],[ID_H]],NOTA[ID_H],0)))</f>
        <v/>
      </c>
      <c r="AL683" s="28" t="str">
        <f ca="1">IF(NOTA[[#This Row],[NAMA BARANG]]="","",INDEX(NOTA[SUPPLIER],MATCH(,INDIRECT(ADDRESS(ROW(NOTA[ID]),COLUMN(NOTA[ID]))&amp;":"&amp;ADDRESS(ROW(),COLUMN(NOTA[ID]))),-1)))</f>
        <v/>
      </c>
      <c r="AM683" s="28" t="str">
        <f ca="1">IF(NOTA[[#This Row],[ID_H]]="","",IF(NOTA[[#This Row],[FAKTUR]]="",INDIRECT(ADDRESS(ROW()-1,COLUMN())),NOTA[[#This Row],[FAKTUR]]))</f>
        <v/>
      </c>
      <c r="AN683" s="25" t="str">
        <f ca="1">IF(NOTA[[#This Row],[ID]]="","",COUNTIF(NOTA[ID_H],NOTA[[#This Row],[ID_H]]))</f>
        <v/>
      </c>
      <c r="AO683" s="25" t="str">
        <f ca="1">IF(NOTA[[#This Row],[TGL.NOTA]]="",IF(NOTA[[#This Row],[SUPPLIER_H]]="","",AO682),MONTH(NOTA[[#This Row],[TGL.NOTA]]))</f>
        <v/>
      </c>
      <c r="AP6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3" s="25"/>
      <c r="AU683" s="25" t="str">
        <f>IF(NOTA[[#This Row],[CONCAT1]]="","",MATCH(NOTA[[#This Row],[CONCAT1]],[3]!db[NB NOTA_C],0))</f>
        <v/>
      </c>
      <c r="AV683" s="25" t="str">
        <f>IF(NOTA[[#This Row],[QTY/ CTN]]="","",TRUE)</f>
        <v/>
      </c>
      <c r="AW683" s="25" t="str">
        <f ca="1">IF(NOTA[[#This Row],[ID_H]]="","",IF(NOTA[[#This Row],[Column3]]=TRUE,NOTA[[#This Row],[QTY/ CTN]],INDEX([3]!db[QTY/ CTN],NOTA[[#This Row],[//DB]])))</f>
        <v/>
      </c>
      <c r="AX6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3" s="25" t="str">
        <f ca="1">IF(NOTA[[#This Row],[ID_H]]="","",MATCH(NOTA[[#This Row],[NB NOTA_C_QTY]],[3]!db[NB NOTA_C_QTY+F],0))</f>
        <v/>
      </c>
      <c r="AZ683" s="38" t="str">
        <f ca="1">IF(NOTA[[#This Row],[NB NOTA_C_QTY]]="","",ROW()-2)</f>
        <v/>
      </c>
    </row>
    <row r="684" spans="1:52" ht="20.100000000000001" customHeight="1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4" s="25" t="str">
        <f ca="1">IF(NOTA[[#This Row],[NAMA BARANG]]="","",INDEX(NOTA[ID],MATCH(,INDIRECT(ADDRESS(ROW(NOTA[ID]),COLUMN(NOTA[ID]))&amp;":"&amp;ADDRESS(ROW(),COLUMN(NOTA[ID]))),-1)))</f>
        <v/>
      </c>
      <c r="E684" s="33"/>
      <c r="H684" s="34"/>
      <c r="Q684" s="29"/>
      <c r="R684" s="35"/>
      <c r="S684" s="36"/>
      <c r="V684" s="37"/>
      <c r="W684" s="32"/>
      <c r="X684" s="37" t="str">
        <f>IF(NOTA[[#This Row],[HARGA/ CTN]]="",NOTA[[#This Row],[JUMLAH_H]],NOTA[[#This Row],[HARGA/ CTN]]*IF(NOTA[[#This Row],[C]]="",0,NOTA[[#This Row],[C]]))</f>
        <v/>
      </c>
      <c r="Y684" s="37" t="str">
        <f>IF(NOTA[[#This Row],[JUMLAH]]="","",NOTA[[#This Row],[JUMLAH]]*NOTA[[#This Row],[DISC 1]])</f>
        <v/>
      </c>
      <c r="Z684" s="37" t="str">
        <f>IF(NOTA[[#This Row],[JUMLAH]]="","",(NOTA[[#This Row],[JUMLAH]]-NOTA[[#This Row],[DISC 1-]])*NOTA[[#This Row],[DISC 2]])</f>
        <v/>
      </c>
      <c r="AA684" s="37" t="str">
        <f>IF(NOTA[[#This Row],[JUMLAH]]="","",(NOTA[[#This Row],[JUMLAH]]-NOTA[[#This Row],[DISC 1-]]-NOTA[[#This Row],[DISC 2-]])*NOTA[[#This Row],[DISC 3]])</f>
        <v/>
      </c>
      <c r="AB684" s="37" t="str">
        <f>IF(NOTA[[#This Row],[JUMLAH]]="","",NOTA[[#This Row],[DISC 1-]]+NOTA[[#This Row],[DISC 2-]]+NOTA[[#This Row],[DISC 3-]])</f>
        <v/>
      </c>
      <c r="AC684" s="37" t="str">
        <f>IF(NOTA[[#This Row],[JUMLAH]]="","",NOTA[[#This Row],[JUMLAH]]-NOTA[[#This Row],[DISC]])</f>
        <v/>
      </c>
      <c r="AD684" s="37"/>
      <c r="AE6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4" s="37" t="str">
        <f>IF(OR(NOTA[[#This Row],[QTY]]="",NOTA[[#This Row],[HARGA SATUAN]]="",),"",NOTA[[#This Row],[QTY]]*NOTA[[#This Row],[HARGA SATUAN]])</f>
        <v/>
      </c>
      <c r="AI684" s="26" t="str">
        <f ca="1">IF(NOTA[[#This Row],[ID_H]]="","",INDEX(NOTA[TANGGAL],MATCH(,INDIRECT(ADDRESS(ROW(NOTA[TANGGAL]),COLUMN(NOTA[TANGGAL]))&amp;":"&amp;ADDRESS(ROW(),COLUMN(NOTA[TANGGAL]))),-1)))</f>
        <v/>
      </c>
      <c r="AJ684" s="26" t="str">
        <f ca="1">IF(NOTA[[#This Row],[ID_H]]="","",INDEX(NOTA[TGL.NOTA],MATCH(,INDIRECT(ADDRESS(ROW(NOTA[TGL.NOTA]),COLUMN(NOTA[TGL.NOTA]))&amp;":"&amp;ADDRESS(ROW(),COLUMN(NOTA[TGL.NOTA]))),-1)))</f>
        <v/>
      </c>
      <c r="AK684" s="26" t="str">
        <f ca="1">IF(NOTA[[#This Row],[ID_H]]="","",INDEX(NOTA[NO.NOTA],MATCH(NOTA[[#This Row],[ID_H]],NOTA[ID_H],0)))</f>
        <v/>
      </c>
      <c r="AL684" s="28" t="str">
        <f ca="1">IF(NOTA[[#This Row],[NAMA BARANG]]="","",INDEX(NOTA[SUPPLIER],MATCH(,INDIRECT(ADDRESS(ROW(NOTA[ID]),COLUMN(NOTA[ID]))&amp;":"&amp;ADDRESS(ROW(),COLUMN(NOTA[ID]))),-1)))</f>
        <v/>
      </c>
      <c r="AM684" s="28" t="str">
        <f ca="1">IF(NOTA[[#This Row],[ID_H]]="","",IF(NOTA[[#This Row],[FAKTUR]]="",INDIRECT(ADDRESS(ROW()-1,COLUMN())),NOTA[[#This Row],[FAKTUR]]))</f>
        <v/>
      </c>
      <c r="AN684" s="25" t="str">
        <f ca="1">IF(NOTA[[#This Row],[ID]]="","",COUNTIF(NOTA[ID_H],NOTA[[#This Row],[ID_H]]))</f>
        <v/>
      </c>
      <c r="AO684" s="25" t="str">
        <f ca="1">IF(NOTA[[#This Row],[TGL.NOTA]]="",IF(NOTA[[#This Row],[SUPPLIER_H]]="","",AO683),MONTH(NOTA[[#This Row],[TGL.NOTA]]))</f>
        <v/>
      </c>
      <c r="AP6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4" s="25"/>
      <c r="AU684" s="25" t="str">
        <f>IF(NOTA[[#This Row],[CONCAT1]]="","",MATCH(NOTA[[#This Row],[CONCAT1]],[3]!db[NB NOTA_C],0))</f>
        <v/>
      </c>
      <c r="AV684" s="25" t="str">
        <f>IF(NOTA[[#This Row],[QTY/ CTN]]="","",TRUE)</f>
        <v/>
      </c>
      <c r="AW684" s="25" t="str">
        <f ca="1">IF(NOTA[[#This Row],[ID_H]]="","",IF(NOTA[[#This Row],[Column3]]=TRUE,NOTA[[#This Row],[QTY/ CTN]],INDEX([3]!db[QTY/ CTN],NOTA[[#This Row],[//DB]])))</f>
        <v/>
      </c>
      <c r="AX6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4" s="25" t="str">
        <f ca="1">IF(NOTA[[#This Row],[ID_H]]="","",MATCH(NOTA[[#This Row],[NB NOTA_C_QTY]],[3]!db[NB NOTA_C_QTY+F],0))</f>
        <v/>
      </c>
      <c r="AZ684" s="38" t="str">
        <f ca="1">IF(NOTA[[#This Row],[NB NOTA_C_QTY]]="","",ROW()-2)</f>
        <v/>
      </c>
    </row>
    <row r="685" spans="1:52" ht="20.100000000000001" customHeight="1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5" s="25" t="str">
        <f ca="1">IF(NOTA[[#This Row],[NAMA BARANG]]="","",INDEX(NOTA[ID],MATCH(,INDIRECT(ADDRESS(ROW(NOTA[ID]),COLUMN(NOTA[ID]))&amp;":"&amp;ADDRESS(ROW(),COLUMN(NOTA[ID]))),-1)))</f>
        <v/>
      </c>
      <c r="E685" s="33"/>
      <c r="H685" s="34"/>
      <c r="Q685" s="29"/>
      <c r="R685" s="35"/>
      <c r="S685" s="36"/>
      <c r="V685" s="37"/>
      <c r="W685" s="32"/>
      <c r="X685" s="37" t="str">
        <f>IF(NOTA[[#This Row],[HARGA/ CTN]]="",NOTA[[#This Row],[JUMLAH_H]],NOTA[[#This Row],[HARGA/ CTN]]*IF(NOTA[[#This Row],[C]]="",0,NOTA[[#This Row],[C]]))</f>
        <v/>
      </c>
      <c r="Y685" s="37" t="str">
        <f>IF(NOTA[[#This Row],[JUMLAH]]="","",NOTA[[#This Row],[JUMLAH]]*NOTA[[#This Row],[DISC 1]])</f>
        <v/>
      </c>
      <c r="Z685" s="37" t="str">
        <f>IF(NOTA[[#This Row],[JUMLAH]]="","",(NOTA[[#This Row],[JUMLAH]]-NOTA[[#This Row],[DISC 1-]])*NOTA[[#This Row],[DISC 2]])</f>
        <v/>
      </c>
      <c r="AA685" s="37" t="str">
        <f>IF(NOTA[[#This Row],[JUMLAH]]="","",(NOTA[[#This Row],[JUMLAH]]-NOTA[[#This Row],[DISC 1-]]-NOTA[[#This Row],[DISC 2-]])*NOTA[[#This Row],[DISC 3]])</f>
        <v/>
      </c>
      <c r="AB685" s="37" t="str">
        <f>IF(NOTA[[#This Row],[JUMLAH]]="","",NOTA[[#This Row],[DISC 1-]]+NOTA[[#This Row],[DISC 2-]]+NOTA[[#This Row],[DISC 3-]])</f>
        <v/>
      </c>
      <c r="AC685" s="37" t="str">
        <f>IF(NOTA[[#This Row],[JUMLAH]]="","",NOTA[[#This Row],[JUMLAH]]-NOTA[[#This Row],[DISC]])</f>
        <v/>
      </c>
      <c r="AD685" s="37"/>
      <c r="AE6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5" s="37" t="str">
        <f>IF(OR(NOTA[[#This Row],[QTY]]="",NOTA[[#This Row],[HARGA SATUAN]]="",),"",NOTA[[#This Row],[QTY]]*NOTA[[#This Row],[HARGA SATUAN]])</f>
        <v/>
      </c>
      <c r="AI685" s="26" t="str">
        <f ca="1">IF(NOTA[[#This Row],[ID_H]]="","",INDEX(NOTA[TANGGAL],MATCH(,INDIRECT(ADDRESS(ROW(NOTA[TANGGAL]),COLUMN(NOTA[TANGGAL]))&amp;":"&amp;ADDRESS(ROW(),COLUMN(NOTA[TANGGAL]))),-1)))</f>
        <v/>
      </c>
      <c r="AJ685" s="26" t="str">
        <f ca="1">IF(NOTA[[#This Row],[ID_H]]="","",INDEX(NOTA[TGL.NOTA],MATCH(,INDIRECT(ADDRESS(ROW(NOTA[TGL.NOTA]),COLUMN(NOTA[TGL.NOTA]))&amp;":"&amp;ADDRESS(ROW(),COLUMN(NOTA[TGL.NOTA]))),-1)))</f>
        <v/>
      </c>
      <c r="AK685" s="26" t="str">
        <f ca="1">IF(NOTA[[#This Row],[ID_H]]="","",INDEX(NOTA[NO.NOTA],MATCH(NOTA[[#This Row],[ID_H]],NOTA[ID_H],0)))</f>
        <v/>
      </c>
      <c r="AL685" s="28" t="str">
        <f ca="1">IF(NOTA[[#This Row],[NAMA BARANG]]="","",INDEX(NOTA[SUPPLIER],MATCH(,INDIRECT(ADDRESS(ROW(NOTA[ID]),COLUMN(NOTA[ID]))&amp;":"&amp;ADDRESS(ROW(),COLUMN(NOTA[ID]))),-1)))</f>
        <v/>
      </c>
      <c r="AM685" s="28" t="str">
        <f ca="1">IF(NOTA[[#This Row],[ID_H]]="","",IF(NOTA[[#This Row],[FAKTUR]]="",INDIRECT(ADDRESS(ROW()-1,COLUMN())),NOTA[[#This Row],[FAKTUR]]))</f>
        <v/>
      </c>
      <c r="AN685" s="25" t="str">
        <f ca="1">IF(NOTA[[#This Row],[ID]]="","",COUNTIF(NOTA[ID_H],NOTA[[#This Row],[ID_H]]))</f>
        <v/>
      </c>
      <c r="AO685" s="25" t="str">
        <f ca="1">IF(NOTA[[#This Row],[TGL.NOTA]]="",IF(NOTA[[#This Row],[SUPPLIER_H]]="","",AO684),MONTH(NOTA[[#This Row],[TGL.NOTA]]))</f>
        <v/>
      </c>
      <c r="AP6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5" s="25"/>
      <c r="AU685" s="25" t="str">
        <f>IF(NOTA[[#This Row],[CONCAT1]]="","",MATCH(NOTA[[#This Row],[CONCAT1]],[3]!db[NB NOTA_C],0))</f>
        <v/>
      </c>
      <c r="AV685" s="25" t="str">
        <f>IF(NOTA[[#This Row],[QTY/ CTN]]="","",TRUE)</f>
        <v/>
      </c>
      <c r="AW685" s="25" t="str">
        <f ca="1">IF(NOTA[[#This Row],[ID_H]]="","",IF(NOTA[[#This Row],[Column3]]=TRUE,NOTA[[#This Row],[QTY/ CTN]],INDEX([3]!db[QTY/ CTN],NOTA[[#This Row],[//DB]])))</f>
        <v/>
      </c>
      <c r="AX6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5" s="25" t="str">
        <f ca="1">IF(NOTA[[#This Row],[ID_H]]="","",MATCH(NOTA[[#This Row],[NB NOTA_C_QTY]],[3]!db[NB NOTA_C_QTY+F],0))</f>
        <v/>
      </c>
      <c r="AZ685" s="38" t="str">
        <f ca="1">IF(NOTA[[#This Row],[NB NOTA_C_QTY]]="","",ROW()-2)</f>
        <v/>
      </c>
    </row>
    <row r="686" spans="1:52" ht="20.100000000000001" customHeight="1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6" s="25" t="str">
        <f ca="1">IF(NOTA[[#This Row],[NAMA BARANG]]="","",INDEX(NOTA[ID],MATCH(,INDIRECT(ADDRESS(ROW(NOTA[ID]),COLUMN(NOTA[ID]))&amp;":"&amp;ADDRESS(ROW(),COLUMN(NOTA[ID]))),-1)))</f>
        <v/>
      </c>
      <c r="E686" s="33"/>
      <c r="H686" s="34"/>
      <c r="Q686" s="29"/>
      <c r="R686" s="35"/>
      <c r="S686" s="36"/>
      <c r="V686" s="37"/>
      <c r="W686" s="32"/>
      <c r="X686" s="37" t="str">
        <f>IF(NOTA[[#This Row],[HARGA/ CTN]]="",NOTA[[#This Row],[JUMLAH_H]],NOTA[[#This Row],[HARGA/ CTN]]*IF(NOTA[[#This Row],[C]]="",0,NOTA[[#This Row],[C]]))</f>
        <v/>
      </c>
      <c r="Y686" s="37" t="str">
        <f>IF(NOTA[[#This Row],[JUMLAH]]="","",NOTA[[#This Row],[JUMLAH]]*NOTA[[#This Row],[DISC 1]])</f>
        <v/>
      </c>
      <c r="Z686" s="37" t="str">
        <f>IF(NOTA[[#This Row],[JUMLAH]]="","",(NOTA[[#This Row],[JUMLAH]]-NOTA[[#This Row],[DISC 1-]])*NOTA[[#This Row],[DISC 2]])</f>
        <v/>
      </c>
      <c r="AA686" s="37" t="str">
        <f>IF(NOTA[[#This Row],[JUMLAH]]="","",(NOTA[[#This Row],[JUMLAH]]-NOTA[[#This Row],[DISC 1-]]-NOTA[[#This Row],[DISC 2-]])*NOTA[[#This Row],[DISC 3]])</f>
        <v/>
      </c>
      <c r="AB686" s="37" t="str">
        <f>IF(NOTA[[#This Row],[JUMLAH]]="","",NOTA[[#This Row],[DISC 1-]]+NOTA[[#This Row],[DISC 2-]]+NOTA[[#This Row],[DISC 3-]])</f>
        <v/>
      </c>
      <c r="AC686" s="37" t="str">
        <f>IF(NOTA[[#This Row],[JUMLAH]]="","",NOTA[[#This Row],[JUMLAH]]-NOTA[[#This Row],[DISC]])</f>
        <v/>
      </c>
      <c r="AD686" s="37"/>
      <c r="AE6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6" s="37" t="str">
        <f>IF(OR(NOTA[[#This Row],[QTY]]="",NOTA[[#This Row],[HARGA SATUAN]]="",),"",NOTA[[#This Row],[QTY]]*NOTA[[#This Row],[HARGA SATUAN]])</f>
        <v/>
      </c>
      <c r="AI686" s="26" t="str">
        <f ca="1">IF(NOTA[[#This Row],[ID_H]]="","",INDEX(NOTA[TANGGAL],MATCH(,INDIRECT(ADDRESS(ROW(NOTA[TANGGAL]),COLUMN(NOTA[TANGGAL]))&amp;":"&amp;ADDRESS(ROW(),COLUMN(NOTA[TANGGAL]))),-1)))</f>
        <v/>
      </c>
      <c r="AJ686" s="26" t="str">
        <f ca="1">IF(NOTA[[#This Row],[ID_H]]="","",INDEX(NOTA[TGL.NOTA],MATCH(,INDIRECT(ADDRESS(ROW(NOTA[TGL.NOTA]),COLUMN(NOTA[TGL.NOTA]))&amp;":"&amp;ADDRESS(ROW(),COLUMN(NOTA[TGL.NOTA]))),-1)))</f>
        <v/>
      </c>
      <c r="AK686" s="26" t="str">
        <f ca="1">IF(NOTA[[#This Row],[ID_H]]="","",INDEX(NOTA[NO.NOTA],MATCH(NOTA[[#This Row],[ID_H]],NOTA[ID_H],0)))</f>
        <v/>
      </c>
      <c r="AL686" s="28" t="str">
        <f ca="1">IF(NOTA[[#This Row],[NAMA BARANG]]="","",INDEX(NOTA[SUPPLIER],MATCH(,INDIRECT(ADDRESS(ROW(NOTA[ID]),COLUMN(NOTA[ID]))&amp;":"&amp;ADDRESS(ROW(),COLUMN(NOTA[ID]))),-1)))</f>
        <v/>
      </c>
      <c r="AM686" s="28" t="str">
        <f ca="1">IF(NOTA[[#This Row],[ID_H]]="","",IF(NOTA[[#This Row],[FAKTUR]]="",INDIRECT(ADDRESS(ROW()-1,COLUMN())),NOTA[[#This Row],[FAKTUR]]))</f>
        <v/>
      </c>
      <c r="AN686" s="25" t="str">
        <f ca="1">IF(NOTA[[#This Row],[ID]]="","",COUNTIF(NOTA[ID_H],NOTA[[#This Row],[ID_H]]))</f>
        <v/>
      </c>
      <c r="AO686" s="25" t="str">
        <f ca="1">IF(NOTA[[#This Row],[TGL.NOTA]]="",IF(NOTA[[#This Row],[SUPPLIER_H]]="","",AO685),MONTH(NOTA[[#This Row],[TGL.NOTA]]))</f>
        <v/>
      </c>
      <c r="AP6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6" s="25"/>
      <c r="AU686" s="25" t="str">
        <f>IF(NOTA[[#This Row],[CONCAT1]]="","",MATCH(NOTA[[#This Row],[CONCAT1]],[3]!db[NB NOTA_C],0))</f>
        <v/>
      </c>
      <c r="AV686" s="25" t="str">
        <f>IF(NOTA[[#This Row],[QTY/ CTN]]="","",TRUE)</f>
        <v/>
      </c>
      <c r="AW686" s="25" t="str">
        <f ca="1">IF(NOTA[[#This Row],[ID_H]]="","",IF(NOTA[[#This Row],[Column3]]=TRUE,NOTA[[#This Row],[QTY/ CTN]],INDEX([3]!db[QTY/ CTN],NOTA[[#This Row],[//DB]])))</f>
        <v/>
      </c>
      <c r="AX6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6" s="25" t="str">
        <f ca="1">IF(NOTA[[#This Row],[ID_H]]="","",MATCH(NOTA[[#This Row],[NB NOTA_C_QTY]],[3]!db[NB NOTA_C_QTY+F],0))</f>
        <v/>
      </c>
      <c r="AZ686" s="38" t="str">
        <f ca="1">IF(NOTA[[#This Row],[NB NOTA_C_QTY]]="","",ROW()-2)</f>
        <v/>
      </c>
    </row>
    <row r="687" spans="1:52" ht="20.100000000000001" customHeight="1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7" s="25" t="str">
        <f ca="1">IF(NOTA[[#This Row],[NAMA BARANG]]="","",INDEX(NOTA[ID],MATCH(,INDIRECT(ADDRESS(ROW(NOTA[ID]),COLUMN(NOTA[ID]))&amp;":"&amp;ADDRESS(ROW(),COLUMN(NOTA[ID]))),-1)))</f>
        <v/>
      </c>
      <c r="E687" s="33"/>
      <c r="H687" s="34"/>
      <c r="Q687" s="29"/>
      <c r="R687" s="35"/>
      <c r="S687" s="36"/>
      <c r="V687" s="37"/>
      <c r="W687" s="32"/>
      <c r="X687" s="37" t="str">
        <f>IF(NOTA[[#This Row],[HARGA/ CTN]]="",NOTA[[#This Row],[JUMLAH_H]],NOTA[[#This Row],[HARGA/ CTN]]*IF(NOTA[[#This Row],[C]]="",0,NOTA[[#This Row],[C]]))</f>
        <v/>
      </c>
      <c r="Y687" s="37" t="str">
        <f>IF(NOTA[[#This Row],[JUMLAH]]="","",NOTA[[#This Row],[JUMLAH]]*NOTA[[#This Row],[DISC 1]])</f>
        <v/>
      </c>
      <c r="Z687" s="37" t="str">
        <f>IF(NOTA[[#This Row],[JUMLAH]]="","",(NOTA[[#This Row],[JUMLAH]]-NOTA[[#This Row],[DISC 1-]])*NOTA[[#This Row],[DISC 2]])</f>
        <v/>
      </c>
      <c r="AA687" s="37" t="str">
        <f>IF(NOTA[[#This Row],[JUMLAH]]="","",(NOTA[[#This Row],[JUMLAH]]-NOTA[[#This Row],[DISC 1-]]-NOTA[[#This Row],[DISC 2-]])*NOTA[[#This Row],[DISC 3]])</f>
        <v/>
      </c>
      <c r="AB687" s="37" t="str">
        <f>IF(NOTA[[#This Row],[JUMLAH]]="","",NOTA[[#This Row],[DISC 1-]]+NOTA[[#This Row],[DISC 2-]]+NOTA[[#This Row],[DISC 3-]])</f>
        <v/>
      </c>
      <c r="AC687" s="37" t="str">
        <f>IF(NOTA[[#This Row],[JUMLAH]]="","",NOTA[[#This Row],[JUMLAH]]-NOTA[[#This Row],[DISC]])</f>
        <v/>
      </c>
      <c r="AD687" s="37"/>
      <c r="AE6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7" s="37" t="str">
        <f>IF(OR(NOTA[[#This Row],[QTY]]="",NOTA[[#This Row],[HARGA SATUAN]]="",),"",NOTA[[#This Row],[QTY]]*NOTA[[#This Row],[HARGA SATUAN]])</f>
        <v/>
      </c>
      <c r="AI687" s="26" t="str">
        <f ca="1">IF(NOTA[[#This Row],[ID_H]]="","",INDEX(NOTA[TANGGAL],MATCH(,INDIRECT(ADDRESS(ROW(NOTA[TANGGAL]),COLUMN(NOTA[TANGGAL]))&amp;":"&amp;ADDRESS(ROW(),COLUMN(NOTA[TANGGAL]))),-1)))</f>
        <v/>
      </c>
      <c r="AJ687" s="26" t="str">
        <f ca="1">IF(NOTA[[#This Row],[ID_H]]="","",INDEX(NOTA[TGL.NOTA],MATCH(,INDIRECT(ADDRESS(ROW(NOTA[TGL.NOTA]),COLUMN(NOTA[TGL.NOTA]))&amp;":"&amp;ADDRESS(ROW(),COLUMN(NOTA[TGL.NOTA]))),-1)))</f>
        <v/>
      </c>
      <c r="AK687" s="26" t="str">
        <f ca="1">IF(NOTA[[#This Row],[ID_H]]="","",INDEX(NOTA[NO.NOTA],MATCH(NOTA[[#This Row],[ID_H]],NOTA[ID_H],0)))</f>
        <v/>
      </c>
      <c r="AL687" s="28" t="str">
        <f ca="1">IF(NOTA[[#This Row],[NAMA BARANG]]="","",INDEX(NOTA[SUPPLIER],MATCH(,INDIRECT(ADDRESS(ROW(NOTA[ID]),COLUMN(NOTA[ID]))&amp;":"&amp;ADDRESS(ROW(),COLUMN(NOTA[ID]))),-1)))</f>
        <v/>
      </c>
      <c r="AM687" s="28" t="str">
        <f ca="1">IF(NOTA[[#This Row],[ID_H]]="","",IF(NOTA[[#This Row],[FAKTUR]]="",INDIRECT(ADDRESS(ROW()-1,COLUMN())),NOTA[[#This Row],[FAKTUR]]))</f>
        <v/>
      </c>
      <c r="AN687" s="25" t="str">
        <f ca="1">IF(NOTA[[#This Row],[ID]]="","",COUNTIF(NOTA[ID_H],NOTA[[#This Row],[ID_H]]))</f>
        <v/>
      </c>
      <c r="AO687" s="25" t="str">
        <f ca="1">IF(NOTA[[#This Row],[TGL.NOTA]]="",IF(NOTA[[#This Row],[SUPPLIER_H]]="","",AO686),MONTH(NOTA[[#This Row],[TGL.NOTA]]))</f>
        <v/>
      </c>
      <c r="AP6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7" s="25"/>
      <c r="AU687" s="25" t="str">
        <f>IF(NOTA[[#This Row],[CONCAT1]]="","",MATCH(NOTA[[#This Row],[CONCAT1]],[3]!db[NB NOTA_C],0))</f>
        <v/>
      </c>
      <c r="AV687" s="25" t="str">
        <f>IF(NOTA[[#This Row],[QTY/ CTN]]="","",TRUE)</f>
        <v/>
      </c>
      <c r="AW687" s="25" t="str">
        <f ca="1">IF(NOTA[[#This Row],[ID_H]]="","",IF(NOTA[[#This Row],[Column3]]=TRUE,NOTA[[#This Row],[QTY/ CTN]],INDEX([3]!db[QTY/ CTN],NOTA[[#This Row],[//DB]])))</f>
        <v/>
      </c>
      <c r="AX6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7" s="25" t="str">
        <f ca="1">IF(NOTA[[#This Row],[ID_H]]="","",MATCH(NOTA[[#This Row],[NB NOTA_C_QTY]],[3]!db[NB NOTA_C_QTY+F],0))</f>
        <v/>
      </c>
      <c r="AZ687" s="38" t="str">
        <f ca="1">IF(NOTA[[#This Row],[NB NOTA_C_QTY]]="","",ROW()-2)</f>
        <v/>
      </c>
    </row>
    <row r="688" spans="1:52" ht="20.100000000000001" customHeight="1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8" s="25" t="str">
        <f ca="1">IF(NOTA[[#This Row],[NAMA BARANG]]="","",INDEX(NOTA[ID],MATCH(,INDIRECT(ADDRESS(ROW(NOTA[ID]),COLUMN(NOTA[ID]))&amp;":"&amp;ADDRESS(ROW(),COLUMN(NOTA[ID]))),-1)))</f>
        <v/>
      </c>
      <c r="E688" s="33"/>
      <c r="H688" s="34"/>
      <c r="Q688" s="29"/>
      <c r="R688" s="35"/>
      <c r="S688" s="36"/>
      <c r="V688" s="37"/>
      <c r="W688" s="32"/>
      <c r="X688" s="37" t="str">
        <f>IF(NOTA[[#This Row],[HARGA/ CTN]]="",NOTA[[#This Row],[JUMLAH_H]],NOTA[[#This Row],[HARGA/ CTN]]*IF(NOTA[[#This Row],[C]]="",0,NOTA[[#This Row],[C]]))</f>
        <v/>
      </c>
      <c r="Y688" s="37" t="str">
        <f>IF(NOTA[[#This Row],[JUMLAH]]="","",NOTA[[#This Row],[JUMLAH]]*NOTA[[#This Row],[DISC 1]])</f>
        <v/>
      </c>
      <c r="Z688" s="37" t="str">
        <f>IF(NOTA[[#This Row],[JUMLAH]]="","",(NOTA[[#This Row],[JUMLAH]]-NOTA[[#This Row],[DISC 1-]])*NOTA[[#This Row],[DISC 2]])</f>
        <v/>
      </c>
      <c r="AA688" s="37" t="str">
        <f>IF(NOTA[[#This Row],[JUMLAH]]="","",(NOTA[[#This Row],[JUMLAH]]-NOTA[[#This Row],[DISC 1-]]-NOTA[[#This Row],[DISC 2-]])*NOTA[[#This Row],[DISC 3]])</f>
        <v/>
      </c>
      <c r="AB688" s="37" t="str">
        <f>IF(NOTA[[#This Row],[JUMLAH]]="","",NOTA[[#This Row],[DISC 1-]]+NOTA[[#This Row],[DISC 2-]]+NOTA[[#This Row],[DISC 3-]])</f>
        <v/>
      </c>
      <c r="AC688" s="37" t="str">
        <f>IF(NOTA[[#This Row],[JUMLAH]]="","",NOTA[[#This Row],[JUMLAH]]-NOTA[[#This Row],[DISC]])</f>
        <v/>
      </c>
      <c r="AD688" s="37"/>
      <c r="AE6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8" s="37" t="str">
        <f>IF(OR(NOTA[[#This Row],[QTY]]="",NOTA[[#This Row],[HARGA SATUAN]]="",),"",NOTA[[#This Row],[QTY]]*NOTA[[#This Row],[HARGA SATUAN]])</f>
        <v/>
      </c>
      <c r="AI688" s="26" t="str">
        <f ca="1">IF(NOTA[[#This Row],[ID_H]]="","",INDEX(NOTA[TANGGAL],MATCH(,INDIRECT(ADDRESS(ROW(NOTA[TANGGAL]),COLUMN(NOTA[TANGGAL]))&amp;":"&amp;ADDRESS(ROW(),COLUMN(NOTA[TANGGAL]))),-1)))</f>
        <v/>
      </c>
      <c r="AJ688" s="26" t="str">
        <f ca="1">IF(NOTA[[#This Row],[ID_H]]="","",INDEX(NOTA[TGL.NOTA],MATCH(,INDIRECT(ADDRESS(ROW(NOTA[TGL.NOTA]),COLUMN(NOTA[TGL.NOTA]))&amp;":"&amp;ADDRESS(ROW(),COLUMN(NOTA[TGL.NOTA]))),-1)))</f>
        <v/>
      </c>
      <c r="AK688" s="26" t="str">
        <f ca="1">IF(NOTA[[#This Row],[ID_H]]="","",INDEX(NOTA[NO.NOTA],MATCH(NOTA[[#This Row],[ID_H]],NOTA[ID_H],0)))</f>
        <v/>
      </c>
      <c r="AL688" s="28" t="str">
        <f ca="1">IF(NOTA[[#This Row],[NAMA BARANG]]="","",INDEX(NOTA[SUPPLIER],MATCH(,INDIRECT(ADDRESS(ROW(NOTA[ID]),COLUMN(NOTA[ID]))&amp;":"&amp;ADDRESS(ROW(),COLUMN(NOTA[ID]))),-1)))</f>
        <v/>
      </c>
      <c r="AM688" s="28" t="str">
        <f ca="1">IF(NOTA[[#This Row],[ID_H]]="","",IF(NOTA[[#This Row],[FAKTUR]]="",INDIRECT(ADDRESS(ROW()-1,COLUMN())),NOTA[[#This Row],[FAKTUR]]))</f>
        <v/>
      </c>
      <c r="AN688" s="25" t="str">
        <f ca="1">IF(NOTA[[#This Row],[ID]]="","",COUNTIF(NOTA[ID_H],NOTA[[#This Row],[ID_H]]))</f>
        <v/>
      </c>
      <c r="AO688" s="25" t="str">
        <f ca="1">IF(NOTA[[#This Row],[TGL.NOTA]]="",IF(NOTA[[#This Row],[SUPPLIER_H]]="","",AO687),MONTH(NOTA[[#This Row],[TGL.NOTA]]))</f>
        <v/>
      </c>
      <c r="AP6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8" s="25"/>
      <c r="AU688" s="25" t="str">
        <f>IF(NOTA[[#This Row],[CONCAT1]]="","",MATCH(NOTA[[#This Row],[CONCAT1]],[3]!db[NB NOTA_C],0))</f>
        <v/>
      </c>
      <c r="AV688" s="25" t="str">
        <f>IF(NOTA[[#This Row],[QTY/ CTN]]="","",TRUE)</f>
        <v/>
      </c>
      <c r="AW688" s="25" t="str">
        <f ca="1">IF(NOTA[[#This Row],[ID_H]]="","",IF(NOTA[[#This Row],[Column3]]=TRUE,NOTA[[#This Row],[QTY/ CTN]],INDEX([3]!db[QTY/ CTN],NOTA[[#This Row],[//DB]])))</f>
        <v/>
      </c>
      <c r="AX6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8" s="25" t="str">
        <f ca="1">IF(NOTA[[#This Row],[ID_H]]="","",MATCH(NOTA[[#This Row],[NB NOTA_C_QTY]],[3]!db[NB NOTA_C_QTY+F],0))</f>
        <v/>
      </c>
      <c r="AZ688" s="38" t="str">
        <f ca="1">IF(NOTA[[#This Row],[NB NOTA_C_QTY]]="","",ROW()-2)</f>
        <v/>
      </c>
    </row>
    <row r="689" spans="1:52" ht="20.100000000000001" customHeight="1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9" s="25" t="str">
        <f ca="1">IF(NOTA[[#This Row],[NAMA BARANG]]="","",INDEX(NOTA[ID],MATCH(,INDIRECT(ADDRESS(ROW(NOTA[ID]),COLUMN(NOTA[ID]))&amp;":"&amp;ADDRESS(ROW(),COLUMN(NOTA[ID]))),-1)))</f>
        <v/>
      </c>
      <c r="E689" s="33"/>
      <c r="H689" s="34"/>
      <c r="Q689" s="29"/>
      <c r="R689" s="35"/>
      <c r="S689" s="36"/>
      <c r="V689" s="37"/>
      <c r="W689" s="32"/>
      <c r="X689" s="37" t="str">
        <f>IF(NOTA[[#This Row],[HARGA/ CTN]]="",NOTA[[#This Row],[JUMLAH_H]],NOTA[[#This Row],[HARGA/ CTN]]*IF(NOTA[[#This Row],[C]]="",0,NOTA[[#This Row],[C]]))</f>
        <v/>
      </c>
      <c r="Y689" s="37" t="str">
        <f>IF(NOTA[[#This Row],[JUMLAH]]="","",NOTA[[#This Row],[JUMLAH]]*NOTA[[#This Row],[DISC 1]])</f>
        <v/>
      </c>
      <c r="Z689" s="37" t="str">
        <f>IF(NOTA[[#This Row],[JUMLAH]]="","",(NOTA[[#This Row],[JUMLAH]]-NOTA[[#This Row],[DISC 1-]])*NOTA[[#This Row],[DISC 2]])</f>
        <v/>
      </c>
      <c r="AA689" s="37" t="str">
        <f>IF(NOTA[[#This Row],[JUMLAH]]="","",(NOTA[[#This Row],[JUMLAH]]-NOTA[[#This Row],[DISC 1-]]-NOTA[[#This Row],[DISC 2-]])*NOTA[[#This Row],[DISC 3]])</f>
        <v/>
      </c>
      <c r="AB689" s="37" t="str">
        <f>IF(NOTA[[#This Row],[JUMLAH]]="","",NOTA[[#This Row],[DISC 1-]]+NOTA[[#This Row],[DISC 2-]]+NOTA[[#This Row],[DISC 3-]])</f>
        <v/>
      </c>
      <c r="AC689" s="37" t="str">
        <f>IF(NOTA[[#This Row],[JUMLAH]]="","",NOTA[[#This Row],[JUMLAH]]-NOTA[[#This Row],[DISC]])</f>
        <v/>
      </c>
      <c r="AD689" s="37"/>
      <c r="AE6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9" s="37" t="str">
        <f>IF(OR(NOTA[[#This Row],[QTY]]="",NOTA[[#This Row],[HARGA SATUAN]]="",),"",NOTA[[#This Row],[QTY]]*NOTA[[#This Row],[HARGA SATUAN]])</f>
        <v/>
      </c>
      <c r="AI689" s="26" t="str">
        <f ca="1">IF(NOTA[[#This Row],[ID_H]]="","",INDEX(NOTA[TANGGAL],MATCH(,INDIRECT(ADDRESS(ROW(NOTA[TANGGAL]),COLUMN(NOTA[TANGGAL]))&amp;":"&amp;ADDRESS(ROW(),COLUMN(NOTA[TANGGAL]))),-1)))</f>
        <v/>
      </c>
      <c r="AJ689" s="26" t="str">
        <f ca="1">IF(NOTA[[#This Row],[ID_H]]="","",INDEX(NOTA[TGL.NOTA],MATCH(,INDIRECT(ADDRESS(ROW(NOTA[TGL.NOTA]),COLUMN(NOTA[TGL.NOTA]))&amp;":"&amp;ADDRESS(ROW(),COLUMN(NOTA[TGL.NOTA]))),-1)))</f>
        <v/>
      </c>
      <c r="AK689" s="26" t="str">
        <f ca="1">IF(NOTA[[#This Row],[ID_H]]="","",INDEX(NOTA[NO.NOTA],MATCH(NOTA[[#This Row],[ID_H]],NOTA[ID_H],0)))</f>
        <v/>
      </c>
      <c r="AL689" s="28" t="str">
        <f ca="1">IF(NOTA[[#This Row],[NAMA BARANG]]="","",INDEX(NOTA[SUPPLIER],MATCH(,INDIRECT(ADDRESS(ROW(NOTA[ID]),COLUMN(NOTA[ID]))&amp;":"&amp;ADDRESS(ROW(),COLUMN(NOTA[ID]))),-1)))</f>
        <v/>
      </c>
      <c r="AM689" s="28" t="str">
        <f ca="1">IF(NOTA[[#This Row],[ID_H]]="","",IF(NOTA[[#This Row],[FAKTUR]]="",INDIRECT(ADDRESS(ROW()-1,COLUMN())),NOTA[[#This Row],[FAKTUR]]))</f>
        <v/>
      </c>
      <c r="AN689" s="25" t="str">
        <f ca="1">IF(NOTA[[#This Row],[ID]]="","",COUNTIF(NOTA[ID_H],NOTA[[#This Row],[ID_H]]))</f>
        <v/>
      </c>
      <c r="AO689" s="25" t="str">
        <f ca="1">IF(NOTA[[#This Row],[TGL.NOTA]]="",IF(NOTA[[#This Row],[SUPPLIER_H]]="","",AO688),MONTH(NOTA[[#This Row],[TGL.NOTA]]))</f>
        <v/>
      </c>
      <c r="AP6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9" s="25"/>
      <c r="AU689" s="25" t="str">
        <f>IF(NOTA[[#This Row],[CONCAT1]]="","",MATCH(NOTA[[#This Row],[CONCAT1]],[3]!db[NB NOTA_C],0))</f>
        <v/>
      </c>
      <c r="AV689" s="25" t="str">
        <f>IF(NOTA[[#This Row],[QTY/ CTN]]="","",TRUE)</f>
        <v/>
      </c>
      <c r="AW689" s="25" t="str">
        <f ca="1">IF(NOTA[[#This Row],[ID_H]]="","",IF(NOTA[[#This Row],[Column3]]=TRUE,NOTA[[#This Row],[QTY/ CTN]],INDEX([3]!db[QTY/ CTN],NOTA[[#This Row],[//DB]])))</f>
        <v/>
      </c>
      <c r="AX6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9" s="25" t="str">
        <f ca="1">IF(NOTA[[#This Row],[ID_H]]="","",MATCH(NOTA[[#This Row],[NB NOTA_C_QTY]],[3]!db[NB NOTA_C_QTY+F],0))</f>
        <v/>
      </c>
      <c r="AZ689" s="38" t="str">
        <f ca="1">IF(NOTA[[#This Row],[NB NOTA_C_QTY]]="","",ROW()-2)</f>
        <v/>
      </c>
    </row>
    <row r="690" spans="1:52" ht="20.100000000000001" customHeight="1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0" s="25" t="str">
        <f ca="1">IF(NOTA[[#This Row],[NAMA BARANG]]="","",INDEX(NOTA[ID],MATCH(,INDIRECT(ADDRESS(ROW(NOTA[ID]),COLUMN(NOTA[ID]))&amp;":"&amp;ADDRESS(ROW(),COLUMN(NOTA[ID]))),-1)))</f>
        <v/>
      </c>
      <c r="E690" s="33"/>
      <c r="H690" s="34"/>
      <c r="Q690" s="29"/>
      <c r="R690" s="35"/>
      <c r="S690" s="36"/>
      <c r="V690" s="37"/>
      <c r="W690" s="32"/>
      <c r="X690" s="37" t="str">
        <f>IF(NOTA[[#This Row],[HARGA/ CTN]]="",NOTA[[#This Row],[JUMLAH_H]],NOTA[[#This Row],[HARGA/ CTN]]*IF(NOTA[[#This Row],[C]]="",0,NOTA[[#This Row],[C]]))</f>
        <v/>
      </c>
      <c r="Y690" s="37" t="str">
        <f>IF(NOTA[[#This Row],[JUMLAH]]="","",NOTA[[#This Row],[JUMLAH]]*NOTA[[#This Row],[DISC 1]])</f>
        <v/>
      </c>
      <c r="Z690" s="37" t="str">
        <f>IF(NOTA[[#This Row],[JUMLAH]]="","",(NOTA[[#This Row],[JUMLAH]]-NOTA[[#This Row],[DISC 1-]])*NOTA[[#This Row],[DISC 2]])</f>
        <v/>
      </c>
      <c r="AA690" s="37" t="str">
        <f>IF(NOTA[[#This Row],[JUMLAH]]="","",(NOTA[[#This Row],[JUMLAH]]-NOTA[[#This Row],[DISC 1-]]-NOTA[[#This Row],[DISC 2-]])*NOTA[[#This Row],[DISC 3]])</f>
        <v/>
      </c>
      <c r="AB690" s="37" t="str">
        <f>IF(NOTA[[#This Row],[JUMLAH]]="","",NOTA[[#This Row],[DISC 1-]]+NOTA[[#This Row],[DISC 2-]]+NOTA[[#This Row],[DISC 3-]])</f>
        <v/>
      </c>
      <c r="AC690" s="37" t="str">
        <f>IF(NOTA[[#This Row],[JUMLAH]]="","",NOTA[[#This Row],[JUMLAH]]-NOTA[[#This Row],[DISC]])</f>
        <v/>
      </c>
      <c r="AD690" s="37"/>
      <c r="AE6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0" s="37" t="str">
        <f>IF(OR(NOTA[[#This Row],[QTY]]="",NOTA[[#This Row],[HARGA SATUAN]]="",),"",NOTA[[#This Row],[QTY]]*NOTA[[#This Row],[HARGA SATUAN]])</f>
        <v/>
      </c>
      <c r="AI690" s="26" t="str">
        <f ca="1">IF(NOTA[[#This Row],[ID_H]]="","",INDEX(NOTA[TANGGAL],MATCH(,INDIRECT(ADDRESS(ROW(NOTA[TANGGAL]),COLUMN(NOTA[TANGGAL]))&amp;":"&amp;ADDRESS(ROW(),COLUMN(NOTA[TANGGAL]))),-1)))</f>
        <v/>
      </c>
      <c r="AJ690" s="26" t="str">
        <f ca="1">IF(NOTA[[#This Row],[ID_H]]="","",INDEX(NOTA[TGL.NOTA],MATCH(,INDIRECT(ADDRESS(ROW(NOTA[TGL.NOTA]),COLUMN(NOTA[TGL.NOTA]))&amp;":"&amp;ADDRESS(ROW(),COLUMN(NOTA[TGL.NOTA]))),-1)))</f>
        <v/>
      </c>
      <c r="AK690" s="26" t="str">
        <f ca="1">IF(NOTA[[#This Row],[ID_H]]="","",INDEX(NOTA[NO.NOTA],MATCH(NOTA[[#This Row],[ID_H]],NOTA[ID_H],0)))</f>
        <v/>
      </c>
      <c r="AL690" s="28" t="str">
        <f ca="1">IF(NOTA[[#This Row],[NAMA BARANG]]="","",INDEX(NOTA[SUPPLIER],MATCH(,INDIRECT(ADDRESS(ROW(NOTA[ID]),COLUMN(NOTA[ID]))&amp;":"&amp;ADDRESS(ROW(),COLUMN(NOTA[ID]))),-1)))</f>
        <v/>
      </c>
      <c r="AM690" s="28" t="str">
        <f ca="1">IF(NOTA[[#This Row],[ID_H]]="","",IF(NOTA[[#This Row],[FAKTUR]]="",INDIRECT(ADDRESS(ROW()-1,COLUMN())),NOTA[[#This Row],[FAKTUR]]))</f>
        <v/>
      </c>
      <c r="AN690" s="25" t="str">
        <f ca="1">IF(NOTA[[#This Row],[ID]]="","",COUNTIF(NOTA[ID_H],NOTA[[#This Row],[ID_H]]))</f>
        <v/>
      </c>
      <c r="AO690" s="25" t="str">
        <f ca="1">IF(NOTA[[#This Row],[TGL.NOTA]]="",IF(NOTA[[#This Row],[SUPPLIER_H]]="","",AO689),MONTH(NOTA[[#This Row],[TGL.NOTA]]))</f>
        <v/>
      </c>
      <c r="AP6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0" s="25"/>
      <c r="AU690" s="25" t="str">
        <f>IF(NOTA[[#This Row],[CONCAT1]]="","",MATCH(NOTA[[#This Row],[CONCAT1]],[3]!db[NB NOTA_C],0))</f>
        <v/>
      </c>
      <c r="AV690" s="25" t="str">
        <f>IF(NOTA[[#This Row],[QTY/ CTN]]="","",TRUE)</f>
        <v/>
      </c>
      <c r="AW690" s="25" t="str">
        <f ca="1">IF(NOTA[[#This Row],[ID_H]]="","",IF(NOTA[[#This Row],[Column3]]=TRUE,NOTA[[#This Row],[QTY/ CTN]],INDEX([3]!db[QTY/ CTN],NOTA[[#This Row],[//DB]])))</f>
        <v/>
      </c>
      <c r="AX6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0" s="25" t="str">
        <f ca="1">IF(NOTA[[#This Row],[ID_H]]="","",MATCH(NOTA[[#This Row],[NB NOTA_C_QTY]],[3]!db[NB NOTA_C_QTY+F],0))</f>
        <v/>
      </c>
      <c r="AZ690" s="38" t="str">
        <f ca="1">IF(NOTA[[#This Row],[NB NOTA_C_QTY]]="","",ROW()-2)</f>
        <v/>
      </c>
    </row>
    <row r="691" spans="1:52" ht="20.100000000000001" customHeight="1">
      <c r="A6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1" s="25" t="str">
        <f ca="1">IF(NOTA[[#This Row],[NAMA BARANG]]="","",INDEX(NOTA[ID],MATCH(,INDIRECT(ADDRESS(ROW(NOTA[ID]),COLUMN(NOTA[ID]))&amp;":"&amp;ADDRESS(ROW(),COLUMN(NOTA[ID]))),-1)))</f>
        <v/>
      </c>
      <c r="E691" s="33"/>
      <c r="H691" s="34"/>
      <c r="Q691" s="29"/>
      <c r="R691" s="35"/>
      <c r="S691" s="36"/>
      <c r="V691" s="37"/>
      <c r="W691" s="32"/>
      <c r="X691" s="37" t="str">
        <f>IF(NOTA[[#This Row],[HARGA/ CTN]]="",NOTA[[#This Row],[JUMLAH_H]],NOTA[[#This Row],[HARGA/ CTN]]*IF(NOTA[[#This Row],[C]]="",0,NOTA[[#This Row],[C]]))</f>
        <v/>
      </c>
      <c r="Y691" s="37" t="str">
        <f>IF(NOTA[[#This Row],[JUMLAH]]="","",NOTA[[#This Row],[JUMLAH]]*NOTA[[#This Row],[DISC 1]])</f>
        <v/>
      </c>
      <c r="Z691" s="37" t="str">
        <f>IF(NOTA[[#This Row],[JUMLAH]]="","",(NOTA[[#This Row],[JUMLAH]]-NOTA[[#This Row],[DISC 1-]])*NOTA[[#This Row],[DISC 2]])</f>
        <v/>
      </c>
      <c r="AA691" s="37" t="str">
        <f>IF(NOTA[[#This Row],[JUMLAH]]="","",(NOTA[[#This Row],[JUMLAH]]-NOTA[[#This Row],[DISC 1-]]-NOTA[[#This Row],[DISC 2-]])*NOTA[[#This Row],[DISC 3]])</f>
        <v/>
      </c>
      <c r="AB691" s="37" t="str">
        <f>IF(NOTA[[#This Row],[JUMLAH]]="","",NOTA[[#This Row],[DISC 1-]]+NOTA[[#This Row],[DISC 2-]]+NOTA[[#This Row],[DISC 3-]])</f>
        <v/>
      </c>
      <c r="AC691" s="37" t="str">
        <f>IF(NOTA[[#This Row],[JUMLAH]]="","",NOTA[[#This Row],[JUMLAH]]-NOTA[[#This Row],[DISC]])</f>
        <v/>
      </c>
      <c r="AD691" s="37"/>
      <c r="AE6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1" s="37" t="str">
        <f>IF(OR(NOTA[[#This Row],[QTY]]="",NOTA[[#This Row],[HARGA SATUAN]]="",),"",NOTA[[#This Row],[QTY]]*NOTA[[#This Row],[HARGA SATUAN]])</f>
        <v/>
      </c>
      <c r="AI691" s="26" t="str">
        <f ca="1">IF(NOTA[[#This Row],[ID_H]]="","",INDEX(NOTA[TANGGAL],MATCH(,INDIRECT(ADDRESS(ROW(NOTA[TANGGAL]),COLUMN(NOTA[TANGGAL]))&amp;":"&amp;ADDRESS(ROW(),COLUMN(NOTA[TANGGAL]))),-1)))</f>
        <v/>
      </c>
      <c r="AJ691" s="26" t="str">
        <f ca="1">IF(NOTA[[#This Row],[ID_H]]="","",INDEX(NOTA[TGL.NOTA],MATCH(,INDIRECT(ADDRESS(ROW(NOTA[TGL.NOTA]),COLUMN(NOTA[TGL.NOTA]))&amp;":"&amp;ADDRESS(ROW(),COLUMN(NOTA[TGL.NOTA]))),-1)))</f>
        <v/>
      </c>
      <c r="AK691" s="26" t="str">
        <f ca="1">IF(NOTA[[#This Row],[ID_H]]="","",INDEX(NOTA[NO.NOTA],MATCH(NOTA[[#This Row],[ID_H]],NOTA[ID_H],0)))</f>
        <v/>
      </c>
      <c r="AL691" s="28" t="str">
        <f ca="1">IF(NOTA[[#This Row],[NAMA BARANG]]="","",INDEX(NOTA[SUPPLIER],MATCH(,INDIRECT(ADDRESS(ROW(NOTA[ID]),COLUMN(NOTA[ID]))&amp;":"&amp;ADDRESS(ROW(),COLUMN(NOTA[ID]))),-1)))</f>
        <v/>
      </c>
      <c r="AM691" s="28" t="str">
        <f ca="1">IF(NOTA[[#This Row],[ID_H]]="","",IF(NOTA[[#This Row],[FAKTUR]]="",INDIRECT(ADDRESS(ROW()-1,COLUMN())),NOTA[[#This Row],[FAKTUR]]))</f>
        <v/>
      </c>
      <c r="AN691" s="25" t="str">
        <f ca="1">IF(NOTA[[#This Row],[ID]]="","",COUNTIF(NOTA[ID_H],NOTA[[#This Row],[ID_H]]))</f>
        <v/>
      </c>
      <c r="AO691" s="25" t="str">
        <f ca="1">IF(NOTA[[#This Row],[TGL.NOTA]]="",IF(NOTA[[#This Row],[SUPPLIER_H]]="","",AO690),MONTH(NOTA[[#This Row],[TGL.NOTA]]))</f>
        <v/>
      </c>
      <c r="AP6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1" s="25"/>
      <c r="AU691" s="25" t="str">
        <f>IF(NOTA[[#This Row],[CONCAT1]]="","",MATCH(NOTA[[#This Row],[CONCAT1]],[3]!db[NB NOTA_C],0))</f>
        <v/>
      </c>
      <c r="AV691" s="25" t="str">
        <f>IF(NOTA[[#This Row],[QTY/ CTN]]="","",TRUE)</f>
        <v/>
      </c>
      <c r="AW691" s="25" t="str">
        <f ca="1">IF(NOTA[[#This Row],[ID_H]]="","",IF(NOTA[[#This Row],[Column3]]=TRUE,NOTA[[#This Row],[QTY/ CTN]],INDEX([3]!db[QTY/ CTN],NOTA[[#This Row],[//DB]])))</f>
        <v/>
      </c>
      <c r="AX6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1" s="25" t="str">
        <f ca="1">IF(NOTA[[#This Row],[ID_H]]="","",MATCH(NOTA[[#This Row],[NB NOTA_C_QTY]],[3]!db[NB NOTA_C_QTY+F],0))</f>
        <v/>
      </c>
      <c r="AZ691" s="38" t="str">
        <f ca="1">IF(NOTA[[#This Row],[NB NOTA_C_QTY]]="","",ROW()-2)</f>
        <v/>
      </c>
    </row>
    <row r="692" spans="1:52" ht="20.100000000000001" customHeight="1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2" s="25" t="str">
        <f ca="1">IF(NOTA[[#This Row],[NAMA BARANG]]="","",INDEX(NOTA[ID],MATCH(,INDIRECT(ADDRESS(ROW(NOTA[ID]),COLUMN(NOTA[ID]))&amp;":"&amp;ADDRESS(ROW(),COLUMN(NOTA[ID]))),-1)))</f>
        <v/>
      </c>
      <c r="E692" s="33"/>
      <c r="H692" s="34"/>
      <c r="Q692" s="29"/>
      <c r="R692" s="35"/>
      <c r="S692" s="36"/>
      <c r="V692" s="37"/>
      <c r="W692" s="32"/>
      <c r="X692" s="37" t="str">
        <f>IF(NOTA[[#This Row],[HARGA/ CTN]]="",NOTA[[#This Row],[JUMLAH_H]],NOTA[[#This Row],[HARGA/ CTN]]*IF(NOTA[[#This Row],[C]]="",0,NOTA[[#This Row],[C]]))</f>
        <v/>
      </c>
      <c r="Y692" s="37" t="str">
        <f>IF(NOTA[[#This Row],[JUMLAH]]="","",NOTA[[#This Row],[JUMLAH]]*NOTA[[#This Row],[DISC 1]])</f>
        <v/>
      </c>
      <c r="Z692" s="37" t="str">
        <f>IF(NOTA[[#This Row],[JUMLAH]]="","",(NOTA[[#This Row],[JUMLAH]]-NOTA[[#This Row],[DISC 1-]])*NOTA[[#This Row],[DISC 2]])</f>
        <v/>
      </c>
      <c r="AA692" s="37" t="str">
        <f>IF(NOTA[[#This Row],[JUMLAH]]="","",(NOTA[[#This Row],[JUMLAH]]-NOTA[[#This Row],[DISC 1-]]-NOTA[[#This Row],[DISC 2-]])*NOTA[[#This Row],[DISC 3]])</f>
        <v/>
      </c>
      <c r="AB692" s="37" t="str">
        <f>IF(NOTA[[#This Row],[JUMLAH]]="","",NOTA[[#This Row],[DISC 1-]]+NOTA[[#This Row],[DISC 2-]]+NOTA[[#This Row],[DISC 3-]])</f>
        <v/>
      </c>
      <c r="AC692" s="37" t="str">
        <f>IF(NOTA[[#This Row],[JUMLAH]]="","",NOTA[[#This Row],[JUMLAH]]-NOTA[[#This Row],[DISC]])</f>
        <v/>
      </c>
      <c r="AD692" s="37"/>
      <c r="AE6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2" s="37" t="str">
        <f>IF(OR(NOTA[[#This Row],[QTY]]="",NOTA[[#This Row],[HARGA SATUAN]]="",),"",NOTA[[#This Row],[QTY]]*NOTA[[#This Row],[HARGA SATUAN]])</f>
        <v/>
      </c>
      <c r="AI692" s="26" t="str">
        <f ca="1">IF(NOTA[[#This Row],[ID_H]]="","",INDEX(NOTA[TANGGAL],MATCH(,INDIRECT(ADDRESS(ROW(NOTA[TANGGAL]),COLUMN(NOTA[TANGGAL]))&amp;":"&amp;ADDRESS(ROW(),COLUMN(NOTA[TANGGAL]))),-1)))</f>
        <v/>
      </c>
      <c r="AJ692" s="26" t="str">
        <f ca="1">IF(NOTA[[#This Row],[ID_H]]="","",INDEX(NOTA[TGL.NOTA],MATCH(,INDIRECT(ADDRESS(ROW(NOTA[TGL.NOTA]),COLUMN(NOTA[TGL.NOTA]))&amp;":"&amp;ADDRESS(ROW(),COLUMN(NOTA[TGL.NOTA]))),-1)))</f>
        <v/>
      </c>
      <c r="AK692" s="26" t="str">
        <f ca="1">IF(NOTA[[#This Row],[ID_H]]="","",INDEX(NOTA[NO.NOTA],MATCH(NOTA[[#This Row],[ID_H]],NOTA[ID_H],0)))</f>
        <v/>
      </c>
      <c r="AL692" s="28" t="str">
        <f ca="1">IF(NOTA[[#This Row],[NAMA BARANG]]="","",INDEX(NOTA[SUPPLIER],MATCH(,INDIRECT(ADDRESS(ROW(NOTA[ID]),COLUMN(NOTA[ID]))&amp;":"&amp;ADDRESS(ROW(),COLUMN(NOTA[ID]))),-1)))</f>
        <v/>
      </c>
      <c r="AM692" s="28" t="str">
        <f ca="1">IF(NOTA[[#This Row],[ID_H]]="","",IF(NOTA[[#This Row],[FAKTUR]]="",INDIRECT(ADDRESS(ROW()-1,COLUMN())),NOTA[[#This Row],[FAKTUR]]))</f>
        <v/>
      </c>
      <c r="AN692" s="25" t="str">
        <f ca="1">IF(NOTA[[#This Row],[ID]]="","",COUNTIF(NOTA[ID_H],NOTA[[#This Row],[ID_H]]))</f>
        <v/>
      </c>
      <c r="AO692" s="25" t="str">
        <f ca="1">IF(NOTA[[#This Row],[TGL.NOTA]]="",IF(NOTA[[#This Row],[SUPPLIER_H]]="","",AO691),MONTH(NOTA[[#This Row],[TGL.NOTA]]))</f>
        <v/>
      </c>
      <c r="AP6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2" s="25"/>
      <c r="AU692" s="25" t="str">
        <f>IF(NOTA[[#This Row],[CONCAT1]]="","",MATCH(NOTA[[#This Row],[CONCAT1]],[3]!db[NB NOTA_C],0))</f>
        <v/>
      </c>
      <c r="AV692" s="25" t="str">
        <f>IF(NOTA[[#This Row],[QTY/ CTN]]="","",TRUE)</f>
        <v/>
      </c>
      <c r="AW692" s="25" t="str">
        <f ca="1">IF(NOTA[[#This Row],[ID_H]]="","",IF(NOTA[[#This Row],[Column3]]=TRUE,NOTA[[#This Row],[QTY/ CTN]],INDEX([3]!db[QTY/ CTN],NOTA[[#This Row],[//DB]])))</f>
        <v/>
      </c>
      <c r="AX6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2" s="25" t="str">
        <f ca="1">IF(NOTA[[#This Row],[ID_H]]="","",MATCH(NOTA[[#This Row],[NB NOTA_C_QTY]],[3]!db[NB NOTA_C_QTY+F],0))</f>
        <v/>
      </c>
      <c r="AZ692" s="38" t="str">
        <f ca="1">IF(NOTA[[#This Row],[NB NOTA_C_QTY]]="","",ROW()-2)</f>
        <v/>
      </c>
    </row>
    <row r="693" spans="1:52" ht="20.100000000000001" customHeight="1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3" s="25" t="str">
        <f ca="1">IF(NOTA[[#This Row],[NAMA BARANG]]="","",INDEX(NOTA[ID],MATCH(,INDIRECT(ADDRESS(ROW(NOTA[ID]),COLUMN(NOTA[ID]))&amp;":"&amp;ADDRESS(ROW(),COLUMN(NOTA[ID]))),-1)))</f>
        <v/>
      </c>
      <c r="E693" s="33"/>
      <c r="H693" s="34"/>
      <c r="Q693" s="29"/>
      <c r="R693" s="35"/>
      <c r="S693" s="36"/>
      <c r="V693" s="37"/>
      <c r="W693" s="32"/>
      <c r="X693" s="37" t="str">
        <f>IF(NOTA[[#This Row],[HARGA/ CTN]]="",NOTA[[#This Row],[JUMLAH_H]],NOTA[[#This Row],[HARGA/ CTN]]*IF(NOTA[[#This Row],[C]]="",0,NOTA[[#This Row],[C]]))</f>
        <v/>
      </c>
      <c r="Y693" s="37" t="str">
        <f>IF(NOTA[[#This Row],[JUMLAH]]="","",NOTA[[#This Row],[JUMLAH]]*NOTA[[#This Row],[DISC 1]])</f>
        <v/>
      </c>
      <c r="Z693" s="37" t="str">
        <f>IF(NOTA[[#This Row],[JUMLAH]]="","",(NOTA[[#This Row],[JUMLAH]]-NOTA[[#This Row],[DISC 1-]])*NOTA[[#This Row],[DISC 2]])</f>
        <v/>
      </c>
      <c r="AA693" s="37" t="str">
        <f>IF(NOTA[[#This Row],[JUMLAH]]="","",(NOTA[[#This Row],[JUMLAH]]-NOTA[[#This Row],[DISC 1-]]-NOTA[[#This Row],[DISC 2-]])*NOTA[[#This Row],[DISC 3]])</f>
        <v/>
      </c>
      <c r="AB693" s="37" t="str">
        <f>IF(NOTA[[#This Row],[JUMLAH]]="","",NOTA[[#This Row],[DISC 1-]]+NOTA[[#This Row],[DISC 2-]]+NOTA[[#This Row],[DISC 3-]])</f>
        <v/>
      </c>
      <c r="AC693" s="37" t="str">
        <f>IF(NOTA[[#This Row],[JUMLAH]]="","",NOTA[[#This Row],[JUMLAH]]-NOTA[[#This Row],[DISC]])</f>
        <v/>
      </c>
      <c r="AD693" s="37"/>
      <c r="AE6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3" s="37" t="str">
        <f>IF(OR(NOTA[[#This Row],[QTY]]="",NOTA[[#This Row],[HARGA SATUAN]]="",),"",NOTA[[#This Row],[QTY]]*NOTA[[#This Row],[HARGA SATUAN]])</f>
        <v/>
      </c>
      <c r="AI693" s="26" t="str">
        <f ca="1">IF(NOTA[[#This Row],[ID_H]]="","",INDEX(NOTA[TANGGAL],MATCH(,INDIRECT(ADDRESS(ROW(NOTA[TANGGAL]),COLUMN(NOTA[TANGGAL]))&amp;":"&amp;ADDRESS(ROW(),COLUMN(NOTA[TANGGAL]))),-1)))</f>
        <v/>
      </c>
      <c r="AJ693" s="26" t="str">
        <f ca="1">IF(NOTA[[#This Row],[ID_H]]="","",INDEX(NOTA[TGL.NOTA],MATCH(,INDIRECT(ADDRESS(ROW(NOTA[TGL.NOTA]),COLUMN(NOTA[TGL.NOTA]))&amp;":"&amp;ADDRESS(ROW(),COLUMN(NOTA[TGL.NOTA]))),-1)))</f>
        <v/>
      </c>
      <c r="AK693" s="26" t="str">
        <f ca="1">IF(NOTA[[#This Row],[ID_H]]="","",INDEX(NOTA[NO.NOTA],MATCH(NOTA[[#This Row],[ID_H]],NOTA[ID_H],0)))</f>
        <v/>
      </c>
      <c r="AL693" s="28" t="str">
        <f ca="1">IF(NOTA[[#This Row],[NAMA BARANG]]="","",INDEX(NOTA[SUPPLIER],MATCH(,INDIRECT(ADDRESS(ROW(NOTA[ID]),COLUMN(NOTA[ID]))&amp;":"&amp;ADDRESS(ROW(),COLUMN(NOTA[ID]))),-1)))</f>
        <v/>
      </c>
      <c r="AM693" s="28" t="str">
        <f ca="1">IF(NOTA[[#This Row],[ID_H]]="","",IF(NOTA[[#This Row],[FAKTUR]]="",INDIRECT(ADDRESS(ROW()-1,COLUMN())),NOTA[[#This Row],[FAKTUR]]))</f>
        <v/>
      </c>
      <c r="AN693" s="25" t="str">
        <f ca="1">IF(NOTA[[#This Row],[ID]]="","",COUNTIF(NOTA[ID_H],NOTA[[#This Row],[ID_H]]))</f>
        <v/>
      </c>
      <c r="AO693" s="25" t="str">
        <f ca="1">IF(NOTA[[#This Row],[TGL.NOTA]]="",IF(NOTA[[#This Row],[SUPPLIER_H]]="","",AO692),MONTH(NOTA[[#This Row],[TGL.NOTA]]))</f>
        <v/>
      </c>
      <c r="AP6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3" s="25"/>
      <c r="AU693" s="25" t="str">
        <f>IF(NOTA[[#This Row],[CONCAT1]]="","",MATCH(NOTA[[#This Row],[CONCAT1]],[3]!db[NB NOTA_C],0))</f>
        <v/>
      </c>
      <c r="AV693" s="25" t="str">
        <f>IF(NOTA[[#This Row],[QTY/ CTN]]="","",TRUE)</f>
        <v/>
      </c>
      <c r="AW693" s="25" t="str">
        <f ca="1">IF(NOTA[[#This Row],[ID_H]]="","",IF(NOTA[[#This Row],[Column3]]=TRUE,NOTA[[#This Row],[QTY/ CTN]],INDEX([3]!db[QTY/ CTN],NOTA[[#This Row],[//DB]])))</f>
        <v/>
      </c>
      <c r="AX6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3" s="25" t="str">
        <f ca="1">IF(NOTA[[#This Row],[ID_H]]="","",MATCH(NOTA[[#This Row],[NB NOTA_C_QTY]],[3]!db[NB NOTA_C_QTY+F],0))</f>
        <v/>
      </c>
      <c r="AZ693" s="38" t="str">
        <f ca="1">IF(NOTA[[#This Row],[NB NOTA_C_QTY]]="","",ROW()-2)</f>
        <v/>
      </c>
    </row>
    <row r="694" spans="1:52" ht="20.100000000000001" customHeight="1">
      <c r="A6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4" s="25" t="str">
        <f ca="1">IF(NOTA[[#This Row],[NAMA BARANG]]="","",INDEX(NOTA[ID],MATCH(,INDIRECT(ADDRESS(ROW(NOTA[ID]),COLUMN(NOTA[ID]))&amp;":"&amp;ADDRESS(ROW(),COLUMN(NOTA[ID]))),-1)))</f>
        <v/>
      </c>
      <c r="E694" s="33"/>
      <c r="H694" s="34"/>
      <c r="Q694" s="29"/>
      <c r="R694" s="35"/>
      <c r="S694" s="36"/>
      <c r="V694" s="37"/>
      <c r="W694" s="32"/>
      <c r="X694" s="37" t="str">
        <f>IF(NOTA[[#This Row],[HARGA/ CTN]]="",NOTA[[#This Row],[JUMLAH_H]],NOTA[[#This Row],[HARGA/ CTN]]*IF(NOTA[[#This Row],[C]]="",0,NOTA[[#This Row],[C]]))</f>
        <v/>
      </c>
      <c r="Y694" s="37" t="str">
        <f>IF(NOTA[[#This Row],[JUMLAH]]="","",NOTA[[#This Row],[JUMLAH]]*NOTA[[#This Row],[DISC 1]])</f>
        <v/>
      </c>
      <c r="Z694" s="37" t="str">
        <f>IF(NOTA[[#This Row],[JUMLAH]]="","",(NOTA[[#This Row],[JUMLAH]]-NOTA[[#This Row],[DISC 1-]])*NOTA[[#This Row],[DISC 2]])</f>
        <v/>
      </c>
      <c r="AA694" s="37" t="str">
        <f>IF(NOTA[[#This Row],[JUMLAH]]="","",(NOTA[[#This Row],[JUMLAH]]-NOTA[[#This Row],[DISC 1-]]-NOTA[[#This Row],[DISC 2-]])*NOTA[[#This Row],[DISC 3]])</f>
        <v/>
      </c>
      <c r="AB694" s="37" t="str">
        <f>IF(NOTA[[#This Row],[JUMLAH]]="","",NOTA[[#This Row],[DISC 1-]]+NOTA[[#This Row],[DISC 2-]]+NOTA[[#This Row],[DISC 3-]])</f>
        <v/>
      </c>
      <c r="AC694" s="37" t="str">
        <f>IF(NOTA[[#This Row],[JUMLAH]]="","",NOTA[[#This Row],[JUMLAH]]-NOTA[[#This Row],[DISC]])</f>
        <v/>
      </c>
      <c r="AD694" s="37"/>
      <c r="AE6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4" s="37" t="str">
        <f>IF(OR(NOTA[[#This Row],[QTY]]="",NOTA[[#This Row],[HARGA SATUAN]]="",),"",NOTA[[#This Row],[QTY]]*NOTA[[#This Row],[HARGA SATUAN]])</f>
        <v/>
      </c>
      <c r="AI694" s="26" t="str">
        <f ca="1">IF(NOTA[[#This Row],[ID_H]]="","",INDEX(NOTA[TANGGAL],MATCH(,INDIRECT(ADDRESS(ROW(NOTA[TANGGAL]),COLUMN(NOTA[TANGGAL]))&amp;":"&amp;ADDRESS(ROW(),COLUMN(NOTA[TANGGAL]))),-1)))</f>
        <v/>
      </c>
      <c r="AJ694" s="26" t="str">
        <f ca="1">IF(NOTA[[#This Row],[ID_H]]="","",INDEX(NOTA[TGL.NOTA],MATCH(,INDIRECT(ADDRESS(ROW(NOTA[TGL.NOTA]),COLUMN(NOTA[TGL.NOTA]))&amp;":"&amp;ADDRESS(ROW(),COLUMN(NOTA[TGL.NOTA]))),-1)))</f>
        <v/>
      </c>
      <c r="AK694" s="26" t="str">
        <f ca="1">IF(NOTA[[#This Row],[ID_H]]="","",INDEX(NOTA[NO.NOTA],MATCH(NOTA[[#This Row],[ID_H]],NOTA[ID_H],0)))</f>
        <v/>
      </c>
      <c r="AL694" s="28" t="str">
        <f ca="1">IF(NOTA[[#This Row],[NAMA BARANG]]="","",INDEX(NOTA[SUPPLIER],MATCH(,INDIRECT(ADDRESS(ROW(NOTA[ID]),COLUMN(NOTA[ID]))&amp;":"&amp;ADDRESS(ROW(),COLUMN(NOTA[ID]))),-1)))</f>
        <v/>
      </c>
      <c r="AM694" s="28" t="str">
        <f ca="1">IF(NOTA[[#This Row],[ID_H]]="","",IF(NOTA[[#This Row],[FAKTUR]]="",INDIRECT(ADDRESS(ROW()-1,COLUMN())),NOTA[[#This Row],[FAKTUR]]))</f>
        <v/>
      </c>
      <c r="AN694" s="25" t="str">
        <f ca="1">IF(NOTA[[#This Row],[ID]]="","",COUNTIF(NOTA[ID_H],NOTA[[#This Row],[ID_H]]))</f>
        <v/>
      </c>
      <c r="AO694" s="25" t="str">
        <f ca="1">IF(NOTA[[#This Row],[TGL.NOTA]]="",IF(NOTA[[#This Row],[SUPPLIER_H]]="","",AO693),MONTH(NOTA[[#This Row],[TGL.NOTA]]))</f>
        <v/>
      </c>
      <c r="AP6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4" s="25"/>
      <c r="AU694" s="25" t="str">
        <f>IF(NOTA[[#This Row],[CONCAT1]]="","",MATCH(NOTA[[#This Row],[CONCAT1]],[3]!db[NB NOTA_C],0))</f>
        <v/>
      </c>
      <c r="AV694" s="25" t="str">
        <f>IF(NOTA[[#This Row],[QTY/ CTN]]="","",TRUE)</f>
        <v/>
      </c>
      <c r="AW694" s="25" t="str">
        <f ca="1">IF(NOTA[[#This Row],[ID_H]]="","",IF(NOTA[[#This Row],[Column3]]=TRUE,NOTA[[#This Row],[QTY/ CTN]],INDEX([3]!db[QTY/ CTN],NOTA[[#This Row],[//DB]])))</f>
        <v/>
      </c>
      <c r="AX6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4" s="25" t="str">
        <f ca="1">IF(NOTA[[#This Row],[ID_H]]="","",MATCH(NOTA[[#This Row],[NB NOTA_C_QTY]],[3]!db[NB NOTA_C_QTY+F],0))</f>
        <v/>
      </c>
      <c r="AZ694" s="38" t="str">
        <f ca="1">IF(NOTA[[#This Row],[NB NOTA_C_QTY]]="","",ROW()-2)</f>
        <v/>
      </c>
    </row>
    <row r="695" spans="1:52" ht="20.100000000000001" customHeight="1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5" s="25" t="str">
        <f ca="1">IF(NOTA[[#This Row],[NAMA BARANG]]="","",INDEX(NOTA[ID],MATCH(,INDIRECT(ADDRESS(ROW(NOTA[ID]),COLUMN(NOTA[ID]))&amp;":"&amp;ADDRESS(ROW(),COLUMN(NOTA[ID]))),-1)))</f>
        <v/>
      </c>
      <c r="E695" s="33"/>
      <c r="H695" s="34"/>
      <c r="Q695" s="29"/>
      <c r="R695" s="35"/>
      <c r="S695" s="36"/>
      <c r="V695" s="37"/>
      <c r="W695" s="32"/>
      <c r="X695" s="37" t="str">
        <f>IF(NOTA[[#This Row],[HARGA/ CTN]]="",NOTA[[#This Row],[JUMLAH_H]],NOTA[[#This Row],[HARGA/ CTN]]*IF(NOTA[[#This Row],[C]]="",0,NOTA[[#This Row],[C]]))</f>
        <v/>
      </c>
      <c r="Y695" s="37" t="str">
        <f>IF(NOTA[[#This Row],[JUMLAH]]="","",NOTA[[#This Row],[JUMLAH]]*NOTA[[#This Row],[DISC 1]])</f>
        <v/>
      </c>
      <c r="Z695" s="37" t="str">
        <f>IF(NOTA[[#This Row],[JUMLAH]]="","",(NOTA[[#This Row],[JUMLAH]]-NOTA[[#This Row],[DISC 1-]])*NOTA[[#This Row],[DISC 2]])</f>
        <v/>
      </c>
      <c r="AA695" s="37" t="str">
        <f>IF(NOTA[[#This Row],[JUMLAH]]="","",(NOTA[[#This Row],[JUMLAH]]-NOTA[[#This Row],[DISC 1-]]-NOTA[[#This Row],[DISC 2-]])*NOTA[[#This Row],[DISC 3]])</f>
        <v/>
      </c>
      <c r="AB695" s="37" t="str">
        <f>IF(NOTA[[#This Row],[JUMLAH]]="","",NOTA[[#This Row],[DISC 1-]]+NOTA[[#This Row],[DISC 2-]]+NOTA[[#This Row],[DISC 3-]])</f>
        <v/>
      </c>
      <c r="AC695" s="37" t="str">
        <f>IF(NOTA[[#This Row],[JUMLAH]]="","",NOTA[[#This Row],[JUMLAH]]-NOTA[[#This Row],[DISC]])</f>
        <v/>
      </c>
      <c r="AD695" s="37"/>
      <c r="AE6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5" s="37" t="str">
        <f>IF(OR(NOTA[[#This Row],[QTY]]="",NOTA[[#This Row],[HARGA SATUAN]]="",),"",NOTA[[#This Row],[QTY]]*NOTA[[#This Row],[HARGA SATUAN]])</f>
        <v/>
      </c>
      <c r="AI695" s="26" t="str">
        <f ca="1">IF(NOTA[[#This Row],[ID_H]]="","",INDEX(NOTA[TANGGAL],MATCH(,INDIRECT(ADDRESS(ROW(NOTA[TANGGAL]),COLUMN(NOTA[TANGGAL]))&amp;":"&amp;ADDRESS(ROW(),COLUMN(NOTA[TANGGAL]))),-1)))</f>
        <v/>
      </c>
      <c r="AJ695" s="26" t="str">
        <f ca="1">IF(NOTA[[#This Row],[ID_H]]="","",INDEX(NOTA[TGL.NOTA],MATCH(,INDIRECT(ADDRESS(ROW(NOTA[TGL.NOTA]),COLUMN(NOTA[TGL.NOTA]))&amp;":"&amp;ADDRESS(ROW(),COLUMN(NOTA[TGL.NOTA]))),-1)))</f>
        <v/>
      </c>
      <c r="AK695" s="26" t="str">
        <f ca="1">IF(NOTA[[#This Row],[ID_H]]="","",INDEX(NOTA[NO.NOTA],MATCH(NOTA[[#This Row],[ID_H]],NOTA[ID_H],0)))</f>
        <v/>
      </c>
      <c r="AL695" s="28" t="str">
        <f ca="1">IF(NOTA[[#This Row],[NAMA BARANG]]="","",INDEX(NOTA[SUPPLIER],MATCH(,INDIRECT(ADDRESS(ROW(NOTA[ID]),COLUMN(NOTA[ID]))&amp;":"&amp;ADDRESS(ROW(),COLUMN(NOTA[ID]))),-1)))</f>
        <v/>
      </c>
      <c r="AM695" s="28" t="str">
        <f ca="1">IF(NOTA[[#This Row],[ID_H]]="","",IF(NOTA[[#This Row],[FAKTUR]]="",INDIRECT(ADDRESS(ROW()-1,COLUMN())),NOTA[[#This Row],[FAKTUR]]))</f>
        <v/>
      </c>
      <c r="AN695" s="25" t="str">
        <f ca="1">IF(NOTA[[#This Row],[ID]]="","",COUNTIF(NOTA[ID_H],NOTA[[#This Row],[ID_H]]))</f>
        <v/>
      </c>
      <c r="AO695" s="25" t="str">
        <f ca="1">IF(NOTA[[#This Row],[TGL.NOTA]]="",IF(NOTA[[#This Row],[SUPPLIER_H]]="","",AO694),MONTH(NOTA[[#This Row],[TGL.NOTA]]))</f>
        <v/>
      </c>
      <c r="AP6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5" s="25"/>
      <c r="AU695" s="25" t="str">
        <f>IF(NOTA[[#This Row],[CONCAT1]]="","",MATCH(NOTA[[#This Row],[CONCAT1]],[3]!db[NB NOTA_C],0))</f>
        <v/>
      </c>
      <c r="AV695" s="25" t="str">
        <f>IF(NOTA[[#This Row],[QTY/ CTN]]="","",TRUE)</f>
        <v/>
      </c>
      <c r="AW695" s="25" t="str">
        <f ca="1">IF(NOTA[[#This Row],[ID_H]]="","",IF(NOTA[[#This Row],[Column3]]=TRUE,NOTA[[#This Row],[QTY/ CTN]],INDEX([3]!db[QTY/ CTN],NOTA[[#This Row],[//DB]])))</f>
        <v/>
      </c>
      <c r="AX6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5" s="25" t="str">
        <f ca="1">IF(NOTA[[#This Row],[ID_H]]="","",MATCH(NOTA[[#This Row],[NB NOTA_C_QTY]],[3]!db[NB NOTA_C_QTY+F],0))</f>
        <v/>
      </c>
      <c r="AZ695" s="38" t="str">
        <f ca="1">IF(NOTA[[#This Row],[NB NOTA_C_QTY]]="","",ROW()-2)</f>
        <v/>
      </c>
    </row>
    <row r="696" spans="1:52" ht="20.100000000000001" customHeight="1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6" s="25" t="str">
        <f ca="1">IF(NOTA[[#This Row],[NAMA BARANG]]="","",INDEX(NOTA[ID],MATCH(,INDIRECT(ADDRESS(ROW(NOTA[ID]),COLUMN(NOTA[ID]))&amp;":"&amp;ADDRESS(ROW(),COLUMN(NOTA[ID]))),-1)))</f>
        <v/>
      </c>
      <c r="E696" s="33"/>
      <c r="H696" s="34"/>
      <c r="Q696" s="29"/>
      <c r="R696" s="35"/>
      <c r="S696" s="36"/>
      <c r="V696" s="37"/>
      <c r="W696" s="32"/>
      <c r="X696" s="37" t="str">
        <f>IF(NOTA[[#This Row],[HARGA/ CTN]]="",NOTA[[#This Row],[JUMLAH_H]],NOTA[[#This Row],[HARGA/ CTN]]*IF(NOTA[[#This Row],[C]]="",0,NOTA[[#This Row],[C]]))</f>
        <v/>
      </c>
      <c r="Y696" s="37" t="str">
        <f>IF(NOTA[[#This Row],[JUMLAH]]="","",NOTA[[#This Row],[JUMLAH]]*NOTA[[#This Row],[DISC 1]])</f>
        <v/>
      </c>
      <c r="Z696" s="37" t="str">
        <f>IF(NOTA[[#This Row],[JUMLAH]]="","",(NOTA[[#This Row],[JUMLAH]]-NOTA[[#This Row],[DISC 1-]])*NOTA[[#This Row],[DISC 2]])</f>
        <v/>
      </c>
      <c r="AA696" s="37" t="str">
        <f>IF(NOTA[[#This Row],[JUMLAH]]="","",(NOTA[[#This Row],[JUMLAH]]-NOTA[[#This Row],[DISC 1-]]-NOTA[[#This Row],[DISC 2-]])*NOTA[[#This Row],[DISC 3]])</f>
        <v/>
      </c>
      <c r="AB696" s="37" t="str">
        <f>IF(NOTA[[#This Row],[JUMLAH]]="","",NOTA[[#This Row],[DISC 1-]]+NOTA[[#This Row],[DISC 2-]]+NOTA[[#This Row],[DISC 3-]])</f>
        <v/>
      </c>
      <c r="AC696" s="37" t="str">
        <f>IF(NOTA[[#This Row],[JUMLAH]]="","",NOTA[[#This Row],[JUMLAH]]-NOTA[[#This Row],[DISC]])</f>
        <v/>
      </c>
      <c r="AD696" s="37"/>
      <c r="AE6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6" s="37" t="str">
        <f>IF(OR(NOTA[[#This Row],[QTY]]="",NOTA[[#This Row],[HARGA SATUAN]]="",),"",NOTA[[#This Row],[QTY]]*NOTA[[#This Row],[HARGA SATUAN]])</f>
        <v/>
      </c>
      <c r="AI696" s="26" t="str">
        <f ca="1">IF(NOTA[[#This Row],[ID_H]]="","",INDEX(NOTA[TANGGAL],MATCH(,INDIRECT(ADDRESS(ROW(NOTA[TANGGAL]),COLUMN(NOTA[TANGGAL]))&amp;":"&amp;ADDRESS(ROW(),COLUMN(NOTA[TANGGAL]))),-1)))</f>
        <v/>
      </c>
      <c r="AJ696" s="26" t="str">
        <f ca="1">IF(NOTA[[#This Row],[ID_H]]="","",INDEX(NOTA[TGL.NOTA],MATCH(,INDIRECT(ADDRESS(ROW(NOTA[TGL.NOTA]),COLUMN(NOTA[TGL.NOTA]))&amp;":"&amp;ADDRESS(ROW(),COLUMN(NOTA[TGL.NOTA]))),-1)))</f>
        <v/>
      </c>
      <c r="AK696" s="26" t="str">
        <f ca="1">IF(NOTA[[#This Row],[ID_H]]="","",INDEX(NOTA[NO.NOTA],MATCH(NOTA[[#This Row],[ID_H]],NOTA[ID_H],0)))</f>
        <v/>
      </c>
      <c r="AL696" s="28" t="str">
        <f ca="1">IF(NOTA[[#This Row],[NAMA BARANG]]="","",INDEX(NOTA[SUPPLIER],MATCH(,INDIRECT(ADDRESS(ROW(NOTA[ID]),COLUMN(NOTA[ID]))&amp;":"&amp;ADDRESS(ROW(),COLUMN(NOTA[ID]))),-1)))</f>
        <v/>
      </c>
      <c r="AM696" s="28" t="str">
        <f ca="1">IF(NOTA[[#This Row],[ID_H]]="","",IF(NOTA[[#This Row],[FAKTUR]]="",INDIRECT(ADDRESS(ROW()-1,COLUMN())),NOTA[[#This Row],[FAKTUR]]))</f>
        <v/>
      </c>
      <c r="AN696" s="25" t="str">
        <f ca="1">IF(NOTA[[#This Row],[ID]]="","",COUNTIF(NOTA[ID_H],NOTA[[#This Row],[ID_H]]))</f>
        <v/>
      </c>
      <c r="AO696" s="25" t="str">
        <f ca="1">IF(NOTA[[#This Row],[TGL.NOTA]]="",IF(NOTA[[#This Row],[SUPPLIER_H]]="","",AO695),MONTH(NOTA[[#This Row],[TGL.NOTA]]))</f>
        <v/>
      </c>
      <c r="AP6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6" s="25"/>
      <c r="AU696" s="25" t="str">
        <f>IF(NOTA[[#This Row],[CONCAT1]]="","",MATCH(NOTA[[#This Row],[CONCAT1]],[3]!db[NB NOTA_C],0))</f>
        <v/>
      </c>
      <c r="AV696" s="25" t="str">
        <f>IF(NOTA[[#This Row],[QTY/ CTN]]="","",TRUE)</f>
        <v/>
      </c>
      <c r="AW696" s="25" t="str">
        <f ca="1">IF(NOTA[[#This Row],[ID_H]]="","",IF(NOTA[[#This Row],[Column3]]=TRUE,NOTA[[#This Row],[QTY/ CTN]],INDEX([3]!db[QTY/ CTN],NOTA[[#This Row],[//DB]])))</f>
        <v/>
      </c>
      <c r="AX6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6" s="25" t="str">
        <f ca="1">IF(NOTA[[#This Row],[ID_H]]="","",MATCH(NOTA[[#This Row],[NB NOTA_C_QTY]],[3]!db[NB NOTA_C_QTY+F],0))</f>
        <v/>
      </c>
      <c r="AZ696" s="38" t="str">
        <f ca="1">IF(NOTA[[#This Row],[NB NOTA_C_QTY]]="","",ROW()-2)</f>
        <v/>
      </c>
    </row>
    <row r="697" spans="1:52" ht="20.100000000000001" customHeight="1">
      <c r="A6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7" s="25" t="str">
        <f ca="1">IF(NOTA[[#This Row],[NAMA BARANG]]="","",INDEX(NOTA[ID],MATCH(,INDIRECT(ADDRESS(ROW(NOTA[ID]),COLUMN(NOTA[ID]))&amp;":"&amp;ADDRESS(ROW(),COLUMN(NOTA[ID]))),-1)))</f>
        <v/>
      </c>
      <c r="E697" s="33"/>
      <c r="H697" s="34"/>
      <c r="Q697" s="29"/>
      <c r="R697" s="35"/>
      <c r="S697" s="36"/>
      <c r="V697" s="37"/>
      <c r="W697" s="32"/>
      <c r="X697" s="37" t="str">
        <f>IF(NOTA[[#This Row],[HARGA/ CTN]]="",NOTA[[#This Row],[JUMLAH_H]],NOTA[[#This Row],[HARGA/ CTN]]*IF(NOTA[[#This Row],[C]]="",0,NOTA[[#This Row],[C]]))</f>
        <v/>
      </c>
      <c r="Y697" s="37" t="str">
        <f>IF(NOTA[[#This Row],[JUMLAH]]="","",NOTA[[#This Row],[JUMLAH]]*NOTA[[#This Row],[DISC 1]])</f>
        <v/>
      </c>
      <c r="Z697" s="37" t="str">
        <f>IF(NOTA[[#This Row],[JUMLAH]]="","",(NOTA[[#This Row],[JUMLAH]]-NOTA[[#This Row],[DISC 1-]])*NOTA[[#This Row],[DISC 2]])</f>
        <v/>
      </c>
      <c r="AA697" s="37" t="str">
        <f>IF(NOTA[[#This Row],[JUMLAH]]="","",(NOTA[[#This Row],[JUMLAH]]-NOTA[[#This Row],[DISC 1-]]-NOTA[[#This Row],[DISC 2-]])*NOTA[[#This Row],[DISC 3]])</f>
        <v/>
      </c>
      <c r="AB697" s="37" t="str">
        <f>IF(NOTA[[#This Row],[JUMLAH]]="","",NOTA[[#This Row],[DISC 1-]]+NOTA[[#This Row],[DISC 2-]]+NOTA[[#This Row],[DISC 3-]])</f>
        <v/>
      </c>
      <c r="AC697" s="37" t="str">
        <f>IF(NOTA[[#This Row],[JUMLAH]]="","",NOTA[[#This Row],[JUMLAH]]-NOTA[[#This Row],[DISC]])</f>
        <v/>
      </c>
      <c r="AD697" s="37"/>
      <c r="AE6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7" s="37" t="str">
        <f>IF(OR(NOTA[[#This Row],[QTY]]="",NOTA[[#This Row],[HARGA SATUAN]]="",),"",NOTA[[#This Row],[QTY]]*NOTA[[#This Row],[HARGA SATUAN]])</f>
        <v/>
      </c>
      <c r="AI697" s="26" t="str">
        <f ca="1">IF(NOTA[[#This Row],[ID_H]]="","",INDEX(NOTA[TANGGAL],MATCH(,INDIRECT(ADDRESS(ROW(NOTA[TANGGAL]),COLUMN(NOTA[TANGGAL]))&amp;":"&amp;ADDRESS(ROW(),COLUMN(NOTA[TANGGAL]))),-1)))</f>
        <v/>
      </c>
      <c r="AJ697" s="26" t="str">
        <f ca="1">IF(NOTA[[#This Row],[ID_H]]="","",INDEX(NOTA[TGL.NOTA],MATCH(,INDIRECT(ADDRESS(ROW(NOTA[TGL.NOTA]),COLUMN(NOTA[TGL.NOTA]))&amp;":"&amp;ADDRESS(ROW(),COLUMN(NOTA[TGL.NOTA]))),-1)))</f>
        <v/>
      </c>
      <c r="AK697" s="26" t="str">
        <f ca="1">IF(NOTA[[#This Row],[ID_H]]="","",INDEX(NOTA[NO.NOTA],MATCH(NOTA[[#This Row],[ID_H]],NOTA[ID_H],0)))</f>
        <v/>
      </c>
      <c r="AL697" s="28" t="str">
        <f ca="1">IF(NOTA[[#This Row],[NAMA BARANG]]="","",INDEX(NOTA[SUPPLIER],MATCH(,INDIRECT(ADDRESS(ROW(NOTA[ID]),COLUMN(NOTA[ID]))&amp;":"&amp;ADDRESS(ROW(),COLUMN(NOTA[ID]))),-1)))</f>
        <v/>
      </c>
      <c r="AM697" s="28" t="str">
        <f ca="1">IF(NOTA[[#This Row],[ID_H]]="","",IF(NOTA[[#This Row],[FAKTUR]]="",INDIRECT(ADDRESS(ROW()-1,COLUMN())),NOTA[[#This Row],[FAKTUR]]))</f>
        <v/>
      </c>
      <c r="AN697" s="25" t="str">
        <f ca="1">IF(NOTA[[#This Row],[ID]]="","",COUNTIF(NOTA[ID_H],NOTA[[#This Row],[ID_H]]))</f>
        <v/>
      </c>
      <c r="AO697" s="25" t="str">
        <f ca="1">IF(NOTA[[#This Row],[TGL.NOTA]]="",IF(NOTA[[#This Row],[SUPPLIER_H]]="","",AO696),MONTH(NOTA[[#This Row],[TGL.NOTA]]))</f>
        <v/>
      </c>
      <c r="AP6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7" s="25"/>
      <c r="AU697" s="25" t="str">
        <f>IF(NOTA[[#This Row],[CONCAT1]]="","",MATCH(NOTA[[#This Row],[CONCAT1]],[3]!db[NB NOTA_C],0))</f>
        <v/>
      </c>
      <c r="AV697" s="25" t="str">
        <f>IF(NOTA[[#This Row],[QTY/ CTN]]="","",TRUE)</f>
        <v/>
      </c>
      <c r="AW697" s="25" t="str">
        <f ca="1">IF(NOTA[[#This Row],[ID_H]]="","",IF(NOTA[[#This Row],[Column3]]=TRUE,NOTA[[#This Row],[QTY/ CTN]],INDEX([3]!db[QTY/ CTN],NOTA[[#This Row],[//DB]])))</f>
        <v/>
      </c>
      <c r="AX6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7" s="25" t="str">
        <f ca="1">IF(NOTA[[#This Row],[ID_H]]="","",MATCH(NOTA[[#This Row],[NB NOTA_C_QTY]],[3]!db[NB NOTA_C_QTY+F],0))</f>
        <v/>
      </c>
      <c r="AZ697" s="38" t="str">
        <f ca="1">IF(NOTA[[#This Row],[NB NOTA_C_QTY]]="","",ROW()-2)</f>
        <v/>
      </c>
    </row>
    <row r="698" spans="1:52" ht="20.100000000000001" customHeight="1">
      <c r="A6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8" s="25" t="str">
        <f ca="1">IF(NOTA[[#This Row],[NAMA BARANG]]="","",INDEX(NOTA[ID],MATCH(,INDIRECT(ADDRESS(ROW(NOTA[ID]),COLUMN(NOTA[ID]))&amp;":"&amp;ADDRESS(ROW(),COLUMN(NOTA[ID]))),-1)))</f>
        <v/>
      </c>
      <c r="E698" s="33"/>
      <c r="H698" s="34"/>
      <c r="Q698" s="29"/>
      <c r="R698" s="35"/>
      <c r="S698" s="36"/>
      <c r="V698" s="37"/>
      <c r="W698" s="32"/>
      <c r="X698" s="37" t="str">
        <f>IF(NOTA[[#This Row],[HARGA/ CTN]]="",NOTA[[#This Row],[JUMLAH_H]],NOTA[[#This Row],[HARGA/ CTN]]*IF(NOTA[[#This Row],[C]]="",0,NOTA[[#This Row],[C]]))</f>
        <v/>
      </c>
      <c r="Y698" s="37" t="str">
        <f>IF(NOTA[[#This Row],[JUMLAH]]="","",NOTA[[#This Row],[JUMLAH]]*NOTA[[#This Row],[DISC 1]])</f>
        <v/>
      </c>
      <c r="Z698" s="37" t="str">
        <f>IF(NOTA[[#This Row],[JUMLAH]]="","",(NOTA[[#This Row],[JUMLAH]]-NOTA[[#This Row],[DISC 1-]])*NOTA[[#This Row],[DISC 2]])</f>
        <v/>
      </c>
      <c r="AA698" s="37" t="str">
        <f>IF(NOTA[[#This Row],[JUMLAH]]="","",(NOTA[[#This Row],[JUMLAH]]-NOTA[[#This Row],[DISC 1-]]-NOTA[[#This Row],[DISC 2-]])*NOTA[[#This Row],[DISC 3]])</f>
        <v/>
      </c>
      <c r="AB698" s="37" t="str">
        <f>IF(NOTA[[#This Row],[JUMLAH]]="","",NOTA[[#This Row],[DISC 1-]]+NOTA[[#This Row],[DISC 2-]]+NOTA[[#This Row],[DISC 3-]])</f>
        <v/>
      </c>
      <c r="AC698" s="37" t="str">
        <f>IF(NOTA[[#This Row],[JUMLAH]]="","",NOTA[[#This Row],[JUMLAH]]-NOTA[[#This Row],[DISC]])</f>
        <v/>
      </c>
      <c r="AD698" s="37"/>
      <c r="AE6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8" s="37" t="str">
        <f>IF(OR(NOTA[[#This Row],[QTY]]="",NOTA[[#This Row],[HARGA SATUAN]]="",),"",NOTA[[#This Row],[QTY]]*NOTA[[#This Row],[HARGA SATUAN]])</f>
        <v/>
      </c>
      <c r="AI698" s="26" t="str">
        <f ca="1">IF(NOTA[[#This Row],[ID_H]]="","",INDEX(NOTA[TANGGAL],MATCH(,INDIRECT(ADDRESS(ROW(NOTA[TANGGAL]),COLUMN(NOTA[TANGGAL]))&amp;":"&amp;ADDRESS(ROW(),COLUMN(NOTA[TANGGAL]))),-1)))</f>
        <v/>
      </c>
      <c r="AJ698" s="26" t="str">
        <f ca="1">IF(NOTA[[#This Row],[ID_H]]="","",INDEX(NOTA[TGL.NOTA],MATCH(,INDIRECT(ADDRESS(ROW(NOTA[TGL.NOTA]),COLUMN(NOTA[TGL.NOTA]))&amp;":"&amp;ADDRESS(ROW(),COLUMN(NOTA[TGL.NOTA]))),-1)))</f>
        <v/>
      </c>
      <c r="AK698" s="26" t="str">
        <f ca="1">IF(NOTA[[#This Row],[ID_H]]="","",INDEX(NOTA[NO.NOTA],MATCH(NOTA[[#This Row],[ID_H]],NOTA[ID_H],0)))</f>
        <v/>
      </c>
      <c r="AL698" s="28" t="str">
        <f ca="1">IF(NOTA[[#This Row],[NAMA BARANG]]="","",INDEX(NOTA[SUPPLIER],MATCH(,INDIRECT(ADDRESS(ROW(NOTA[ID]),COLUMN(NOTA[ID]))&amp;":"&amp;ADDRESS(ROW(),COLUMN(NOTA[ID]))),-1)))</f>
        <v/>
      </c>
      <c r="AM698" s="28" t="str">
        <f ca="1">IF(NOTA[[#This Row],[ID_H]]="","",IF(NOTA[[#This Row],[FAKTUR]]="",INDIRECT(ADDRESS(ROW()-1,COLUMN())),NOTA[[#This Row],[FAKTUR]]))</f>
        <v/>
      </c>
      <c r="AN698" s="25" t="str">
        <f ca="1">IF(NOTA[[#This Row],[ID]]="","",COUNTIF(NOTA[ID_H],NOTA[[#This Row],[ID_H]]))</f>
        <v/>
      </c>
      <c r="AO698" s="25" t="str">
        <f ca="1">IF(NOTA[[#This Row],[TGL.NOTA]]="",IF(NOTA[[#This Row],[SUPPLIER_H]]="","",AO697),MONTH(NOTA[[#This Row],[TGL.NOTA]]))</f>
        <v/>
      </c>
      <c r="AP6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8" s="25"/>
      <c r="AU698" s="25" t="str">
        <f>IF(NOTA[[#This Row],[CONCAT1]]="","",MATCH(NOTA[[#This Row],[CONCAT1]],[3]!db[NB NOTA_C],0))</f>
        <v/>
      </c>
      <c r="AV698" s="25" t="str">
        <f>IF(NOTA[[#This Row],[QTY/ CTN]]="","",TRUE)</f>
        <v/>
      </c>
      <c r="AW698" s="25" t="str">
        <f ca="1">IF(NOTA[[#This Row],[ID_H]]="","",IF(NOTA[[#This Row],[Column3]]=TRUE,NOTA[[#This Row],[QTY/ CTN]],INDEX([3]!db[QTY/ CTN],NOTA[[#This Row],[//DB]])))</f>
        <v/>
      </c>
      <c r="AX6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8" s="25" t="str">
        <f ca="1">IF(NOTA[[#This Row],[ID_H]]="","",MATCH(NOTA[[#This Row],[NB NOTA_C_QTY]],[3]!db[NB NOTA_C_QTY+F],0))</f>
        <v/>
      </c>
      <c r="AZ698" s="38" t="str">
        <f ca="1">IF(NOTA[[#This Row],[NB NOTA_C_QTY]]="","",ROW()-2)</f>
        <v/>
      </c>
    </row>
    <row r="699" spans="1:52" ht="20.100000000000001" customHeight="1">
      <c r="A6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9" s="25" t="str">
        <f ca="1">IF(NOTA[[#This Row],[NAMA BARANG]]="","",INDEX(NOTA[ID],MATCH(,INDIRECT(ADDRESS(ROW(NOTA[ID]),COLUMN(NOTA[ID]))&amp;":"&amp;ADDRESS(ROW(),COLUMN(NOTA[ID]))),-1)))</f>
        <v/>
      </c>
      <c r="E699" s="33"/>
      <c r="H699" s="34"/>
      <c r="Q699" s="29"/>
      <c r="R699" s="35"/>
      <c r="S699" s="36"/>
      <c r="V699" s="37"/>
      <c r="W699" s="32"/>
      <c r="X699" s="37" t="str">
        <f>IF(NOTA[[#This Row],[HARGA/ CTN]]="",NOTA[[#This Row],[JUMLAH_H]],NOTA[[#This Row],[HARGA/ CTN]]*IF(NOTA[[#This Row],[C]]="",0,NOTA[[#This Row],[C]]))</f>
        <v/>
      </c>
      <c r="Y699" s="37" t="str">
        <f>IF(NOTA[[#This Row],[JUMLAH]]="","",NOTA[[#This Row],[JUMLAH]]*NOTA[[#This Row],[DISC 1]])</f>
        <v/>
      </c>
      <c r="Z699" s="37" t="str">
        <f>IF(NOTA[[#This Row],[JUMLAH]]="","",(NOTA[[#This Row],[JUMLAH]]-NOTA[[#This Row],[DISC 1-]])*NOTA[[#This Row],[DISC 2]])</f>
        <v/>
      </c>
      <c r="AA699" s="37" t="str">
        <f>IF(NOTA[[#This Row],[JUMLAH]]="","",(NOTA[[#This Row],[JUMLAH]]-NOTA[[#This Row],[DISC 1-]]-NOTA[[#This Row],[DISC 2-]])*NOTA[[#This Row],[DISC 3]])</f>
        <v/>
      </c>
      <c r="AB699" s="37" t="str">
        <f>IF(NOTA[[#This Row],[JUMLAH]]="","",NOTA[[#This Row],[DISC 1-]]+NOTA[[#This Row],[DISC 2-]]+NOTA[[#This Row],[DISC 3-]])</f>
        <v/>
      </c>
      <c r="AC699" s="37" t="str">
        <f>IF(NOTA[[#This Row],[JUMLAH]]="","",NOTA[[#This Row],[JUMLAH]]-NOTA[[#This Row],[DISC]])</f>
        <v/>
      </c>
      <c r="AD699" s="37"/>
      <c r="AE6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9" s="37" t="str">
        <f>IF(OR(NOTA[[#This Row],[QTY]]="",NOTA[[#This Row],[HARGA SATUAN]]="",),"",NOTA[[#This Row],[QTY]]*NOTA[[#This Row],[HARGA SATUAN]])</f>
        <v/>
      </c>
      <c r="AI699" s="26" t="str">
        <f ca="1">IF(NOTA[[#This Row],[ID_H]]="","",INDEX(NOTA[TANGGAL],MATCH(,INDIRECT(ADDRESS(ROW(NOTA[TANGGAL]),COLUMN(NOTA[TANGGAL]))&amp;":"&amp;ADDRESS(ROW(),COLUMN(NOTA[TANGGAL]))),-1)))</f>
        <v/>
      </c>
      <c r="AJ699" s="26" t="str">
        <f ca="1">IF(NOTA[[#This Row],[ID_H]]="","",INDEX(NOTA[TGL.NOTA],MATCH(,INDIRECT(ADDRESS(ROW(NOTA[TGL.NOTA]),COLUMN(NOTA[TGL.NOTA]))&amp;":"&amp;ADDRESS(ROW(),COLUMN(NOTA[TGL.NOTA]))),-1)))</f>
        <v/>
      </c>
      <c r="AK699" s="26" t="str">
        <f ca="1">IF(NOTA[[#This Row],[ID_H]]="","",INDEX(NOTA[NO.NOTA],MATCH(NOTA[[#This Row],[ID_H]],NOTA[ID_H],0)))</f>
        <v/>
      </c>
      <c r="AL699" s="28" t="str">
        <f ca="1">IF(NOTA[[#This Row],[NAMA BARANG]]="","",INDEX(NOTA[SUPPLIER],MATCH(,INDIRECT(ADDRESS(ROW(NOTA[ID]),COLUMN(NOTA[ID]))&amp;":"&amp;ADDRESS(ROW(),COLUMN(NOTA[ID]))),-1)))</f>
        <v/>
      </c>
      <c r="AM699" s="28" t="str">
        <f ca="1">IF(NOTA[[#This Row],[ID_H]]="","",IF(NOTA[[#This Row],[FAKTUR]]="",INDIRECT(ADDRESS(ROW()-1,COLUMN())),NOTA[[#This Row],[FAKTUR]]))</f>
        <v/>
      </c>
      <c r="AN699" s="25" t="str">
        <f ca="1">IF(NOTA[[#This Row],[ID]]="","",COUNTIF(NOTA[ID_H],NOTA[[#This Row],[ID_H]]))</f>
        <v/>
      </c>
      <c r="AO699" s="25" t="str">
        <f ca="1">IF(NOTA[[#This Row],[TGL.NOTA]]="",IF(NOTA[[#This Row],[SUPPLIER_H]]="","",AO698),MONTH(NOTA[[#This Row],[TGL.NOTA]]))</f>
        <v/>
      </c>
      <c r="AP6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9" s="25"/>
      <c r="AU699" s="25" t="str">
        <f>IF(NOTA[[#This Row],[CONCAT1]]="","",MATCH(NOTA[[#This Row],[CONCAT1]],[3]!db[NB NOTA_C],0))</f>
        <v/>
      </c>
      <c r="AV699" s="25" t="str">
        <f>IF(NOTA[[#This Row],[QTY/ CTN]]="","",TRUE)</f>
        <v/>
      </c>
      <c r="AW699" s="25" t="str">
        <f ca="1">IF(NOTA[[#This Row],[ID_H]]="","",IF(NOTA[[#This Row],[Column3]]=TRUE,NOTA[[#This Row],[QTY/ CTN]],INDEX([3]!db[QTY/ CTN],NOTA[[#This Row],[//DB]])))</f>
        <v/>
      </c>
      <c r="AX6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9" s="25" t="str">
        <f ca="1">IF(NOTA[[#This Row],[ID_H]]="","",MATCH(NOTA[[#This Row],[NB NOTA_C_QTY]],[3]!db[NB NOTA_C_QTY+F],0))</f>
        <v/>
      </c>
      <c r="AZ699" s="38" t="str">
        <f ca="1">IF(NOTA[[#This Row],[NB NOTA_C_QTY]]="","",ROW()-2)</f>
        <v/>
      </c>
    </row>
    <row r="700" spans="1:52" ht="20.100000000000001" customHeight="1">
      <c r="A7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0" s="25" t="str">
        <f ca="1">IF(NOTA[[#This Row],[NAMA BARANG]]="","",INDEX(NOTA[ID],MATCH(,INDIRECT(ADDRESS(ROW(NOTA[ID]),COLUMN(NOTA[ID]))&amp;":"&amp;ADDRESS(ROW(),COLUMN(NOTA[ID]))),-1)))</f>
        <v/>
      </c>
      <c r="E700" s="33"/>
      <c r="H700" s="34"/>
      <c r="Q700" s="29"/>
      <c r="R700" s="35"/>
      <c r="S700" s="36"/>
      <c r="V700" s="37"/>
      <c r="W700" s="32"/>
      <c r="X700" s="37" t="str">
        <f>IF(NOTA[[#This Row],[HARGA/ CTN]]="",NOTA[[#This Row],[JUMLAH_H]],NOTA[[#This Row],[HARGA/ CTN]]*IF(NOTA[[#This Row],[C]]="",0,NOTA[[#This Row],[C]]))</f>
        <v/>
      </c>
      <c r="Y700" s="37" t="str">
        <f>IF(NOTA[[#This Row],[JUMLAH]]="","",NOTA[[#This Row],[JUMLAH]]*NOTA[[#This Row],[DISC 1]])</f>
        <v/>
      </c>
      <c r="Z700" s="37" t="str">
        <f>IF(NOTA[[#This Row],[JUMLAH]]="","",(NOTA[[#This Row],[JUMLAH]]-NOTA[[#This Row],[DISC 1-]])*NOTA[[#This Row],[DISC 2]])</f>
        <v/>
      </c>
      <c r="AA700" s="37" t="str">
        <f>IF(NOTA[[#This Row],[JUMLAH]]="","",(NOTA[[#This Row],[JUMLAH]]-NOTA[[#This Row],[DISC 1-]]-NOTA[[#This Row],[DISC 2-]])*NOTA[[#This Row],[DISC 3]])</f>
        <v/>
      </c>
      <c r="AB700" s="37" t="str">
        <f>IF(NOTA[[#This Row],[JUMLAH]]="","",NOTA[[#This Row],[DISC 1-]]+NOTA[[#This Row],[DISC 2-]]+NOTA[[#This Row],[DISC 3-]])</f>
        <v/>
      </c>
      <c r="AC700" s="37" t="str">
        <f>IF(NOTA[[#This Row],[JUMLAH]]="","",NOTA[[#This Row],[JUMLAH]]-NOTA[[#This Row],[DISC]])</f>
        <v/>
      </c>
      <c r="AD700" s="37"/>
      <c r="AE7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0" s="37" t="str">
        <f>IF(OR(NOTA[[#This Row],[QTY]]="",NOTA[[#This Row],[HARGA SATUAN]]="",),"",NOTA[[#This Row],[QTY]]*NOTA[[#This Row],[HARGA SATUAN]])</f>
        <v/>
      </c>
      <c r="AI700" s="26" t="str">
        <f ca="1">IF(NOTA[[#This Row],[ID_H]]="","",INDEX(NOTA[TANGGAL],MATCH(,INDIRECT(ADDRESS(ROW(NOTA[TANGGAL]),COLUMN(NOTA[TANGGAL]))&amp;":"&amp;ADDRESS(ROW(),COLUMN(NOTA[TANGGAL]))),-1)))</f>
        <v/>
      </c>
      <c r="AJ700" s="26" t="str">
        <f ca="1">IF(NOTA[[#This Row],[ID_H]]="","",INDEX(NOTA[TGL.NOTA],MATCH(,INDIRECT(ADDRESS(ROW(NOTA[TGL.NOTA]),COLUMN(NOTA[TGL.NOTA]))&amp;":"&amp;ADDRESS(ROW(),COLUMN(NOTA[TGL.NOTA]))),-1)))</f>
        <v/>
      </c>
      <c r="AK700" s="26" t="str">
        <f ca="1">IF(NOTA[[#This Row],[ID_H]]="","",INDEX(NOTA[NO.NOTA],MATCH(NOTA[[#This Row],[ID_H]],NOTA[ID_H],0)))</f>
        <v/>
      </c>
      <c r="AL700" s="28" t="str">
        <f ca="1">IF(NOTA[[#This Row],[NAMA BARANG]]="","",INDEX(NOTA[SUPPLIER],MATCH(,INDIRECT(ADDRESS(ROW(NOTA[ID]),COLUMN(NOTA[ID]))&amp;":"&amp;ADDRESS(ROW(),COLUMN(NOTA[ID]))),-1)))</f>
        <v/>
      </c>
      <c r="AM700" s="28" t="str">
        <f ca="1">IF(NOTA[[#This Row],[ID_H]]="","",IF(NOTA[[#This Row],[FAKTUR]]="",INDIRECT(ADDRESS(ROW()-1,COLUMN())),NOTA[[#This Row],[FAKTUR]]))</f>
        <v/>
      </c>
      <c r="AN700" s="25" t="str">
        <f ca="1">IF(NOTA[[#This Row],[ID]]="","",COUNTIF(NOTA[ID_H],NOTA[[#This Row],[ID_H]]))</f>
        <v/>
      </c>
      <c r="AO700" s="25" t="str">
        <f ca="1">IF(NOTA[[#This Row],[TGL.NOTA]]="",IF(NOTA[[#This Row],[SUPPLIER_H]]="","",AO699),MONTH(NOTA[[#This Row],[TGL.NOTA]]))</f>
        <v/>
      </c>
      <c r="AP7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0" s="25"/>
      <c r="AU700" s="25" t="str">
        <f>IF(NOTA[[#This Row],[CONCAT1]]="","",MATCH(NOTA[[#This Row],[CONCAT1]],[3]!db[NB NOTA_C],0))</f>
        <v/>
      </c>
      <c r="AV700" s="25" t="str">
        <f>IF(NOTA[[#This Row],[QTY/ CTN]]="","",TRUE)</f>
        <v/>
      </c>
      <c r="AW700" s="25" t="str">
        <f ca="1">IF(NOTA[[#This Row],[ID_H]]="","",IF(NOTA[[#This Row],[Column3]]=TRUE,NOTA[[#This Row],[QTY/ CTN]],INDEX([3]!db[QTY/ CTN],NOTA[[#This Row],[//DB]])))</f>
        <v/>
      </c>
      <c r="AX7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0" s="25" t="str">
        <f ca="1">IF(NOTA[[#This Row],[ID_H]]="","",MATCH(NOTA[[#This Row],[NB NOTA_C_QTY]],[3]!db[NB NOTA_C_QTY+F],0))</f>
        <v/>
      </c>
      <c r="AZ700" s="38" t="str">
        <f ca="1">IF(NOTA[[#This Row],[NB NOTA_C_QTY]]="","",ROW()-2)</f>
        <v/>
      </c>
    </row>
    <row r="701" spans="1:52" ht="20.100000000000001" customHeight="1">
      <c r="A7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1" s="25" t="str">
        <f ca="1">IF(NOTA[[#This Row],[NAMA BARANG]]="","",INDEX(NOTA[ID],MATCH(,INDIRECT(ADDRESS(ROW(NOTA[ID]),COLUMN(NOTA[ID]))&amp;":"&amp;ADDRESS(ROW(),COLUMN(NOTA[ID]))),-1)))</f>
        <v/>
      </c>
      <c r="E701" s="33"/>
      <c r="H701" s="34"/>
      <c r="Q701" s="29"/>
      <c r="R701" s="35"/>
      <c r="S701" s="36"/>
      <c r="V701" s="37"/>
      <c r="W701" s="32"/>
      <c r="X701" s="37" t="str">
        <f>IF(NOTA[[#This Row],[HARGA/ CTN]]="",NOTA[[#This Row],[JUMLAH_H]],NOTA[[#This Row],[HARGA/ CTN]]*IF(NOTA[[#This Row],[C]]="",0,NOTA[[#This Row],[C]]))</f>
        <v/>
      </c>
      <c r="Y701" s="37" t="str">
        <f>IF(NOTA[[#This Row],[JUMLAH]]="","",NOTA[[#This Row],[JUMLAH]]*NOTA[[#This Row],[DISC 1]])</f>
        <v/>
      </c>
      <c r="Z701" s="37" t="str">
        <f>IF(NOTA[[#This Row],[JUMLAH]]="","",(NOTA[[#This Row],[JUMLAH]]-NOTA[[#This Row],[DISC 1-]])*NOTA[[#This Row],[DISC 2]])</f>
        <v/>
      </c>
      <c r="AA701" s="37" t="str">
        <f>IF(NOTA[[#This Row],[JUMLAH]]="","",(NOTA[[#This Row],[JUMLAH]]-NOTA[[#This Row],[DISC 1-]]-NOTA[[#This Row],[DISC 2-]])*NOTA[[#This Row],[DISC 3]])</f>
        <v/>
      </c>
      <c r="AB701" s="37" t="str">
        <f>IF(NOTA[[#This Row],[JUMLAH]]="","",NOTA[[#This Row],[DISC 1-]]+NOTA[[#This Row],[DISC 2-]]+NOTA[[#This Row],[DISC 3-]])</f>
        <v/>
      </c>
      <c r="AC701" s="37" t="str">
        <f>IF(NOTA[[#This Row],[JUMLAH]]="","",NOTA[[#This Row],[JUMLAH]]-NOTA[[#This Row],[DISC]])</f>
        <v/>
      </c>
      <c r="AD701" s="37"/>
      <c r="AE7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1" s="37" t="str">
        <f>IF(OR(NOTA[[#This Row],[QTY]]="",NOTA[[#This Row],[HARGA SATUAN]]="",),"",NOTA[[#This Row],[QTY]]*NOTA[[#This Row],[HARGA SATUAN]])</f>
        <v/>
      </c>
      <c r="AI701" s="26" t="str">
        <f ca="1">IF(NOTA[[#This Row],[ID_H]]="","",INDEX(NOTA[TANGGAL],MATCH(,INDIRECT(ADDRESS(ROW(NOTA[TANGGAL]),COLUMN(NOTA[TANGGAL]))&amp;":"&amp;ADDRESS(ROW(),COLUMN(NOTA[TANGGAL]))),-1)))</f>
        <v/>
      </c>
      <c r="AJ701" s="26" t="str">
        <f ca="1">IF(NOTA[[#This Row],[ID_H]]="","",INDEX(NOTA[TGL.NOTA],MATCH(,INDIRECT(ADDRESS(ROW(NOTA[TGL.NOTA]),COLUMN(NOTA[TGL.NOTA]))&amp;":"&amp;ADDRESS(ROW(),COLUMN(NOTA[TGL.NOTA]))),-1)))</f>
        <v/>
      </c>
      <c r="AK701" s="26" t="str">
        <f ca="1">IF(NOTA[[#This Row],[ID_H]]="","",INDEX(NOTA[NO.NOTA],MATCH(NOTA[[#This Row],[ID_H]],NOTA[ID_H],0)))</f>
        <v/>
      </c>
      <c r="AL701" s="28" t="str">
        <f ca="1">IF(NOTA[[#This Row],[NAMA BARANG]]="","",INDEX(NOTA[SUPPLIER],MATCH(,INDIRECT(ADDRESS(ROW(NOTA[ID]),COLUMN(NOTA[ID]))&amp;":"&amp;ADDRESS(ROW(),COLUMN(NOTA[ID]))),-1)))</f>
        <v/>
      </c>
      <c r="AM701" s="28" t="str">
        <f ca="1">IF(NOTA[[#This Row],[ID_H]]="","",IF(NOTA[[#This Row],[FAKTUR]]="",INDIRECT(ADDRESS(ROW()-1,COLUMN())),NOTA[[#This Row],[FAKTUR]]))</f>
        <v/>
      </c>
      <c r="AN701" s="25" t="str">
        <f ca="1">IF(NOTA[[#This Row],[ID]]="","",COUNTIF(NOTA[ID_H],NOTA[[#This Row],[ID_H]]))</f>
        <v/>
      </c>
      <c r="AO701" s="25" t="str">
        <f ca="1">IF(NOTA[[#This Row],[TGL.NOTA]]="",IF(NOTA[[#This Row],[SUPPLIER_H]]="","",AO700),MONTH(NOTA[[#This Row],[TGL.NOTA]]))</f>
        <v/>
      </c>
      <c r="AP7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1" s="25"/>
      <c r="AU701" s="25" t="str">
        <f>IF(NOTA[[#This Row],[CONCAT1]]="","",MATCH(NOTA[[#This Row],[CONCAT1]],[3]!db[NB NOTA_C],0))</f>
        <v/>
      </c>
      <c r="AV701" s="25" t="str">
        <f>IF(NOTA[[#This Row],[QTY/ CTN]]="","",TRUE)</f>
        <v/>
      </c>
      <c r="AW701" s="25" t="str">
        <f ca="1">IF(NOTA[[#This Row],[ID_H]]="","",IF(NOTA[[#This Row],[Column3]]=TRUE,NOTA[[#This Row],[QTY/ CTN]],INDEX([3]!db[QTY/ CTN],NOTA[[#This Row],[//DB]])))</f>
        <v/>
      </c>
      <c r="AX7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1" s="25" t="str">
        <f ca="1">IF(NOTA[[#This Row],[ID_H]]="","",MATCH(NOTA[[#This Row],[NB NOTA_C_QTY]],[3]!db[NB NOTA_C_QTY+F],0))</f>
        <v/>
      </c>
      <c r="AZ701" s="38" t="str">
        <f ca="1">IF(NOTA[[#This Row],[NB NOTA_C_QTY]]="","",ROW()-2)</f>
        <v/>
      </c>
    </row>
    <row r="702" spans="1:52" ht="20.100000000000001" customHeight="1">
      <c r="A7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2" s="25" t="str">
        <f ca="1">IF(NOTA[[#This Row],[NAMA BARANG]]="","",INDEX(NOTA[ID],MATCH(,INDIRECT(ADDRESS(ROW(NOTA[ID]),COLUMN(NOTA[ID]))&amp;":"&amp;ADDRESS(ROW(),COLUMN(NOTA[ID]))),-1)))</f>
        <v/>
      </c>
      <c r="E702" s="33"/>
      <c r="H702" s="34"/>
      <c r="Q702" s="29"/>
      <c r="R702" s="35"/>
      <c r="S702" s="36"/>
      <c r="V702" s="37"/>
      <c r="W702" s="32"/>
      <c r="X702" s="37" t="str">
        <f>IF(NOTA[[#This Row],[HARGA/ CTN]]="",NOTA[[#This Row],[JUMLAH_H]],NOTA[[#This Row],[HARGA/ CTN]]*IF(NOTA[[#This Row],[C]]="",0,NOTA[[#This Row],[C]]))</f>
        <v/>
      </c>
      <c r="Y702" s="37" t="str">
        <f>IF(NOTA[[#This Row],[JUMLAH]]="","",NOTA[[#This Row],[JUMLAH]]*NOTA[[#This Row],[DISC 1]])</f>
        <v/>
      </c>
      <c r="Z702" s="37" t="str">
        <f>IF(NOTA[[#This Row],[JUMLAH]]="","",(NOTA[[#This Row],[JUMLAH]]-NOTA[[#This Row],[DISC 1-]])*NOTA[[#This Row],[DISC 2]])</f>
        <v/>
      </c>
      <c r="AA702" s="37" t="str">
        <f>IF(NOTA[[#This Row],[JUMLAH]]="","",(NOTA[[#This Row],[JUMLAH]]-NOTA[[#This Row],[DISC 1-]]-NOTA[[#This Row],[DISC 2-]])*NOTA[[#This Row],[DISC 3]])</f>
        <v/>
      </c>
      <c r="AB702" s="37" t="str">
        <f>IF(NOTA[[#This Row],[JUMLAH]]="","",NOTA[[#This Row],[DISC 1-]]+NOTA[[#This Row],[DISC 2-]]+NOTA[[#This Row],[DISC 3-]])</f>
        <v/>
      </c>
      <c r="AC702" s="37" t="str">
        <f>IF(NOTA[[#This Row],[JUMLAH]]="","",NOTA[[#This Row],[JUMLAH]]-NOTA[[#This Row],[DISC]])</f>
        <v/>
      </c>
      <c r="AD702" s="37"/>
      <c r="AE7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2" s="37" t="str">
        <f>IF(OR(NOTA[[#This Row],[QTY]]="",NOTA[[#This Row],[HARGA SATUAN]]="",),"",NOTA[[#This Row],[QTY]]*NOTA[[#This Row],[HARGA SATUAN]])</f>
        <v/>
      </c>
      <c r="AI702" s="26" t="str">
        <f ca="1">IF(NOTA[[#This Row],[ID_H]]="","",INDEX(NOTA[TANGGAL],MATCH(,INDIRECT(ADDRESS(ROW(NOTA[TANGGAL]),COLUMN(NOTA[TANGGAL]))&amp;":"&amp;ADDRESS(ROW(),COLUMN(NOTA[TANGGAL]))),-1)))</f>
        <v/>
      </c>
      <c r="AJ702" s="26" t="str">
        <f ca="1">IF(NOTA[[#This Row],[ID_H]]="","",INDEX(NOTA[TGL.NOTA],MATCH(,INDIRECT(ADDRESS(ROW(NOTA[TGL.NOTA]),COLUMN(NOTA[TGL.NOTA]))&amp;":"&amp;ADDRESS(ROW(),COLUMN(NOTA[TGL.NOTA]))),-1)))</f>
        <v/>
      </c>
      <c r="AK702" s="26" t="str">
        <f ca="1">IF(NOTA[[#This Row],[ID_H]]="","",INDEX(NOTA[NO.NOTA],MATCH(NOTA[[#This Row],[ID_H]],NOTA[ID_H],0)))</f>
        <v/>
      </c>
      <c r="AL702" s="28" t="str">
        <f ca="1">IF(NOTA[[#This Row],[NAMA BARANG]]="","",INDEX(NOTA[SUPPLIER],MATCH(,INDIRECT(ADDRESS(ROW(NOTA[ID]),COLUMN(NOTA[ID]))&amp;":"&amp;ADDRESS(ROW(),COLUMN(NOTA[ID]))),-1)))</f>
        <v/>
      </c>
      <c r="AM702" s="28" t="str">
        <f ca="1">IF(NOTA[[#This Row],[ID_H]]="","",IF(NOTA[[#This Row],[FAKTUR]]="",INDIRECT(ADDRESS(ROW()-1,COLUMN())),NOTA[[#This Row],[FAKTUR]]))</f>
        <v/>
      </c>
      <c r="AN702" s="25" t="str">
        <f ca="1">IF(NOTA[[#This Row],[ID]]="","",COUNTIF(NOTA[ID_H],NOTA[[#This Row],[ID_H]]))</f>
        <v/>
      </c>
      <c r="AO702" s="25" t="str">
        <f ca="1">IF(NOTA[[#This Row],[TGL.NOTA]]="",IF(NOTA[[#This Row],[SUPPLIER_H]]="","",AO701),MONTH(NOTA[[#This Row],[TGL.NOTA]]))</f>
        <v/>
      </c>
      <c r="AP7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2" s="25"/>
      <c r="AU702" s="25" t="str">
        <f>IF(NOTA[[#This Row],[CONCAT1]]="","",MATCH(NOTA[[#This Row],[CONCAT1]],[3]!db[NB NOTA_C],0))</f>
        <v/>
      </c>
      <c r="AV702" s="25" t="str">
        <f>IF(NOTA[[#This Row],[QTY/ CTN]]="","",TRUE)</f>
        <v/>
      </c>
      <c r="AW702" s="25" t="str">
        <f ca="1">IF(NOTA[[#This Row],[ID_H]]="","",IF(NOTA[[#This Row],[Column3]]=TRUE,NOTA[[#This Row],[QTY/ CTN]],INDEX([3]!db[QTY/ CTN],NOTA[[#This Row],[//DB]])))</f>
        <v/>
      </c>
      <c r="AX7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2" s="25" t="str">
        <f ca="1">IF(NOTA[[#This Row],[ID_H]]="","",MATCH(NOTA[[#This Row],[NB NOTA_C_QTY]],[3]!db[NB NOTA_C_QTY+F],0))</f>
        <v/>
      </c>
      <c r="AZ702" s="38" t="str">
        <f ca="1">IF(NOTA[[#This Row],[NB NOTA_C_QTY]]="","",ROW()-2)</f>
        <v/>
      </c>
    </row>
    <row r="703" spans="1:52" ht="20.100000000000001" customHeight="1">
      <c r="A7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3" s="25" t="str">
        <f ca="1">IF(NOTA[[#This Row],[NAMA BARANG]]="","",INDEX(NOTA[ID],MATCH(,INDIRECT(ADDRESS(ROW(NOTA[ID]),COLUMN(NOTA[ID]))&amp;":"&amp;ADDRESS(ROW(),COLUMN(NOTA[ID]))),-1)))</f>
        <v/>
      </c>
      <c r="E703" s="33"/>
      <c r="H703" s="34"/>
      <c r="Q703" s="29"/>
      <c r="R703" s="35"/>
      <c r="S703" s="36"/>
      <c r="V703" s="37"/>
      <c r="W703" s="32"/>
      <c r="X703" s="37" t="str">
        <f>IF(NOTA[[#This Row],[HARGA/ CTN]]="",NOTA[[#This Row],[JUMLAH_H]],NOTA[[#This Row],[HARGA/ CTN]]*IF(NOTA[[#This Row],[C]]="",0,NOTA[[#This Row],[C]]))</f>
        <v/>
      </c>
      <c r="Y703" s="37" t="str">
        <f>IF(NOTA[[#This Row],[JUMLAH]]="","",NOTA[[#This Row],[JUMLAH]]*NOTA[[#This Row],[DISC 1]])</f>
        <v/>
      </c>
      <c r="Z703" s="37" t="str">
        <f>IF(NOTA[[#This Row],[JUMLAH]]="","",(NOTA[[#This Row],[JUMLAH]]-NOTA[[#This Row],[DISC 1-]])*NOTA[[#This Row],[DISC 2]])</f>
        <v/>
      </c>
      <c r="AA703" s="37" t="str">
        <f>IF(NOTA[[#This Row],[JUMLAH]]="","",(NOTA[[#This Row],[JUMLAH]]-NOTA[[#This Row],[DISC 1-]]-NOTA[[#This Row],[DISC 2-]])*NOTA[[#This Row],[DISC 3]])</f>
        <v/>
      </c>
      <c r="AB703" s="37" t="str">
        <f>IF(NOTA[[#This Row],[JUMLAH]]="","",NOTA[[#This Row],[DISC 1-]]+NOTA[[#This Row],[DISC 2-]]+NOTA[[#This Row],[DISC 3-]])</f>
        <v/>
      </c>
      <c r="AC703" s="37" t="str">
        <f>IF(NOTA[[#This Row],[JUMLAH]]="","",NOTA[[#This Row],[JUMLAH]]-NOTA[[#This Row],[DISC]])</f>
        <v/>
      </c>
      <c r="AD703" s="37"/>
      <c r="AE7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3" s="37" t="str">
        <f>IF(OR(NOTA[[#This Row],[QTY]]="",NOTA[[#This Row],[HARGA SATUAN]]="",),"",NOTA[[#This Row],[QTY]]*NOTA[[#This Row],[HARGA SATUAN]])</f>
        <v/>
      </c>
      <c r="AI703" s="26" t="str">
        <f ca="1">IF(NOTA[[#This Row],[ID_H]]="","",INDEX(NOTA[TANGGAL],MATCH(,INDIRECT(ADDRESS(ROW(NOTA[TANGGAL]),COLUMN(NOTA[TANGGAL]))&amp;":"&amp;ADDRESS(ROW(),COLUMN(NOTA[TANGGAL]))),-1)))</f>
        <v/>
      </c>
      <c r="AJ703" s="26" t="str">
        <f ca="1">IF(NOTA[[#This Row],[ID_H]]="","",INDEX(NOTA[TGL.NOTA],MATCH(,INDIRECT(ADDRESS(ROW(NOTA[TGL.NOTA]),COLUMN(NOTA[TGL.NOTA]))&amp;":"&amp;ADDRESS(ROW(),COLUMN(NOTA[TGL.NOTA]))),-1)))</f>
        <v/>
      </c>
      <c r="AK703" s="26" t="str">
        <f ca="1">IF(NOTA[[#This Row],[ID_H]]="","",INDEX(NOTA[NO.NOTA],MATCH(NOTA[[#This Row],[ID_H]],NOTA[ID_H],0)))</f>
        <v/>
      </c>
      <c r="AL703" s="28" t="str">
        <f ca="1">IF(NOTA[[#This Row],[NAMA BARANG]]="","",INDEX(NOTA[SUPPLIER],MATCH(,INDIRECT(ADDRESS(ROW(NOTA[ID]),COLUMN(NOTA[ID]))&amp;":"&amp;ADDRESS(ROW(),COLUMN(NOTA[ID]))),-1)))</f>
        <v/>
      </c>
      <c r="AM703" s="28" t="str">
        <f ca="1">IF(NOTA[[#This Row],[ID_H]]="","",IF(NOTA[[#This Row],[FAKTUR]]="",INDIRECT(ADDRESS(ROW()-1,COLUMN())),NOTA[[#This Row],[FAKTUR]]))</f>
        <v/>
      </c>
      <c r="AN703" s="25" t="str">
        <f ca="1">IF(NOTA[[#This Row],[ID]]="","",COUNTIF(NOTA[ID_H],NOTA[[#This Row],[ID_H]]))</f>
        <v/>
      </c>
      <c r="AO703" s="25" t="str">
        <f ca="1">IF(NOTA[[#This Row],[TGL.NOTA]]="",IF(NOTA[[#This Row],[SUPPLIER_H]]="","",AO702),MONTH(NOTA[[#This Row],[TGL.NOTA]]))</f>
        <v/>
      </c>
      <c r="AP7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3" s="25"/>
      <c r="AU703" s="25" t="str">
        <f>IF(NOTA[[#This Row],[CONCAT1]]="","",MATCH(NOTA[[#This Row],[CONCAT1]],[3]!db[NB NOTA_C],0))</f>
        <v/>
      </c>
      <c r="AV703" s="25" t="str">
        <f>IF(NOTA[[#This Row],[QTY/ CTN]]="","",TRUE)</f>
        <v/>
      </c>
      <c r="AW703" s="25" t="str">
        <f ca="1">IF(NOTA[[#This Row],[ID_H]]="","",IF(NOTA[[#This Row],[Column3]]=TRUE,NOTA[[#This Row],[QTY/ CTN]],INDEX([3]!db[QTY/ CTN],NOTA[[#This Row],[//DB]])))</f>
        <v/>
      </c>
      <c r="AX7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3" s="25" t="str">
        <f ca="1">IF(NOTA[[#This Row],[ID_H]]="","",MATCH(NOTA[[#This Row],[NB NOTA_C_QTY]],[3]!db[NB NOTA_C_QTY+F],0))</f>
        <v/>
      </c>
      <c r="AZ703" s="38" t="str">
        <f ca="1">IF(NOTA[[#This Row],[NB NOTA_C_QTY]]="","",ROW()-2)</f>
        <v/>
      </c>
    </row>
    <row r="704" spans="1:52" ht="20.100000000000001" customHeight="1">
      <c r="A7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4" s="25" t="str">
        <f ca="1">IF(NOTA[[#This Row],[NAMA BARANG]]="","",INDEX(NOTA[ID],MATCH(,INDIRECT(ADDRESS(ROW(NOTA[ID]),COLUMN(NOTA[ID]))&amp;":"&amp;ADDRESS(ROW(),COLUMN(NOTA[ID]))),-1)))</f>
        <v/>
      </c>
      <c r="E704" s="33"/>
      <c r="H704" s="34"/>
      <c r="Q704" s="29"/>
      <c r="R704" s="35"/>
      <c r="S704" s="36"/>
      <c r="V704" s="37"/>
      <c r="W704" s="32"/>
      <c r="X704" s="37" t="str">
        <f>IF(NOTA[[#This Row],[HARGA/ CTN]]="",NOTA[[#This Row],[JUMLAH_H]],NOTA[[#This Row],[HARGA/ CTN]]*IF(NOTA[[#This Row],[C]]="",0,NOTA[[#This Row],[C]]))</f>
        <v/>
      </c>
      <c r="Y704" s="37" t="str">
        <f>IF(NOTA[[#This Row],[JUMLAH]]="","",NOTA[[#This Row],[JUMLAH]]*NOTA[[#This Row],[DISC 1]])</f>
        <v/>
      </c>
      <c r="Z704" s="37" t="str">
        <f>IF(NOTA[[#This Row],[JUMLAH]]="","",(NOTA[[#This Row],[JUMLAH]]-NOTA[[#This Row],[DISC 1-]])*NOTA[[#This Row],[DISC 2]])</f>
        <v/>
      </c>
      <c r="AA704" s="37" t="str">
        <f>IF(NOTA[[#This Row],[JUMLAH]]="","",(NOTA[[#This Row],[JUMLAH]]-NOTA[[#This Row],[DISC 1-]]-NOTA[[#This Row],[DISC 2-]])*NOTA[[#This Row],[DISC 3]])</f>
        <v/>
      </c>
      <c r="AB704" s="37" t="str">
        <f>IF(NOTA[[#This Row],[JUMLAH]]="","",NOTA[[#This Row],[DISC 1-]]+NOTA[[#This Row],[DISC 2-]]+NOTA[[#This Row],[DISC 3-]])</f>
        <v/>
      </c>
      <c r="AC704" s="37" t="str">
        <f>IF(NOTA[[#This Row],[JUMLAH]]="","",NOTA[[#This Row],[JUMLAH]]-NOTA[[#This Row],[DISC]])</f>
        <v/>
      </c>
      <c r="AD704" s="37"/>
      <c r="AE7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4" s="37" t="str">
        <f>IF(OR(NOTA[[#This Row],[QTY]]="",NOTA[[#This Row],[HARGA SATUAN]]="",),"",NOTA[[#This Row],[QTY]]*NOTA[[#This Row],[HARGA SATUAN]])</f>
        <v/>
      </c>
      <c r="AI704" s="26" t="str">
        <f ca="1">IF(NOTA[[#This Row],[ID_H]]="","",INDEX(NOTA[TANGGAL],MATCH(,INDIRECT(ADDRESS(ROW(NOTA[TANGGAL]),COLUMN(NOTA[TANGGAL]))&amp;":"&amp;ADDRESS(ROW(),COLUMN(NOTA[TANGGAL]))),-1)))</f>
        <v/>
      </c>
      <c r="AJ704" s="26" t="str">
        <f ca="1">IF(NOTA[[#This Row],[ID_H]]="","",INDEX(NOTA[TGL.NOTA],MATCH(,INDIRECT(ADDRESS(ROW(NOTA[TGL.NOTA]),COLUMN(NOTA[TGL.NOTA]))&amp;":"&amp;ADDRESS(ROW(),COLUMN(NOTA[TGL.NOTA]))),-1)))</f>
        <v/>
      </c>
      <c r="AK704" s="26" t="str">
        <f ca="1">IF(NOTA[[#This Row],[ID_H]]="","",INDEX(NOTA[NO.NOTA],MATCH(NOTA[[#This Row],[ID_H]],NOTA[ID_H],0)))</f>
        <v/>
      </c>
      <c r="AL704" s="28" t="str">
        <f ca="1">IF(NOTA[[#This Row],[NAMA BARANG]]="","",INDEX(NOTA[SUPPLIER],MATCH(,INDIRECT(ADDRESS(ROW(NOTA[ID]),COLUMN(NOTA[ID]))&amp;":"&amp;ADDRESS(ROW(),COLUMN(NOTA[ID]))),-1)))</f>
        <v/>
      </c>
      <c r="AM704" s="28" t="str">
        <f ca="1">IF(NOTA[[#This Row],[ID_H]]="","",IF(NOTA[[#This Row],[FAKTUR]]="",INDIRECT(ADDRESS(ROW()-1,COLUMN())),NOTA[[#This Row],[FAKTUR]]))</f>
        <v/>
      </c>
      <c r="AN704" s="25" t="str">
        <f ca="1">IF(NOTA[[#This Row],[ID]]="","",COUNTIF(NOTA[ID_H],NOTA[[#This Row],[ID_H]]))</f>
        <v/>
      </c>
      <c r="AO704" s="25" t="str">
        <f ca="1">IF(NOTA[[#This Row],[TGL.NOTA]]="",IF(NOTA[[#This Row],[SUPPLIER_H]]="","",AO703),MONTH(NOTA[[#This Row],[TGL.NOTA]]))</f>
        <v/>
      </c>
      <c r="AP7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4" s="25"/>
      <c r="AU704" s="25" t="str">
        <f>IF(NOTA[[#This Row],[CONCAT1]]="","",MATCH(NOTA[[#This Row],[CONCAT1]],[3]!db[NB NOTA_C],0))</f>
        <v/>
      </c>
      <c r="AV704" s="25" t="str">
        <f>IF(NOTA[[#This Row],[QTY/ CTN]]="","",TRUE)</f>
        <v/>
      </c>
      <c r="AW704" s="25" t="str">
        <f ca="1">IF(NOTA[[#This Row],[ID_H]]="","",IF(NOTA[[#This Row],[Column3]]=TRUE,NOTA[[#This Row],[QTY/ CTN]],INDEX([3]!db[QTY/ CTN],NOTA[[#This Row],[//DB]])))</f>
        <v/>
      </c>
      <c r="AX7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4" s="25" t="str">
        <f ca="1">IF(NOTA[[#This Row],[ID_H]]="","",MATCH(NOTA[[#This Row],[NB NOTA_C_QTY]],[3]!db[NB NOTA_C_QTY+F],0))</f>
        <v/>
      </c>
      <c r="AZ704" s="38" t="str">
        <f ca="1">IF(NOTA[[#This Row],[NB NOTA_C_QTY]]="","",ROW()-2)</f>
        <v/>
      </c>
    </row>
    <row r="705" spans="1:52" ht="20.100000000000001" customHeight="1">
      <c r="A7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5" s="25" t="str">
        <f ca="1">IF(NOTA[[#This Row],[NAMA BARANG]]="","",INDEX(NOTA[ID],MATCH(,INDIRECT(ADDRESS(ROW(NOTA[ID]),COLUMN(NOTA[ID]))&amp;":"&amp;ADDRESS(ROW(),COLUMN(NOTA[ID]))),-1)))</f>
        <v/>
      </c>
      <c r="E705" s="33"/>
      <c r="H705" s="34"/>
      <c r="Q705" s="29"/>
      <c r="R705" s="35"/>
      <c r="S705" s="36"/>
      <c r="V705" s="37"/>
      <c r="W705" s="32"/>
      <c r="X705" s="37" t="str">
        <f>IF(NOTA[[#This Row],[HARGA/ CTN]]="",NOTA[[#This Row],[JUMLAH_H]],NOTA[[#This Row],[HARGA/ CTN]]*IF(NOTA[[#This Row],[C]]="",0,NOTA[[#This Row],[C]]))</f>
        <v/>
      </c>
      <c r="Y705" s="37" t="str">
        <f>IF(NOTA[[#This Row],[JUMLAH]]="","",NOTA[[#This Row],[JUMLAH]]*NOTA[[#This Row],[DISC 1]])</f>
        <v/>
      </c>
      <c r="Z705" s="37" t="str">
        <f>IF(NOTA[[#This Row],[JUMLAH]]="","",(NOTA[[#This Row],[JUMLAH]]-NOTA[[#This Row],[DISC 1-]])*NOTA[[#This Row],[DISC 2]])</f>
        <v/>
      </c>
      <c r="AA705" s="37" t="str">
        <f>IF(NOTA[[#This Row],[JUMLAH]]="","",(NOTA[[#This Row],[JUMLAH]]-NOTA[[#This Row],[DISC 1-]]-NOTA[[#This Row],[DISC 2-]])*NOTA[[#This Row],[DISC 3]])</f>
        <v/>
      </c>
      <c r="AB705" s="37" t="str">
        <f>IF(NOTA[[#This Row],[JUMLAH]]="","",NOTA[[#This Row],[DISC 1-]]+NOTA[[#This Row],[DISC 2-]]+NOTA[[#This Row],[DISC 3-]])</f>
        <v/>
      </c>
      <c r="AC705" s="37" t="str">
        <f>IF(NOTA[[#This Row],[JUMLAH]]="","",NOTA[[#This Row],[JUMLAH]]-NOTA[[#This Row],[DISC]])</f>
        <v/>
      </c>
      <c r="AD705" s="37"/>
      <c r="AE7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5" s="37" t="str">
        <f>IF(OR(NOTA[[#This Row],[QTY]]="",NOTA[[#This Row],[HARGA SATUAN]]="",),"",NOTA[[#This Row],[QTY]]*NOTA[[#This Row],[HARGA SATUAN]])</f>
        <v/>
      </c>
      <c r="AI705" s="26" t="str">
        <f ca="1">IF(NOTA[[#This Row],[ID_H]]="","",INDEX(NOTA[TANGGAL],MATCH(,INDIRECT(ADDRESS(ROW(NOTA[TANGGAL]),COLUMN(NOTA[TANGGAL]))&amp;":"&amp;ADDRESS(ROW(),COLUMN(NOTA[TANGGAL]))),-1)))</f>
        <v/>
      </c>
      <c r="AJ705" s="26" t="str">
        <f ca="1">IF(NOTA[[#This Row],[ID_H]]="","",INDEX(NOTA[TGL.NOTA],MATCH(,INDIRECT(ADDRESS(ROW(NOTA[TGL.NOTA]),COLUMN(NOTA[TGL.NOTA]))&amp;":"&amp;ADDRESS(ROW(),COLUMN(NOTA[TGL.NOTA]))),-1)))</f>
        <v/>
      </c>
      <c r="AK705" s="26" t="str">
        <f ca="1">IF(NOTA[[#This Row],[ID_H]]="","",INDEX(NOTA[NO.NOTA],MATCH(NOTA[[#This Row],[ID_H]],NOTA[ID_H],0)))</f>
        <v/>
      </c>
      <c r="AL705" s="28" t="str">
        <f ca="1">IF(NOTA[[#This Row],[NAMA BARANG]]="","",INDEX(NOTA[SUPPLIER],MATCH(,INDIRECT(ADDRESS(ROW(NOTA[ID]),COLUMN(NOTA[ID]))&amp;":"&amp;ADDRESS(ROW(),COLUMN(NOTA[ID]))),-1)))</f>
        <v/>
      </c>
      <c r="AM705" s="28" t="str">
        <f ca="1">IF(NOTA[[#This Row],[ID_H]]="","",IF(NOTA[[#This Row],[FAKTUR]]="",INDIRECT(ADDRESS(ROW()-1,COLUMN())),NOTA[[#This Row],[FAKTUR]]))</f>
        <v/>
      </c>
      <c r="AN705" s="25" t="str">
        <f ca="1">IF(NOTA[[#This Row],[ID]]="","",COUNTIF(NOTA[ID_H],NOTA[[#This Row],[ID_H]]))</f>
        <v/>
      </c>
      <c r="AO705" s="25" t="str">
        <f ca="1">IF(NOTA[[#This Row],[TGL.NOTA]]="",IF(NOTA[[#This Row],[SUPPLIER_H]]="","",AO704),MONTH(NOTA[[#This Row],[TGL.NOTA]]))</f>
        <v/>
      </c>
      <c r="AP7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5" s="25"/>
      <c r="AU705" s="25" t="str">
        <f>IF(NOTA[[#This Row],[CONCAT1]]="","",MATCH(NOTA[[#This Row],[CONCAT1]],[3]!db[NB NOTA_C],0))</f>
        <v/>
      </c>
      <c r="AV705" s="25" t="str">
        <f>IF(NOTA[[#This Row],[QTY/ CTN]]="","",TRUE)</f>
        <v/>
      </c>
      <c r="AW705" s="25" t="str">
        <f ca="1">IF(NOTA[[#This Row],[ID_H]]="","",IF(NOTA[[#This Row],[Column3]]=TRUE,NOTA[[#This Row],[QTY/ CTN]],INDEX([3]!db[QTY/ CTN],NOTA[[#This Row],[//DB]])))</f>
        <v/>
      </c>
      <c r="AX7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5" s="25" t="str">
        <f ca="1">IF(NOTA[[#This Row],[ID_H]]="","",MATCH(NOTA[[#This Row],[NB NOTA_C_QTY]],[3]!db[NB NOTA_C_QTY+F],0))</f>
        <v/>
      </c>
      <c r="AZ705" s="38" t="str">
        <f ca="1">IF(NOTA[[#This Row],[NB NOTA_C_QTY]]="","",ROW()-2)</f>
        <v/>
      </c>
    </row>
    <row r="706" spans="1:52" ht="20.100000000000001" customHeight="1">
      <c r="A7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6" s="25" t="str">
        <f ca="1">IF(NOTA[[#This Row],[NAMA BARANG]]="","",INDEX(NOTA[ID],MATCH(,INDIRECT(ADDRESS(ROW(NOTA[ID]),COLUMN(NOTA[ID]))&amp;":"&amp;ADDRESS(ROW(),COLUMN(NOTA[ID]))),-1)))</f>
        <v/>
      </c>
      <c r="E706" s="33"/>
      <c r="H706" s="34"/>
      <c r="Q706" s="29"/>
      <c r="R706" s="35"/>
      <c r="S706" s="36"/>
      <c r="V706" s="37"/>
      <c r="W706" s="32"/>
      <c r="X706" s="37" t="str">
        <f>IF(NOTA[[#This Row],[HARGA/ CTN]]="",NOTA[[#This Row],[JUMLAH_H]],NOTA[[#This Row],[HARGA/ CTN]]*IF(NOTA[[#This Row],[C]]="",0,NOTA[[#This Row],[C]]))</f>
        <v/>
      </c>
      <c r="Y706" s="37" t="str">
        <f>IF(NOTA[[#This Row],[JUMLAH]]="","",NOTA[[#This Row],[JUMLAH]]*NOTA[[#This Row],[DISC 1]])</f>
        <v/>
      </c>
      <c r="Z706" s="37" t="str">
        <f>IF(NOTA[[#This Row],[JUMLAH]]="","",(NOTA[[#This Row],[JUMLAH]]-NOTA[[#This Row],[DISC 1-]])*NOTA[[#This Row],[DISC 2]])</f>
        <v/>
      </c>
      <c r="AA706" s="37" t="str">
        <f>IF(NOTA[[#This Row],[JUMLAH]]="","",(NOTA[[#This Row],[JUMLAH]]-NOTA[[#This Row],[DISC 1-]]-NOTA[[#This Row],[DISC 2-]])*NOTA[[#This Row],[DISC 3]])</f>
        <v/>
      </c>
      <c r="AB706" s="37" t="str">
        <f>IF(NOTA[[#This Row],[JUMLAH]]="","",NOTA[[#This Row],[DISC 1-]]+NOTA[[#This Row],[DISC 2-]]+NOTA[[#This Row],[DISC 3-]])</f>
        <v/>
      </c>
      <c r="AC706" s="37" t="str">
        <f>IF(NOTA[[#This Row],[JUMLAH]]="","",NOTA[[#This Row],[JUMLAH]]-NOTA[[#This Row],[DISC]])</f>
        <v/>
      </c>
      <c r="AD706" s="37"/>
      <c r="AE7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6" s="37" t="str">
        <f>IF(OR(NOTA[[#This Row],[QTY]]="",NOTA[[#This Row],[HARGA SATUAN]]="",),"",NOTA[[#This Row],[QTY]]*NOTA[[#This Row],[HARGA SATUAN]])</f>
        <v/>
      </c>
      <c r="AI706" s="26" t="str">
        <f ca="1">IF(NOTA[[#This Row],[ID_H]]="","",INDEX(NOTA[TANGGAL],MATCH(,INDIRECT(ADDRESS(ROW(NOTA[TANGGAL]),COLUMN(NOTA[TANGGAL]))&amp;":"&amp;ADDRESS(ROW(),COLUMN(NOTA[TANGGAL]))),-1)))</f>
        <v/>
      </c>
      <c r="AJ706" s="26" t="str">
        <f ca="1">IF(NOTA[[#This Row],[ID_H]]="","",INDEX(NOTA[TGL.NOTA],MATCH(,INDIRECT(ADDRESS(ROW(NOTA[TGL.NOTA]),COLUMN(NOTA[TGL.NOTA]))&amp;":"&amp;ADDRESS(ROW(),COLUMN(NOTA[TGL.NOTA]))),-1)))</f>
        <v/>
      </c>
      <c r="AK706" s="26" t="str">
        <f ca="1">IF(NOTA[[#This Row],[ID_H]]="","",INDEX(NOTA[NO.NOTA],MATCH(NOTA[[#This Row],[ID_H]],NOTA[ID_H],0)))</f>
        <v/>
      </c>
      <c r="AL706" s="28" t="str">
        <f ca="1">IF(NOTA[[#This Row],[NAMA BARANG]]="","",INDEX(NOTA[SUPPLIER],MATCH(,INDIRECT(ADDRESS(ROW(NOTA[ID]),COLUMN(NOTA[ID]))&amp;":"&amp;ADDRESS(ROW(),COLUMN(NOTA[ID]))),-1)))</f>
        <v/>
      </c>
      <c r="AM706" s="28" t="str">
        <f ca="1">IF(NOTA[[#This Row],[ID_H]]="","",IF(NOTA[[#This Row],[FAKTUR]]="",INDIRECT(ADDRESS(ROW()-1,COLUMN())),NOTA[[#This Row],[FAKTUR]]))</f>
        <v/>
      </c>
      <c r="AN706" s="25" t="str">
        <f ca="1">IF(NOTA[[#This Row],[ID]]="","",COUNTIF(NOTA[ID_H],NOTA[[#This Row],[ID_H]]))</f>
        <v/>
      </c>
      <c r="AO706" s="25" t="str">
        <f ca="1">IF(NOTA[[#This Row],[TGL.NOTA]]="",IF(NOTA[[#This Row],[SUPPLIER_H]]="","",AO705),MONTH(NOTA[[#This Row],[TGL.NOTA]]))</f>
        <v/>
      </c>
      <c r="AP7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6" s="25"/>
      <c r="AU706" s="25" t="str">
        <f>IF(NOTA[[#This Row],[CONCAT1]]="","",MATCH(NOTA[[#This Row],[CONCAT1]],[3]!db[NB NOTA_C],0))</f>
        <v/>
      </c>
      <c r="AV706" s="25" t="str">
        <f>IF(NOTA[[#This Row],[QTY/ CTN]]="","",TRUE)</f>
        <v/>
      </c>
      <c r="AW706" s="25" t="str">
        <f ca="1">IF(NOTA[[#This Row],[ID_H]]="","",IF(NOTA[[#This Row],[Column3]]=TRUE,NOTA[[#This Row],[QTY/ CTN]],INDEX([3]!db[QTY/ CTN],NOTA[[#This Row],[//DB]])))</f>
        <v/>
      </c>
      <c r="AX7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6" s="25" t="str">
        <f ca="1">IF(NOTA[[#This Row],[ID_H]]="","",MATCH(NOTA[[#This Row],[NB NOTA_C_QTY]],[3]!db[NB NOTA_C_QTY+F],0))</f>
        <v/>
      </c>
      <c r="AZ706" s="38" t="str">
        <f ca="1">IF(NOTA[[#This Row],[NB NOTA_C_QTY]]="","",ROW()-2)</f>
        <v/>
      </c>
    </row>
    <row r="707" spans="1:52" ht="20.100000000000001" customHeight="1">
      <c r="A7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7" s="25" t="str">
        <f ca="1">IF(NOTA[[#This Row],[NAMA BARANG]]="","",INDEX(NOTA[ID],MATCH(,INDIRECT(ADDRESS(ROW(NOTA[ID]),COLUMN(NOTA[ID]))&amp;":"&amp;ADDRESS(ROW(),COLUMN(NOTA[ID]))),-1)))</f>
        <v/>
      </c>
      <c r="E707" s="33"/>
      <c r="H707" s="34"/>
      <c r="Q707" s="29"/>
      <c r="R707" s="35"/>
      <c r="S707" s="36"/>
      <c r="V707" s="37"/>
      <c r="W707" s="32"/>
      <c r="X707" s="37" t="str">
        <f>IF(NOTA[[#This Row],[HARGA/ CTN]]="",NOTA[[#This Row],[JUMLAH_H]],NOTA[[#This Row],[HARGA/ CTN]]*IF(NOTA[[#This Row],[C]]="",0,NOTA[[#This Row],[C]]))</f>
        <v/>
      </c>
      <c r="Y707" s="37" t="str">
        <f>IF(NOTA[[#This Row],[JUMLAH]]="","",NOTA[[#This Row],[JUMLAH]]*NOTA[[#This Row],[DISC 1]])</f>
        <v/>
      </c>
      <c r="Z707" s="37" t="str">
        <f>IF(NOTA[[#This Row],[JUMLAH]]="","",(NOTA[[#This Row],[JUMLAH]]-NOTA[[#This Row],[DISC 1-]])*NOTA[[#This Row],[DISC 2]])</f>
        <v/>
      </c>
      <c r="AA707" s="37" t="str">
        <f>IF(NOTA[[#This Row],[JUMLAH]]="","",(NOTA[[#This Row],[JUMLAH]]-NOTA[[#This Row],[DISC 1-]]-NOTA[[#This Row],[DISC 2-]])*NOTA[[#This Row],[DISC 3]])</f>
        <v/>
      </c>
      <c r="AB707" s="37" t="str">
        <f>IF(NOTA[[#This Row],[JUMLAH]]="","",NOTA[[#This Row],[DISC 1-]]+NOTA[[#This Row],[DISC 2-]]+NOTA[[#This Row],[DISC 3-]])</f>
        <v/>
      </c>
      <c r="AC707" s="37" t="str">
        <f>IF(NOTA[[#This Row],[JUMLAH]]="","",NOTA[[#This Row],[JUMLAH]]-NOTA[[#This Row],[DISC]])</f>
        <v/>
      </c>
      <c r="AD707" s="37"/>
      <c r="AE7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7" s="37" t="str">
        <f>IF(OR(NOTA[[#This Row],[QTY]]="",NOTA[[#This Row],[HARGA SATUAN]]="",),"",NOTA[[#This Row],[QTY]]*NOTA[[#This Row],[HARGA SATUAN]])</f>
        <v/>
      </c>
      <c r="AI707" s="26" t="str">
        <f ca="1">IF(NOTA[[#This Row],[ID_H]]="","",INDEX(NOTA[TANGGAL],MATCH(,INDIRECT(ADDRESS(ROW(NOTA[TANGGAL]),COLUMN(NOTA[TANGGAL]))&amp;":"&amp;ADDRESS(ROW(),COLUMN(NOTA[TANGGAL]))),-1)))</f>
        <v/>
      </c>
      <c r="AJ707" s="26" t="str">
        <f ca="1">IF(NOTA[[#This Row],[ID_H]]="","",INDEX(NOTA[TGL.NOTA],MATCH(,INDIRECT(ADDRESS(ROW(NOTA[TGL.NOTA]),COLUMN(NOTA[TGL.NOTA]))&amp;":"&amp;ADDRESS(ROW(),COLUMN(NOTA[TGL.NOTA]))),-1)))</f>
        <v/>
      </c>
      <c r="AK707" s="26" t="str">
        <f ca="1">IF(NOTA[[#This Row],[ID_H]]="","",INDEX(NOTA[NO.NOTA],MATCH(NOTA[[#This Row],[ID_H]],NOTA[ID_H],0)))</f>
        <v/>
      </c>
      <c r="AL707" s="28" t="str">
        <f ca="1">IF(NOTA[[#This Row],[NAMA BARANG]]="","",INDEX(NOTA[SUPPLIER],MATCH(,INDIRECT(ADDRESS(ROW(NOTA[ID]),COLUMN(NOTA[ID]))&amp;":"&amp;ADDRESS(ROW(),COLUMN(NOTA[ID]))),-1)))</f>
        <v/>
      </c>
      <c r="AM707" s="28" t="str">
        <f ca="1">IF(NOTA[[#This Row],[ID_H]]="","",IF(NOTA[[#This Row],[FAKTUR]]="",INDIRECT(ADDRESS(ROW()-1,COLUMN())),NOTA[[#This Row],[FAKTUR]]))</f>
        <v/>
      </c>
      <c r="AN707" s="25" t="str">
        <f ca="1">IF(NOTA[[#This Row],[ID]]="","",COUNTIF(NOTA[ID_H],NOTA[[#This Row],[ID_H]]))</f>
        <v/>
      </c>
      <c r="AO707" s="25" t="str">
        <f ca="1">IF(NOTA[[#This Row],[TGL.NOTA]]="",IF(NOTA[[#This Row],[SUPPLIER_H]]="","",AO706),MONTH(NOTA[[#This Row],[TGL.NOTA]]))</f>
        <v/>
      </c>
      <c r="AP7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7" s="25"/>
      <c r="AU707" s="25" t="str">
        <f>IF(NOTA[[#This Row],[CONCAT1]]="","",MATCH(NOTA[[#This Row],[CONCAT1]],[3]!db[NB NOTA_C],0))</f>
        <v/>
      </c>
      <c r="AV707" s="25" t="str">
        <f>IF(NOTA[[#This Row],[QTY/ CTN]]="","",TRUE)</f>
        <v/>
      </c>
      <c r="AW707" s="25" t="str">
        <f ca="1">IF(NOTA[[#This Row],[ID_H]]="","",IF(NOTA[[#This Row],[Column3]]=TRUE,NOTA[[#This Row],[QTY/ CTN]],INDEX([3]!db[QTY/ CTN],NOTA[[#This Row],[//DB]])))</f>
        <v/>
      </c>
      <c r="AX7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7" s="25" t="str">
        <f ca="1">IF(NOTA[[#This Row],[ID_H]]="","",MATCH(NOTA[[#This Row],[NB NOTA_C_QTY]],[3]!db[NB NOTA_C_QTY+F],0))</f>
        <v/>
      </c>
      <c r="AZ707" s="38" t="str">
        <f ca="1">IF(NOTA[[#This Row],[NB NOTA_C_QTY]]="","",ROW()-2)</f>
        <v/>
      </c>
    </row>
    <row r="708" spans="1:52" ht="20.100000000000001" customHeight="1">
      <c r="A7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8" s="25" t="str">
        <f ca="1">IF(NOTA[[#This Row],[NAMA BARANG]]="","",INDEX(NOTA[ID],MATCH(,INDIRECT(ADDRESS(ROW(NOTA[ID]),COLUMN(NOTA[ID]))&amp;":"&amp;ADDRESS(ROW(),COLUMN(NOTA[ID]))),-1)))</f>
        <v/>
      </c>
      <c r="E708" s="33"/>
      <c r="H708" s="34"/>
      <c r="Q708" s="29"/>
      <c r="R708" s="35"/>
      <c r="S708" s="36"/>
      <c r="V708" s="37"/>
      <c r="W708" s="32"/>
      <c r="X708" s="37" t="str">
        <f>IF(NOTA[[#This Row],[HARGA/ CTN]]="",NOTA[[#This Row],[JUMLAH_H]],NOTA[[#This Row],[HARGA/ CTN]]*IF(NOTA[[#This Row],[C]]="",0,NOTA[[#This Row],[C]]))</f>
        <v/>
      </c>
      <c r="Y708" s="37" t="str">
        <f>IF(NOTA[[#This Row],[JUMLAH]]="","",NOTA[[#This Row],[JUMLAH]]*NOTA[[#This Row],[DISC 1]])</f>
        <v/>
      </c>
      <c r="Z708" s="37" t="str">
        <f>IF(NOTA[[#This Row],[JUMLAH]]="","",(NOTA[[#This Row],[JUMLAH]]-NOTA[[#This Row],[DISC 1-]])*NOTA[[#This Row],[DISC 2]])</f>
        <v/>
      </c>
      <c r="AA708" s="37" t="str">
        <f>IF(NOTA[[#This Row],[JUMLAH]]="","",(NOTA[[#This Row],[JUMLAH]]-NOTA[[#This Row],[DISC 1-]]-NOTA[[#This Row],[DISC 2-]])*NOTA[[#This Row],[DISC 3]])</f>
        <v/>
      </c>
      <c r="AB708" s="37" t="str">
        <f>IF(NOTA[[#This Row],[JUMLAH]]="","",NOTA[[#This Row],[DISC 1-]]+NOTA[[#This Row],[DISC 2-]]+NOTA[[#This Row],[DISC 3-]])</f>
        <v/>
      </c>
      <c r="AC708" s="37" t="str">
        <f>IF(NOTA[[#This Row],[JUMLAH]]="","",NOTA[[#This Row],[JUMLAH]]-NOTA[[#This Row],[DISC]])</f>
        <v/>
      </c>
      <c r="AD708" s="37"/>
      <c r="AE7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8" s="37" t="str">
        <f>IF(OR(NOTA[[#This Row],[QTY]]="",NOTA[[#This Row],[HARGA SATUAN]]="",),"",NOTA[[#This Row],[QTY]]*NOTA[[#This Row],[HARGA SATUAN]])</f>
        <v/>
      </c>
      <c r="AI708" s="26" t="str">
        <f ca="1">IF(NOTA[[#This Row],[ID_H]]="","",INDEX(NOTA[TANGGAL],MATCH(,INDIRECT(ADDRESS(ROW(NOTA[TANGGAL]),COLUMN(NOTA[TANGGAL]))&amp;":"&amp;ADDRESS(ROW(),COLUMN(NOTA[TANGGAL]))),-1)))</f>
        <v/>
      </c>
      <c r="AJ708" s="26" t="str">
        <f ca="1">IF(NOTA[[#This Row],[ID_H]]="","",INDEX(NOTA[TGL.NOTA],MATCH(,INDIRECT(ADDRESS(ROW(NOTA[TGL.NOTA]),COLUMN(NOTA[TGL.NOTA]))&amp;":"&amp;ADDRESS(ROW(),COLUMN(NOTA[TGL.NOTA]))),-1)))</f>
        <v/>
      </c>
      <c r="AK708" s="26" t="str">
        <f ca="1">IF(NOTA[[#This Row],[ID_H]]="","",INDEX(NOTA[NO.NOTA],MATCH(NOTA[[#This Row],[ID_H]],NOTA[ID_H],0)))</f>
        <v/>
      </c>
      <c r="AL708" s="28" t="str">
        <f ca="1">IF(NOTA[[#This Row],[NAMA BARANG]]="","",INDEX(NOTA[SUPPLIER],MATCH(,INDIRECT(ADDRESS(ROW(NOTA[ID]),COLUMN(NOTA[ID]))&amp;":"&amp;ADDRESS(ROW(),COLUMN(NOTA[ID]))),-1)))</f>
        <v/>
      </c>
      <c r="AM708" s="28" t="str">
        <f ca="1">IF(NOTA[[#This Row],[ID_H]]="","",IF(NOTA[[#This Row],[FAKTUR]]="",INDIRECT(ADDRESS(ROW()-1,COLUMN())),NOTA[[#This Row],[FAKTUR]]))</f>
        <v/>
      </c>
      <c r="AN708" s="25" t="str">
        <f ca="1">IF(NOTA[[#This Row],[ID]]="","",COUNTIF(NOTA[ID_H],NOTA[[#This Row],[ID_H]]))</f>
        <v/>
      </c>
      <c r="AO708" s="25" t="str">
        <f ca="1">IF(NOTA[[#This Row],[TGL.NOTA]]="",IF(NOTA[[#This Row],[SUPPLIER_H]]="","",AO707),MONTH(NOTA[[#This Row],[TGL.NOTA]]))</f>
        <v/>
      </c>
      <c r="AP7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8" s="25"/>
      <c r="AU708" s="25" t="str">
        <f>IF(NOTA[[#This Row],[CONCAT1]]="","",MATCH(NOTA[[#This Row],[CONCAT1]],[3]!db[NB NOTA_C],0))</f>
        <v/>
      </c>
      <c r="AV708" s="25" t="str">
        <f>IF(NOTA[[#This Row],[QTY/ CTN]]="","",TRUE)</f>
        <v/>
      </c>
      <c r="AW708" s="25" t="str">
        <f ca="1">IF(NOTA[[#This Row],[ID_H]]="","",IF(NOTA[[#This Row],[Column3]]=TRUE,NOTA[[#This Row],[QTY/ CTN]],INDEX([3]!db[QTY/ CTN],NOTA[[#This Row],[//DB]])))</f>
        <v/>
      </c>
      <c r="AX7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8" s="25" t="str">
        <f ca="1">IF(NOTA[[#This Row],[ID_H]]="","",MATCH(NOTA[[#This Row],[NB NOTA_C_QTY]],[3]!db[NB NOTA_C_QTY+F],0))</f>
        <v/>
      </c>
      <c r="AZ708" s="38" t="str">
        <f ca="1">IF(NOTA[[#This Row],[NB NOTA_C_QTY]]="","",ROW()-2)</f>
        <v/>
      </c>
    </row>
    <row r="709" spans="1:52" ht="20.100000000000001" customHeight="1">
      <c r="A7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9" s="25" t="str">
        <f ca="1">IF(NOTA[[#This Row],[NAMA BARANG]]="","",INDEX(NOTA[ID],MATCH(,INDIRECT(ADDRESS(ROW(NOTA[ID]),COLUMN(NOTA[ID]))&amp;":"&amp;ADDRESS(ROW(),COLUMN(NOTA[ID]))),-1)))</f>
        <v/>
      </c>
      <c r="E709" s="33"/>
      <c r="H709" s="34"/>
      <c r="Q709" s="29"/>
      <c r="R709" s="35"/>
      <c r="S709" s="36"/>
      <c r="V709" s="37"/>
      <c r="W709" s="32"/>
      <c r="X709" s="37" t="str">
        <f>IF(NOTA[[#This Row],[HARGA/ CTN]]="",NOTA[[#This Row],[JUMLAH_H]],NOTA[[#This Row],[HARGA/ CTN]]*IF(NOTA[[#This Row],[C]]="",0,NOTA[[#This Row],[C]]))</f>
        <v/>
      </c>
      <c r="Y709" s="37" t="str">
        <f>IF(NOTA[[#This Row],[JUMLAH]]="","",NOTA[[#This Row],[JUMLAH]]*NOTA[[#This Row],[DISC 1]])</f>
        <v/>
      </c>
      <c r="Z709" s="37" t="str">
        <f>IF(NOTA[[#This Row],[JUMLAH]]="","",(NOTA[[#This Row],[JUMLAH]]-NOTA[[#This Row],[DISC 1-]])*NOTA[[#This Row],[DISC 2]])</f>
        <v/>
      </c>
      <c r="AA709" s="37" t="str">
        <f>IF(NOTA[[#This Row],[JUMLAH]]="","",(NOTA[[#This Row],[JUMLAH]]-NOTA[[#This Row],[DISC 1-]]-NOTA[[#This Row],[DISC 2-]])*NOTA[[#This Row],[DISC 3]])</f>
        <v/>
      </c>
      <c r="AB709" s="37" t="str">
        <f>IF(NOTA[[#This Row],[JUMLAH]]="","",NOTA[[#This Row],[DISC 1-]]+NOTA[[#This Row],[DISC 2-]]+NOTA[[#This Row],[DISC 3-]])</f>
        <v/>
      </c>
      <c r="AC709" s="37" t="str">
        <f>IF(NOTA[[#This Row],[JUMLAH]]="","",NOTA[[#This Row],[JUMLAH]]-NOTA[[#This Row],[DISC]])</f>
        <v/>
      </c>
      <c r="AD709" s="37"/>
      <c r="AE7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9" s="37" t="str">
        <f>IF(OR(NOTA[[#This Row],[QTY]]="",NOTA[[#This Row],[HARGA SATUAN]]="",),"",NOTA[[#This Row],[QTY]]*NOTA[[#This Row],[HARGA SATUAN]])</f>
        <v/>
      </c>
      <c r="AI709" s="26" t="str">
        <f ca="1">IF(NOTA[[#This Row],[ID_H]]="","",INDEX(NOTA[TANGGAL],MATCH(,INDIRECT(ADDRESS(ROW(NOTA[TANGGAL]),COLUMN(NOTA[TANGGAL]))&amp;":"&amp;ADDRESS(ROW(),COLUMN(NOTA[TANGGAL]))),-1)))</f>
        <v/>
      </c>
      <c r="AJ709" s="26" t="str">
        <f ca="1">IF(NOTA[[#This Row],[ID_H]]="","",INDEX(NOTA[TGL.NOTA],MATCH(,INDIRECT(ADDRESS(ROW(NOTA[TGL.NOTA]),COLUMN(NOTA[TGL.NOTA]))&amp;":"&amp;ADDRESS(ROW(),COLUMN(NOTA[TGL.NOTA]))),-1)))</f>
        <v/>
      </c>
      <c r="AK709" s="26" t="str">
        <f ca="1">IF(NOTA[[#This Row],[ID_H]]="","",INDEX(NOTA[NO.NOTA],MATCH(NOTA[[#This Row],[ID_H]],NOTA[ID_H],0)))</f>
        <v/>
      </c>
      <c r="AL709" s="28" t="str">
        <f ca="1">IF(NOTA[[#This Row],[NAMA BARANG]]="","",INDEX(NOTA[SUPPLIER],MATCH(,INDIRECT(ADDRESS(ROW(NOTA[ID]),COLUMN(NOTA[ID]))&amp;":"&amp;ADDRESS(ROW(),COLUMN(NOTA[ID]))),-1)))</f>
        <v/>
      </c>
      <c r="AM709" s="28" t="str">
        <f ca="1">IF(NOTA[[#This Row],[ID_H]]="","",IF(NOTA[[#This Row],[FAKTUR]]="",INDIRECT(ADDRESS(ROW()-1,COLUMN())),NOTA[[#This Row],[FAKTUR]]))</f>
        <v/>
      </c>
      <c r="AN709" s="25" t="str">
        <f ca="1">IF(NOTA[[#This Row],[ID]]="","",COUNTIF(NOTA[ID_H],NOTA[[#This Row],[ID_H]]))</f>
        <v/>
      </c>
      <c r="AO709" s="25" t="str">
        <f ca="1">IF(NOTA[[#This Row],[TGL.NOTA]]="",IF(NOTA[[#This Row],[SUPPLIER_H]]="","",AO708),MONTH(NOTA[[#This Row],[TGL.NOTA]]))</f>
        <v/>
      </c>
      <c r="AP7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9" s="25"/>
      <c r="AU709" s="25" t="str">
        <f>IF(NOTA[[#This Row],[CONCAT1]]="","",MATCH(NOTA[[#This Row],[CONCAT1]],[3]!db[NB NOTA_C],0))</f>
        <v/>
      </c>
      <c r="AV709" s="25" t="str">
        <f>IF(NOTA[[#This Row],[QTY/ CTN]]="","",TRUE)</f>
        <v/>
      </c>
      <c r="AW709" s="25" t="str">
        <f ca="1">IF(NOTA[[#This Row],[ID_H]]="","",IF(NOTA[[#This Row],[Column3]]=TRUE,NOTA[[#This Row],[QTY/ CTN]],INDEX([3]!db[QTY/ CTN],NOTA[[#This Row],[//DB]])))</f>
        <v/>
      </c>
      <c r="AX7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9" s="25" t="str">
        <f ca="1">IF(NOTA[[#This Row],[ID_H]]="","",MATCH(NOTA[[#This Row],[NB NOTA_C_QTY]],[3]!db[NB NOTA_C_QTY+F],0))</f>
        <v/>
      </c>
      <c r="AZ709" s="38" t="str">
        <f ca="1">IF(NOTA[[#This Row],[NB NOTA_C_QTY]]="","",ROW()-2)</f>
        <v/>
      </c>
    </row>
    <row r="710" spans="1:52" ht="20.100000000000001" customHeight="1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0" s="25" t="str">
        <f ca="1">IF(NOTA[[#This Row],[NAMA BARANG]]="","",INDEX(NOTA[ID],MATCH(,INDIRECT(ADDRESS(ROW(NOTA[ID]),COLUMN(NOTA[ID]))&amp;":"&amp;ADDRESS(ROW(),COLUMN(NOTA[ID]))),-1)))</f>
        <v/>
      </c>
      <c r="E710" s="33"/>
      <c r="H710" s="34"/>
      <c r="Q710" s="29"/>
      <c r="R710" s="35"/>
      <c r="S710" s="36"/>
      <c r="V710" s="37"/>
      <c r="W710" s="32"/>
      <c r="X710" s="37" t="str">
        <f>IF(NOTA[[#This Row],[HARGA/ CTN]]="",NOTA[[#This Row],[JUMLAH_H]],NOTA[[#This Row],[HARGA/ CTN]]*IF(NOTA[[#This Row],[C]]="",0,NOTA[[#This Row],[C]]))</f>
        <v/>
      </c>
      <c r="Y710" s="37" t="str">
        <f>IF(NOTA[[#This Row],[JUMLAH]]="","",NOTA[[#This Row],[JUMLAH]]*NOTA[[#This Row],[DISC 1]])</f>
        <v/>
      </c>
      <c r="Z710" s="37" t="str">
        <f>IF(NOTA[[#This Row],[JUMLAH]]="","",(NOTA[[#This Row],[JUMLAH]]-NOTA[[#This Row],[DISC 1-]])*NOTA[[#This Row],[DISC 2]])</f>
        <v/>
      </c>
      <c r="AA710" s="37" t="str">
        <f>IF(NOTA[[#This Row],[JUMLAH]]="","",(NOTA[[#This Row],[JUMLAH]]-NOTA[[#This Row],[DISC 1-]]-NOTA[[#This Row],[DISC 2-]])*NOTA[[#This Row],[DISC 3]])</f>
        <v/>
      </c>
      <c r="AB710" s="37" t="str">
        <f>IF(NOTA[[#This Row],[JUMLAH]]="","",NOTA[[#This Row],[DISC 1-]]+NOTA[[#This Row],[DISC 2-]]+NOTA[[#This Row],[DISC 3-]])</f>
        <v/>
      </c>
      <c r="AC710" s="37" t="str">
        <f>IF(NOTA[[#This Row],[JUMLAH]]="","",NOTA[[#This Row],[JUMLAH]]-NOTA[[#This Row],[DISC]])</f>
        <v/>
      </c>
      <c r="AD710" s="37"/>
      <c r="AE7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0" s="37" t="str">
        <f>IF(OR(NOTA[[#This Row],[QTY]]="",NOTA[[#This Row],[HARGA SATUAN]]="",),"",NOTA[[#This Row],[QTY]]*NOTA[[#This Row],[HARGA SATUAN]])</f>
        <v/>
      </c>
      <c r="AI710" s="26" t="str">
        <f ca="1">IF(NOTA[[#This Row],[ID_H]]="","",INDEX(NOTA[TANGGAL],MATCH(,INDIRECT(ADDRESS(ROW(NOTA[TANGGAL]),COLUMN(NOTA[TANGGAL]))&amp;":"&amp;ADDRESS(ROW(),COLUMN(NOTA[TANGGAL]))),-1)))</f>
        <v/>
      </c>
      <c r="AJ710" s="26" t="str">
        <f ca="1">IF(NOTA[[#This Row],[ID_H]]="","",INDEX(NOTA[TGL.NOTA],MATCH(,INDIRECT(ADDRESS(ROW(NOTA[TGL.NOTA]),COLUMN(NOTA[TGL.NOTA]))&amp;":"&amp;ADDRESS(ROW(),COLUMN(NOTA[TGL.NOTA]))),-1)))</f>
        <v/>
      </c>
      <c r="AK710" s="26" t="str">
        <f ca="1">IF(NOTA[[#This Row],[ID_H]]="","",INDEX(NOTA[NO.NOTA],MATCH(NOTA[[#This Row],[ID_H]],NOTA[ID_H],0)))</f>
        <v/>
      </c>
      <c r="AL710" s="28" t="str">
        <f ca="1">IF(NOTA[[#This Row],[NAMA BARANG]]="","",INDEX(NOTA[SUPPLIER],MATCH(,INDIRECT(ADDRESS(ROW(NOTA[ID]),COLUMN(NOTA[ID]))&amp;":"&amp;ADDRESS(ROW(),COLUMN(NOTA[ID]))),-1)))</f>
        <v/>
      </c>
      <c r="AM710" s="28" t="str">
        <f ca="1">IF(NOTA[[#This Row],[ID_H]]="","",IF(NOTA[[#This Row],[FAKTUR]]="",INDIRECT(ADDRESS(ROW()-1,COLUMN())),NOTA[[#This Row],[FAKTUR]]))</f>
        <v/>
      </c>
      <c r="AN710" s="25" t="str">
        <f ca="1">IF(NOTA[[#This Row],[ID]]="","",COUNTIF(NOTA[ID_H],NOTA[[#This Row],[ID_H]]))</f>
        <v/>
      </c>
      <c r="AO710" s="25" t="str">
        <f ca="1">IF(NOTA[[#This Row],[TGL.NOTA]]="",IF(NOTA[[#This Row],[SUPPLIER_H]]="","",AO709),MONTH(NOTA[[#This Row],[TGL.NOTA]]))</f>
        <v/>
      </c>
      <c r="AP7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0" s="25"/>
      <c r="AU710" s="25" t="str">
        <f>IF(NOTA[[#This Row],[CONCAT1]]="","",MATCH(NOTA[[#This Row],[CONCAT1]],[3]!db[NB NOTA_C],0))</f>
        <v/>
      </c>
      <c r="AV710" s="25" t="str">
        <f>IF(NOTA[[#This Row],[QTY/ CTN]]="","",TRUE)</f>
        <v/>
      </c>
      <c r="AW710" s="25" t="str">
        <f ca="1">IF(NOTA[[#This Row],[ID_H]]="","",IF(NOTA[[#This Row],[Column3]]=TRUE,NOTA[[#This Row],[QTY/ CTN]],INDEX([3]!db[QTY/ CTN],NOTA[[#This Row],[//DB]])))</f>
        <v/>
      </c>
      <c r="AX7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0" s="25" t="str">
        <f ca="1">IF(NOTA[[#This Row],[ID_H]]="","",MATCH(NOTA[[#This Row],[NB NOTA_C_QTY]],[3]!db[NB NOTA_C_QTY+F],0))</f>
        <v/>
      </c>
      <c r="AZ710" s="38" t="str">
        <f ca="1">IF(NOTA[[#This Row],[NB NOTA_C_QTY]]="","",ROW()-2)</f>
        <v/>
      </c>
    </row>
    <row r="711" spans="1:52" ht="20.100000000000001" customHeight="1">
      <c r="A7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1" s="25" t="str">
        <f ca="1">IF(NOTA[[#This Row],[NAMA BARANG]]="","",INDEX(NOTA[ID],MATCH(,INDIRECT(ADDRESS(ROW(NOTA[ID]),COLUMN(NOTA[ID]))&amp;":"&amp;ADDRESS(ROW(),COLUMN(NOTA[ID]))),-1)))</f>
        <v/>
      </c>
      <c r="E711" s="33"/>
      <c r="H711" s="34"/>
      <c r="Q711" s="29"/>
      <c r="R711" s="35"/>
      <c r="S711" s="36"/>
      <c r="V711" s="37"/>
      <c r="W711" s="32"/>
      <c r="X711" s="37" t="str">
        <f>IF(NOTA[[#This Row],[HARGA/ CTN]]="",NOTA[[#This Row],[JUMLAH_H]],NOTA[[#This Row],[HARGA/ CTN]]*IF(NOTA[[#This Row],[C]]="",0,NOTA[[#This Row],[C]]))</f>
        <v/>
      </c>
      <c r="Y711" s="37" t="str">
        <f>IF(NOTA[[#This Row],[JUMLAH]]="","",NOTA[[#This Row],[JUMLAH]]*NOTA[[#This Row],[DISC 1]])</f>
        <v/>
      </c>
      <c r="Z711" s="37" t="str">
        <f>IF(NOTA[[#This Row],[JUMLAH]]="","",(NOTA[[#This Row],[JUMLAH]]-NOTA[[#This Row],[DISC 1-]])*NOTA[[#This Row],[DISC 2]])</f>
        <v/>
      </c>
      <c r="AA711" s="37" t="str">
        <f>IF(NOTA[[#This Row],[JUMLAH]]="","",(NOTA[[#This Row],[JUMLAH]]-NOTA[[#This Row],[DISC 1-]]-NOTA[[#This Row],[DISC 2-]])*NOTA[[#This Row],[DISC 3]])</f>
        <v/>
      </c>
      <c r="AB711" s="37" t="str">
        <f>IF(NOTA[[#This Row],[JUMLAH]]="","",NOTA[[#This Row],[DISC 1-]]+NOTA[[#This Row],[DISC 2-]]+NOTA[[#This Row],[DISC 3-]])</f>
        <v/>
      </c>
      <c r="AC711" s="37" t="str">
        <f>IF(NOTA[[#This Row],[JUMLAH]]="","",NOTA[[#This Row],[JUMLAH]]-NOTA[[#This Row],[DISC]])</f>
        <v/>
      </c>
      <c r="AD711" s="37"/>
      <c r="AE7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1" s="37" t="str">
        <f>IF(OR(NOTA[[#This Row],[QTY]]="",NOTA[[#This Row],[HARGA SATUAN]]="",),"",NOTA[[#This Row],[QTY]]*NOTA[[#This Row],[HARGA SATUAN]])</f>
        <v/>
      </c>
      <c r="AI711" s="26" t="str">
        <f ca="1">IF(NOTA[[#This Row],[ID_H]]="","",INDEX(NOTA[TANGGAL],MATCH(,INDIRECT(ADDRESS(ROW(NOTA[TANGGAL]),COLUMN(NOTA[TANGGAL]))&amp;":"&amp;ADDRESS(ROW(),COLUMN(NOTA[TANGGAL]))),-1)))</f>
        <v/>
      </c>
      <c r="AJ711" s="26" t="str">
        <f ca="1">IF(NOTA[[#This Row],[ID_H]]="","",INDEX(NOTA[TGL.NOTA],MATCH(,INDIRECT(ADDRESS(ROW(NOTA[TGL.NOTA]),COLUMN(NOTA[TGL.NOTA]))&amp;":"&amp;ADDRESS(ROW(),COLUMN(NOTA[TGL.NOTA]))),-1)))</f>
        <v/>
      </c>
      <c r="AK711" s="26" t="str">
        <f ca="1">IF(NOTA[[#This Row],[ID_H]]="","",INDEX(NOTA[NO.NOTA],MATCH(NOTA[[#This Row],[ID_H]],NOTA[ID_H],0)))</f>
        <v/>
      </c>
      <c r="AL711" s="28" t="str">
        <f ca="1">IF(NOTA[[#This Row],[NAMA BARANG]]="","",INDEX(NOTA[SUPPLIER],MATCH(,INDIRECT(ADDRESS(ROW(NOTA[ID]),COLUMN(NOTA[ID]))&amp;":"&amp;ADDRESS(ROW(),COLUMN(NOTA[ID]))),-1)))</f>
        <v/>
      </c>
      <c r="AM711" s="28" t="str">
        <f ca="1">IF(NOTA[[#This Row],[ID_H]]="","",IF(NOTA[[#This Row],[FAKTUR]]="",INDIRECT(ADDRESS(ROW()-1,COLUMN())),NOTA[[#This Row],[FAKTUR]]))</f>
        <v/>
      </c>
      <c r="AN711" s="25" t="str">
        <f ca="1">IF(NOTA[[#This Row],[ID]]="","",COUNTIF(NOTA[ID_H],NOTA[[#This Row],[ID_H]]))</f>
        <v/>
      </c>
      <c r="AO711" s="25" t="str">
        <f ca="1">IF(NOTA[[#This Row],[TGL.NOTA]]="",IF(NOTA[[#This Row],[SUPPLIER_H]]="","",AO710),MONTH(NOTA[[#This Row],[TGL.NOTA]]))</f>
        <v/>
      </c>
      <c r="AP7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1" s="25"/>
      <c r="AU711" s="25" t="str">
        <f>IF(NOTA[[#This Row],[CONCAT1]]="","",MATCH(NOTA[[#This Row],[CONCAT1]],[3]!db[NB NOTA_C],0))</f>
        <v/>
      </c>
      <c r="AV711" s="25" t="str">
        <f>IF(NOTA[[#This Row],[QTY/ CTN]]="","",TRUE)</f>
        <v/>
      </c>
      <c r="AW711" s="25" t="str">
        <f ca="1">IF(NOTA[[#This Row],[ID_H]]="","",IF(NOTA[[#This Row],[Column3]]=TRUE,NOTA[[#This Row],[QTY/ CTN]],INDEX([3]!db[QTY/ CTN],NOTA[[#This Row],[//DB]])))</f>
        <v/>
      </c>
      <c r="AX7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1" s="25" t="str">
        <f ca="1">IF(NOTA[[#This Row],[ID_H]]="","",MATCH(NOTA[[#This Row],[NB NOTA_C_QTY]],[3]!db[NB NOTA_C_QTY+F],0))</f>
        <v/>
      </c>
      <c r="AZ711" s="38" t="str">
        <f ca="1">IF(NOTA[[#This Row],[NB NOTA_C_QTY]]="","",ROW()-2)</f>
        <v/>
      </c>
    </row>
    <row r="712" spans="1:52" ht="20.100000000000001" customHeight="1">
      <c r="A7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2" s="25" t="str">
        <f ca="1">IF(NOTA[[#This Row],[NAMA BARANG]]="","",INDEX(NOTA[ID],MATCH(,INDIRECT(ADDRESS(ROW(NOTA[ID]),COLUMN(NOTA[ID]))&amp;":"&amp;ADDRESS(ROW(),COLUMN(NOTA[ID]))),-1)))</f>
        <v/>
      </c>
      <c r="E712" s="33"/>
      <c r="H712" s="34"/>
      <c r="Q712" s="29"/>
      <c r="R712" s="35"/>
      <c r="S712" s="36"/>
      <c r="V712" s="37"/>
      <c r="W712" s="32"/>
      <c r="X712" s="37" t="str">
        <f>IF(NOTA[[#This Row],[HARGA/ CTN]]="",NOTA[[#This Row],[JUMLAH_H]],NOTA[[#This Row],[HARGA/ CTN]]*IF(NOTA[[#This Row],[C]]="",0,NOTA[[#This Row],[C]]))</f>
        <v/>
      </c>
      <c r="Y712" s="37" t="str">
        <f>IF(NOTA[[#This Row],[JUMLAH]]="","",NOTA[[#This Row],[JUMLAH]]*NOTA[[#This Row],[DISC 1]])</f>
        <v/>
      </c>
      <c r="Z712" s="37" t="str">
        <f>IF(NOTA[[#This Row],[JUMLAH]]="","",(NOTA[[#This Row],[JUMLAH]]-NOTA[[#This Row],[DISC 1-]])*NOTA[[#This Row],[DISC 2]])</f>
        <v/>
      </c>
      <c r="AA712" s="37" t="str">
        <f>IF(NOTA[[#This Row],[JUMLAH]]="","",(NOTA[[#This Row],[JUMLAH]]-NOTA[[#This Row],[DISC 1-]]-NOTA[[#This Row],[DISC 2-]])*NOTA[[#This Row],[DISC 3]])</f>
        <v/>
      </c>
      <c r="AB712" s="37" t="str">
        <f>IF(NOTA[[#This Row],[JUMLAH]]="","",NOTA[[#This Row],[DISC 1-]]+NOTA[[#This Row],[DISC 2-]]+NOTA[[#This Row],[DISC 3-]])</f>
        <v/>
      </c>
      <c r="AC712" s="37" t="str">
        <f>IF(NOTA[[#This Row],[JUMLAH]]="","",NOTA[[#This Row],[JUMLAH]]-NOTA[[#This Row],[DISC]])</f>
        <v/>
      </c>
      <c r="AD712" s="37"/>
      <c r="AE7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2" s="37" t="str">
        <f>IF(OR(NOTA[[#This Row],[QTY]]="",NOTA[[#This Row],[HARGA SATUAN]]="",),"",NOTA[[#This Row],[QTY]]*NOTA[[#This Row],[HARGA SATUAN]])</f>
        <v/>
      </c>
      <c r="AI712" s="26" t="str">
        <f ca="1">IF(NOTA[[#This Row],[ID_H]]="","",INDEX(NOTA[TANGGAL],MATCH(,INDIRECT(ADDRESS(ROW(NOTA[TANGGAL]),COLUMN(NOTA[TANGGAL]))&amp;":"&amp;ADDRESS(ROW(),COLUMN(NOTA[TANGGAL]))),-1)))</f>
        <v/>
      </c>
      <c r="AJ712" s="26" t="str">
        <f ca="1">IF(NOTA[[#This Row],[ID_H]]="","",INDEX(NOTA[TGL.NOTA],MATCH(,INDIRECT(ADDRESS(ROW(NOTA[TGL.NOTA]),COLUMN(NOTA[TGL.NOTA]))&amp;":"&amp;ADDRESS(ROW(),COLUMN(NOTA[TGL.NOTA]))),-1)))</f>
        <v/>
      </c>
      <c r="AK712" s="26" t="str">
        <f ca="1">IF(NOTA[[#This Row],[ID_H]]="","",INDEX(NOTA[NO.NOTA],MATCH(NOTA[[#This Row],[ID_H]],NOTA[ID_H],0)))</f>
        <v/>
      </c>
      <c r="AL712" s="28" t="str">
        <f ca="1">IF(NOTA[[#This Row],[NAMA BARANG]]="","",INDEX(NOTA[SUPPLIER],MATCH(,INDIRECT(ADDRESS(ROW(NOTA[ID]),COLUMN(NOTA[ID]))&amp;":"&amp;ADDRESS(ROW(),COLUMN(NOTA[ID]))),-1)))</f>
        <v/>
      </c>
      <c r="AM712" s="28" t="str">
        <f ca="1">IF(NOTA[[#This Row],[ID_H]]="","",IF(NOTA[[#This Row],[FAKTUR]]="",INDIRECT(ADDRESS(ROW()-1,COLUMN())),NOTA[[#This Row],[FAKTUR]]))</f>
        <v/>
      </c>
      <c r="AN712" s="25" t="str">
        <f ca="1">IF(NOTA[[#This Row],[ID]]="","",COUNTIF(NOTA[ID_H],NOTA[[#This Row],[ID_H]]))</f>
        <v/>
      </c>
      <c r="AO712" s="25" t="str">
        <f ca="1">IF(NOTA[[#This Row],[TGL.NOTA]]="",IF(NOTA[[#This Row],[SUPPLIER_H]]="","",AO711),MONTH(NOTA[[#This Row],[TGL.NOTA]]))</f>
        <v/>
      </c>
      <c r="AP7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2" s="25"/>
      <c r="AU712" s="25" t="str">
        <f>IF(NOTA[[#This Row],[CONCAT1]]="","",MATCH(NOTA[[#This Row],[CONCAT1]],[3]!db[NB NOTA_C],0))</f>
        <v/>
      </c>
      <c r="AV712" s="25" t="str">
        <f>IF(NOTA[[#This Row],[QTY/ CTN]]="","",TRUE)</f>
        <v/>
      </c>
      <c r="AW712" s="25" t="str">
        <f ca="1">IF(NOTA[[#This Row],[ID_H]]="","",IF(NOTA[[#This Row],[Column3]]=TRUE,NOTA[[#This Row],[QTY/ CTN]],INDEX([3]!db[QTY/ CTN],NOTA[[#This Row],[//DB]])))</f>
        <v/>
      </c>
      <c r="AX7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2" s="25" t="str">
        <f ca="1">IF(NOTA[[#This Row],[ID_H]]="","",MATCH(NOTA[[#This Row],[NB NOTA_C_QTY]],[3]!db[NB NOTA_C_QTY+F],0))</f>
        <v/>
      </c>
      <c r="AZ712" s="38" t="str">
        <f ca="1">IF(NOTA[[#This Row],[NB NOTA_C_QTY]]="","",ROW()-2)</f>
        <v/>
      </c>
    </row>
    <row r="713" spans="1:52" ht="20.100000000000001" customHeight="1">
      <c r="A7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3" s="25" t="str">
        <f ca="1">IF(NOTA[[#This Row],[NAMA BARANG]]="","",INDEX(NOTA[ID],MATCH(,INDIRECT(ADDRESS(ROW(NOTA[ID]),COLUMN(NOTA[ID]))&amp;":"&amp;ADDRESS(ROW(),COLUMN(NOTA[ID]))),-1)))</f>
        <v/>
      </c>
      <c r="E713" s="33"/>
      <c r="H713" s="34"/>
      <c r="Q713" s="29"/>
      <c r="R713" s="35"/>
      <c r="S713" s="36"/>
      <c r="V713" s="37"/>
      <c r="W713" s="32"/>
      <c r="X713" s="37" t="str">
        <f>IF(NOTA[[#This Row],[HARGA/ CTN]]="",NOTA[[#This Row],[JUMLAH_H]],NOTA[[#This Row],[HARGA/ CTN]]*IF(NOTA[[#This Row],[C]]="",0,NOTA[[#This Row],[C]]))</f>
        <v/>
      </c>
      <c r="Y713" s="37" t="str">
        <f>IF(NOTA[[#This Row],[JUMLAH]]="","",NOTA[[#This Row],[JUMLAH]]*NOTA[[#This Row],[DISC 1]])</f>
        <v/>
      </c>
      <c r="Z713" s="37" t="str">
        <f>IF(NOTA[[#This Row],[JUMLAH]]="","",(NOTA[[#This Row],[JUMLAH]]-NOTA[[#This Row],[DISC 1-]])*NOTA[[#This Row],[DISC 2]])</f>
        <v/>
      </c>
      <c r="AA713" s="37" t="str">
        <f>IF(NOTA[[#This Row],[JUMLAH]]="","",(NOTA[[#This Row],[JUMLAH]]-NOTA[[#This Row],[DISC 1-]]-NOTA[[#This Row],[DISC 2-]])*NOTA[[#This Row],[DISC 3]])</f>
        <v/>
      </c>
      <c r="AB713" s="37" t="str">
        <f>IF(NOTA[[#This Row],[JUMLAH]]="","",NOTA[[#This Row],[DISC 1-]]+NOTA[[#This Row],[DISC 2-]]+NOTA[[#This Row],[DISC 3-]])</f>
        <v/>
      </c>
      <c r="AC713" s="37" t="str">
        <f>IF(NOTA[[#This Row],[JUMLAH]]="","",NOTA[[#This Row],[JUMLAH]]-NOTA[[#This Row],[DISC]])</f>
        <v/>
      </c>
      <c r="AD713" s="37"/>
      <c r="AE7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3" s="37" t="str">
        <f>IF(OR(NOTA[[#This Row],[QTY]]="",NOTA[[#This Row],[HARGA SATUAN]]="",),"",NOTA[[#This Row],[QTY]]*NOTA[[#This Row],[HARGA SATUAN]])</f>
        <v/>
      </c>
      <c r="AI713" s="26" t="str">
        <f ca="1">IF(NOTA[[#This Row],[ID_H]]="","",INDEX(NOTA[TANGGAL],MATCH(,INDIRECT(ADDRESS(ROW(NOTA[TANGGAL]),COLUMN(NOTA[TANGGAL]))&amp;":"&amp;ADDRESS(ROW(),COLUMN(NOTA[TANGGAL]))),-1)))</f>
        <v/>
      </c>
      <c r="AJ713" s="26" t="str">
        <f ca="1">IF(NOTA[[#This Row],[ID_H]]="","",INDEX(NOTA[TGL.NOTA],MATCH(,INDIRECT(ADDRESS(ROW(NOTA[TGL.NOTA]),COLUMN(NOTA[TGL.NOTA]))&amp;":"&amp;ADDRESS(ROW(),COLUMN(NOTA[TGL.NOTA]))),-1)))</f>
        <v/>
      </c>
      <c r="AK713" s="26" t="str">
        <f ca="1">IF(NOTA[[#This Row],[ID_H]]="","",INDEX(NOTA[NO.NOTA],MATCH(NOTA[[#This Row],[ID_H]],NOTA[ID_H],0)))</f>
        <v/>
      </c>
      <c r="AL713" s="28" t="str">
        <f ca="1">IF(NOTA[[#This Row],[NAMA BARANG]]="","",INDEX(NOTA[SUPPLIER],MATCH(,INDIRECT(ADDRESS(ROW(NOTA[ID]),COLUMN(NOTA[ID]))&amp;":"&amp;ADDRESS(ROW(),COLUMN(NOTA[ID]))),-1)))</f>
        <v/>
      </c>
      <c r="AM713" s="28" t="str">
        <f ca="1">IF(NOTA[[#This Row],[ID_H]]="","",IF(NOTA[[#This Row],[FAKTUR]]="",INDIRECT(ADDRESS(ROW()-1,COLUMN())),NOTA[[#This Row],[FAKTUR]]))</f>
        <v/>
      </c>
      <c r="AN713" s="25" t="str">
        <f ca="1">IF(NOTA[[#This Row],[ID]]="","",COUNTIF(NOTA[ID_H],NOTA[[#This Row],[ID_H]]))</f>
        <v/>
      </c>
      <c r="AO713" s="25" t="str">
        <f ca="1">IF(NOTA[[#This Row],[TGL.NOTA]]="",IF(NOTA[[#This Row],[SUPPLIER_H]]="","",AO712),MONTH(NOTA[[#This Row],[TGL.NOTA]]))</f>
        <v/>
      </c>
      <c r="AP7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3" s="25"/>
      <c r="AU713" s="25" t="str">
        <f>IF(NOTA[[#This Row],[CONCAT1]]="","",MATCH(NOTA[[#This Row],[CONCAT1]],[3]!db[NB NOTA_C],0))</f>
        <v/>
      </c>
      <c r="AV713" s="25" t="str">
        <f>IF(NOTA[[#This Row],[QTY/ CTN]]="","",TRUE)</f>
        <v/>
      </c>
      <c r="AW713" s="25" t="str">
        <f ca="1">IF(NOTA[[#This Row],[ID_H]]="","",IF(NOTA[[#This Row],[Column3]]=TRUE,NOTA[[#This Row],[QTY/ CTN]],INDEX([3]!db[QTY/ CTN],NOTA[[#This Row],[//DB]])))</f>
        <v/>
      </c>
      <c r="AX7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3" s="25" t="str">
        <f ca="1">IF(NOTA[[#This Row],[ID_H]]="","",MATCH(NOTA[[#This Row],[NB NOTA_C_QTY]],[3]!db[NB NOTA_C_QTY+F],0))</f>
        <v/>
      </c>
      <c r="AZ713" s="38" t="str">
        <f ca="1">IF(NOTA[[#This Row],[NB NOTA_C_QTY]]="","",ROW()-2)</f>
        <v/>
      </c>
    </row>
    <row r="714" spans="1:52" ht="20.100000000000001" customHeight="1">
      <c r="A7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4" s="25" t="str">
        <f ca="1">IF(NOTA[[#This Row],[NAMA BARANG]]="","",INDEX(NOTA[ID],MATCH(,INDIRECT(ADDRESS(ROW(NOTA[ID]),COLUMN(NOTA[ID]))&amp;":"&amp;ADDRESS(ROW(),COLUMN(NOTA[ID]))),-1)))</f>
        <v/>
      </c>
      <c r="E714" s="33"/>
      <c r="H714" s="34"/>
      <c r="Q714" s="29"/>
      <c r="R714" s="35"/>
      <c r="S714" s="36"/>
      <c r="V714" s="37"/>
      <c r="W714" s="32"/>
      <c r="X714" s="37" t="str">
        <f>IF(NOTA[[#This Row],[HARGA/ CTN]]="",NOTA[[#This Row],[JUMLAH_H]],NOTA[[#This Row],[HARGA/ CTN]]*IF(NOTA[[#This Row],[C]]="",0,NOTA[[#This Row],[C]]))</f>
        <v/>
      </c>
      <c r="Y714" s="37" t="str">
        <f>IF(NOTA[[#This Row],[JUMLAH]]="","",NOTA[[#This Row],[JUMLAH]]*NOTA[[#This Row],[DISC 1]])</f>
        <v/>
      </c>
      <c r="Z714" s="37" t="str">
        <f>IF(NOTA[[#This Row],[JUMLAH]]="","",(NOTA[[#This Row],[JUMLAH]]-NOTA[[#This Row],[DISC 1-]])*NOTA[[#This Row],[DISC 2]])</f>
        <v/>
      </c>
      <c r="AA714" s="37" t="str">
        <f>IF(NOTA[[#This Row],[JUMLAH]]="","",(NOTA[[#This Row],[JUMLAH]]-NOTA[[#This Row],[DISC 1-]]-NOTA[[#This Row],[DISC 2-]])*NOTA[[#This Row],[DISC 3]])</f>
        <v/>
      </c>
      <c r="AB714" s="37" t="str">
        <f>IF(NOTA[[#This Row],[JUMLAH]]="","",NOTA[[#This Row],[DISC 1-]]+NOTA[[#This Row],[DISC 2-]]+NOTA[[#This Row],[DISC 3-]])</f>
        <v/>
      </c>
      <c r="AC714" s="37" t="str">
        <f>IF(NOTA[[#This Row],[JUMLAH]]="","",NOTA[[#This Row],[JUMLAH]]-NOTA[[#This Row],[DISC]])</f>
        <v/>
      </c>
      <c r="AD714" s="37"/>
      <c r="AE7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4" s="37" t="str">
        <f>IF(OR(NOTA[[#This Row],[QTY]]="",NOTA[[#This Row],[HARGA SATUAN]]="",),"",NOTA[[#This Row],[QTY]]*NOTA[[#This Row],[HARGA SATUAN]])</f>
        <v/>
      </c>
      <c r="AI714" s="26" t="str">
        <f ca="1">IF(NOTA[[#This Row],[ID_H]]="","",INDEX(NOTA[TANGGAL],MATCH(,INDIRECT(ADDRESS(ROW(NOTA[TANGGAL]),COLUMN(NOTA[TANGGAL]))&amp;":"&amp;ADDRESS(ROW(),COLUMN(NOTA[TANGGAL]))),-1)))</f>
        <v/>
      </c>
      <c r="AJ714" s="26" t="str">
        <f ca="1">IF(NOTA[[#This Row],[ID_H]]="","",INDEX(NOTA[TGL.NOTA],MATCH(,INDIRECT(ADDRESS(ROW(NOTA[TGL.NOTA]),COLUMN(NOTA[TGL.NOTA]))&amp;":"&amp;ADDRESS(ROW(),COLUMN(NOTA[TGL.NOTA]))),-1)))</f>
        <v/>
      </c>
      <c r="AK714" s="26" t="str">
        <f ca="1">IF(NOTA[[#This Row],[ID_H]]="","",INDEX(NOTA[NO.NOTA],MATCH(NOTA[[#This Row],[ID_H]],NOTA[ID_H],0)))</f>
        <v/>
      </c>
      <c r="AL714" s="28" t="str">
        <f ca="1">IF(NOTA[[#This Row],[NAMA BARANG]]="","",INDEX(NOTA[SUPPLIER],MATCH(,INDIRECT(ADDRESS(ROW(NOTA[ID]),COLUMN(NOTA[ID]))&amp;":"&amp;ADDRESS(ROW(),COLUMN(NOTA[ID]))),-1)))</f>
        <v/>
      </c>
      <c r="AM714" s="28" t="str">
        <f ca="1">IF(NOTA[[#This Row],[ID_H]]="","",IF(NOTA[[#This Row],[FAKTUR]]="",INDIRECT(ADDRESS(ROW()-1,COLUMN())),NOTA[[#This Row],[FAKTUR]]))</f>
        <v/>
      </c>
      <c r="AN714" s="25" t="str">
        <f ca="1">IF(NOTA[[#This Row],[ID]]="","",COUNTIF(NOTA[ID_H],NOTA[[#This Row],[ID_H]]))</f>
        <v/>
      </c>
      <c r="AO714" s="25" t="str">
        <f ca="1">IF(NOTA[[#This Row],[TGL.NOTA]]="",IF(NOTA[[#This Row],[SUPPLIER_H]]="","",AO713),MONTH(NOTA[[#This Row],[TGL.NOTA]]))</f>
        <v/>
      </c>
      <c r="AP7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4" s="25"/>
      <c r="AU714" s="25" t="str">
        <f>IF(NOTA[[#This Row],[CONCAT1]]="","",MATCH(NOTA[[#This Row],[CONCAT1]],[3]!db[NB NOTA_C],0))</f>
        <v/>
      </c>
      <c r="AV714" s="25" t="str">
        <f>IF(NOTA[[#This Row],[QTY/ CTN]]="","",TRUE)</f>
        <v/>
      </c>
      <c r="AW714" s="25" t="str">
        <f ca="1">IF(NOTA[[#This Row],[ID_H]]="","",IF(NOTA[[#This Row],[Column3]]=TRUE,NOTA[[#This Row],[QTY/ CTN]],INDEX([3]!db[QTY/ CTN],NOTA[[#This Row],[//DB]])))</f>
        <v/>
      </c>
      <c r="AX7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4" s="25" t="str">
        <f ca="1">IF(NOTA[[#This Row],[ID_H]]="","",MATCH(NOTA[[#This Row],[NB NOTA_C_QTY]],[3]!db[NB NOTA_C_QTY+F],0))</f>
        <v/>
      </c>
      <c r="AZ714" s="38" t="str">
        <f ca="1">IF(NOTA[[#This Row],[NB NOTA_C_QTY]]="","",ROW()-2)</f>
        <v/>
      </c>
    </row>
    <row r="715" spans="1:52" ht="20.100000000000001" customHeight="1">
      <c r="A7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5" s="25" t="str">
        <f ca="1">IF(NOTA[[#This Row],[NAMA BARANG]]="","",INDEX(NOTA[ID],MATCH(,INDIRECT(ADDRESS(ROW(NOTA[ID]),COLUMN(NOTA[ID]))&amp;":"&amp;ADDRESS(ROW(),COLUMN(NOTA[ID]))),-1)))</f>
        <v/>
      </c>
      <c r="E715" s="33"/>
      <c r="H715" s="34"/>
      <c r="Q715" s="29"/>
      <c r="R715" s="35"/>
      <c r="S715" s="36"/>
      <c r="V715" s="37"/>
      <c r="W715" s="32"/>
      <c r="X715" s="37" t="str">
        <f>IF(NOTA[[#This Row],[HARGA/ CTN]]="",NOTA[[#This Row],[JUMLAH_H]],NOTA[[#This Row],[HARGA/ CTN]]*IF(NOTA[[#This Row],[C]]="",0,NOTA[[#This Row],[C]]))</f>
        <v/>
      </c>
      <c r="Y715" s="37" t="str">
        <f>IF(NOTA[[#This Row],[JUMLAH]]="","",NOTA[[#This Row],[JUMLAH]]*NOTA[[#This Row],[DISC 1]])</f>
        <v/>
      </c>
      <c r="Z715" s="37" t="str">
        <f>IF(NOTA[[#This Row],[JUMLAH]]="","",(NOTA[[#This Row],[JUMLAH]]-NOTA[[#This Row],[DISC 1-]])*NOTA[[#This Row],[DISC 2]])</f>
        <v/>
      </c>
      <c r="AA715" s="37" t="str">
        <f>IF(NOTA[[#This Row],[JUMLAH]]="","",(NOTA[[#This Row],[JUMLAH]]-NOTA[[#This Row],[DISC 1-]]-NOTA[[#This Row],[DISC 2-]])*NOTA[[#This Row],[DISC 3]])</f>
        <v/>
      </c>
      <c r="AB715" s="37" t="str">
        <f>IF(NOTA[[#This Row],[JUMLAH]]="","",NOTA[[#This Row],[DISC 1-]]+NOTA[[#This Row],[DISC 2-]]+NOTA[[#This Row],[DISC 3-]])</f>
        <v/>
      </c>
      <c r="AC715" s="37" t="str">
        <f>IF(NOTA[[#This Row],[JUMLAH]]="","",NOTA[[#This Row],[JUMLAH]]-NOTA[[#This Row],[DISC]])</f>
        <v/>
      </c>
      <c r="AD715" s="37"/>
      <c r="AE7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5" s="37" t="str">
        <f>IF(OR(NOTA[[#This Row],[QTY]]="",NOTA[[#This Row],[HARGA SATUAN]]="",),"",NOTA[[#This Row],[QTY]]*NOTA[[#This Row],[HARGA SATUAN]])</f>
        <v/>
      </c>
      <c r="AI715" s="26" t="str">
        <f ca="1">IF(NOTA[[#This Row],[ID_H]]="","",INDEX(NOTA[TANGGAL],MATCH(,INDIRECT(ADDRESS(ROW(NOTA[TANGGAL]),COLUMN(NOTA[TANGGAL]))&amp;":"&amp;ADDRESS(ROW(),COLUMN(NOTA[TANGGAL]))),-1)))</f>
        <v/>
      </c>
      <c r="AJ715" s="26" t="str">
        <f ca="1">IF(NOTA[[#This Row],[ID_H]]="","",INDEX(NOTA[TGL.NOTA],MATCH(,INDIRECT(ADDRESS(ROW(NOTA[TGL.NOTA]),COLUMN(NOTA[TGL.NOTA]))&amp;":"&amp;ADDRESS(ROW(),COLUMN(NOTA[TGL.NOTA]))),-1)))</f>
        <v/>
      </c>
      <c r="AK715" s="26" t="str">
        <f ca="1">IF(NOTA[[#This Row],[ID_H]]="","",INDEX(NOTA[NO.NOTA],MATCH(NOTA[[#This Row],[ID_H]],NOTA[ID_H],0)))</f>
        <v/>
      </c>
      <c r="AL715" s="28" t="str">
        <f ca="1">IF(NOTA[[#This Row],[NAMA BARANG]]="","",INDEX(NOTA[SUPPLIER],MATCH(,INDIRECT(ADDRESS(ROW(NOTA[ID]),COLUMN(NOTA[ID]))&amp;":"&amp;ADDRESS(ROW(),COLUMN(NOTA[ID]))),-1)))</f>
        <v/>
      </c>
      <c r="AM715" s="28" t="str">
        <f ca="1">IF(NOTA[[#This Row],[ID_H]]="","",IF(NOTA[[#This Row],[FAKTUR]]="",INDIRECT(ADDRESS(ROW()-1,COLUMN())),NOTA[[#This Row],[FAKTUR]]))</f>
        <v/>
      </c>
      <c r="AN715" s="25" t="str">
        <f ca="1">IF(NOTA[[#This Row],[ID]]="","",COUNTIF(NOTA[ID_H],NOTA[[#This Row],[ID_H]]))</f>
        <v/>
      </c>
      <c r="AO715" s="25" t="str">
        <f ca="1">IF(NOTA[[#This Row],[TGL.NOTA]]="",IF(NOTA[[#This Row],[SUPPLIER_H]]="","",AO714),MONTH(NOTA[[#This Row],[TGL.NOTA]]))</f>
        <v/>
      </c>
      <c r="AP7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5" s="25"/>
      <c r="AU715" s="25" t="str">
        <f>IF(NOTA[[#This Row],[CONCAT1]]="","",MATCH(NOTA[[#This Row],[CONCAT1]],[3]!db[NB NOTA_C],0))</f>
        <v/>
      </c>
      <c r="AV715" s="25" t="str">
        <f>IF(NOTA[[#This Row],[QTY/ CTN]]="","",TRUE)</f>
        <v/>
      </c>
      <c r="AW715" s="25" t="str">
        <f ca="1">IF(NOTA[[#This Row],[ID_H]]="","",IF(NOTA[[#This Row],[Column3]]=TRUE,NOTA[[#This Row],[QTY/ CTN]],INDEX([3]!db[QTY/ CTN],NOTA[[#This Row],[//DB]])))</f>
        <v/>
      </c>
      <c r="AX7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5" s="25" t="str">
        <f ca="1">IF(NOTA[[#This Row],[ID_H]]="","",MATCH(NOTA[[#This Row],[NB NOTA_C_QTY]],[3]!db[NB NOTA_C_QTY+F],0))</f>
        <v/>
      </c>
      <c r="AZ715" s="38" t="str">
        <f ca="1">IF(NOTA[[#This Row],[NB NOTA_C_QTY]]="","",ROW()-2)</f>
        <v/>
      </c>
    </row>
    <row r="716" spans="1:52" ht="20.100000000000001" customHeight="1">
      <c r="A7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6" s="25" t="str">
        <f ca="1">IF(NOTA[[#This Row],[NAMA BARANG]]="","",INDEX(NOTA[ID],MATCH(,INDIRECT(ADDRESS(ROW(NOTA[ID]),COLUMN(NOTA[ID]))&amp;":"&amp;ADDRESS(ROW(),COLUMN(NOTA[ID]))),-1)))</f>
        <v/>
      </c>
      <c r="E716" s="33"/>
      <c r="H716" s="34"/>
      <c r="Q716" s="29"/>
      <c r="R716" s="35"/>
      <c r="S716" s="36"/>
      <c r="V716" s="37"/>
      <c r="W716" s="32"/>
      <c r="X716" s="37" t="str">
        <f>IF(NOTA[[#This Row],[HARGA/ CTN]]="",NOTA[[#This Row],[JUMLAH_H]],NOTA[[#This Row],[HARGA/ CTN]]*IF(NOTA[[#This Row],[C]]="",0,NOTA[[#This Row],[C]]))</f>
        <v/>
      </c>
      <c r="Y716" s="37" t="str">
        <f>IF(NOTA[[#This Row],[JUMLAH]]="","",NOTA[[#This Row],[JUMLAH]]*NOTA[[#This Row],[DISC 1]])</f>
        <v/>
      </c>
      <c r="Z716" s="37" t="str">
        <f>IF(NOTA[[#This Row],[JUMLAH]]="","",(NOTA[[#This Row],[JUMLAH]]-NOTA[[#This Row],[DISC 1-]])*NOTA[[#This Row],[DISC 2]])</f>
        <v/>
      </c>
      <c r="AA716" s="37" t="str">
        <f>IF(NOTA[[#This Row],[JUMLAH]]="","",(NOTA[[#This Row],[JUMLAH]]-NOTA[[#This Row],[DISC 1-]]-NOTA[[#This Row],[DISC 2-]])*NOTA[[#This Row],[DISC 3]])</f>
        <v/>
      </c>
      <c r="AB716" s="37" t="str">
        <f>IF(NOTA[[#This Row],[JUMLAH]]="","",NOTA[[#This Row],[DISC 1-]]+NOTA[[#This Row],[DISC 2-]]+NOTA[[#This Row],[DISC 3-]])</f>
        <v/>
      </c>
      <c r="AC716" s="37" t="str">
        <f>IF(NOTA[[#This Row],[JUMLAH]]="","",NOTA[[#This Row],[JUMLAH]]-NOTA[[#This Row],[DISC]])</f>
        <v/>
      </c>
      <c r="AD716" s="37"/>
      <c r="AE7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6" s="37" t="str">
        <f>IF(OR(NOTA[[#This Row],[QTY]]="",NOTA[[#This Row],[HARGA SATUAN]]="",),"",NOTA[[#This Row],[QTY]]*NOTA[[#This Row],[HARGA SATUAN]])</f>
        <v/>
      </c>
      <c r="AI716" s="26" t="str">
        <f ca="1">IF(NOTA[[#This Row],[ID_H]]="","",INDEX(NOTA[TANGGAL],MATCH(,INDIRECT(ADDRESS(ROW(NOTA[TANGGAL]),COLUMN(NOTA[TANGGAL]))&amp;":"&amp;ADDRESS(ROW(),COLUMN(NOTA[TANGGAL]))),-1)))</f>
        <v/>
      </c>
      <c r="AJ716" s="26" t="str">
        <f ca="1">IF(NOTA[[#This Row],[ID_H]]="","",INDEX(NOTA[TGL.NOTA],MATCH(,INDIRECT(ADDRESS(ROW(NOTA[TGL.NOTA]),COLUMN(NOTA[TGL.NOTA]))&amp;":"&amp;ADDRESS(ROW(),COLUMN(NOTA[TGL.NOTA]))),-1)))</f>
        <v/>
      </c>
      <c r="AK716" s="26" t="str">
        <f ca="1">IF(NOTA[[#This Row],[ID_H]]="","",INDEX(NOTA[NO.NOTA],MATCH(NOTA[[#This Row],[ID_H]],NOTA[ID_H],0)))</f>
        <v/>
      </c>
      <c r="AL716" s="28" t="str">
        <f ca="1">IF(NOTA[[#This Row],[NAMA BARANG]]="","",INDEX(NOTA[SUPPLIER],MATCH(,INDIRECT(ADDRESS(ROW(NOTA[ID]),COLUMN(NOTA[ID]))&amp;":"&amp;ADDRESS(ROW(),COLUMN(NOTA[ID]))),-1)))</f>
        <v/>
      </c>
      <c r="AM716" s="28" t="str">
        <f ca="1">IF(NOTA[[#This Row],[ID_H]]="","",IF(NOTA[[#This Row],[FAKTUR]]="",INDIRECT(ADDRESS(ROW()-1,COLUMN())),NOTA[[#This Row],[FAKTUR]]))</f>
        <v/>
      </c>
      <c r="AN716" s="25" t="str">
        <f ca="1">IF(NOTA[[#This Row],[ID]]="","",COUNTIF(NOTA[ID_H],NOTA[[#This Row],[ID_H]]))</f>
        <v/>
      </c>
      <c r="AO716" s="25" t="str">
        <f ca="1">IF(NOTA[[#This Row],[TGL.NOTA]]="",IF(NOTA[[#This Row],[SUPPLIER_H]]="","",AO715),MONTH(NOTA[[#This Row],[TGL.NOTA]]))</f>
        <v/>
      </c>
      <c r="AP7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6" s="25"/>
      <c r="AU716" s="25" t="str">
        <f>IF(NOTA[[#This Row],[CONCAT1]]="","",MATCH(NOTA[[#This Row],[CONCAT1]],[3]!db[NB NOTA_C],0))</f>
        <v/>
      </c>
      <c r="AV716" s="25" t="str">
        <f>IF(NOTA[[#This Row],[QTY/ CTN]]="","",TRUE)</f>
        <v/>
      </c>
      <c r="AW716" s="25" t="str">
        <f ca="1">IF(NOTA[[#This Row],[ID_H]]="","",IF(NOTA[[#This Row],[Column3]]=TRUE,NOTA[[#This Row],[QTY/ CTN]],INDEX([3]!db[QTY/ CTN],NOTA[[#This Row],[//DB]])))</f>
        <v/>
      </c>
      <c r="AX7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6" s="25" t="str">
        <f ca="1">IF(NOTA[[#This Row],[ID_H]]="","",MATCH(NOTA[[#This Row],[NB NOTA_C_QTY]],[3]!db[NB NOTA_C_QTY+F],0))</f>
        <v/>
      </c>
      <c r="AZ716" s="38" t="str">
        <f ca="1">IF(NOTA[[#This Row],[NB NOTA_C_QTY]]="","",ROW()-2)</f>
        <v/>
      </c>
    </row>
    <row r="717" spans="1:52" ht="20.100000000000001" customHeight="1">
      <c r="A7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7" s="25" t="str">
        <f ca="1">IF(NOTA[[#This Row],[NAMA BARANG]]="","",INDEX(NOTA[ID],MATCH(,INDIRECT(ADDRESS(ROW(NOTA[ID]),COLUMN(NOTA[ID]))&amp;":"&amp;ADDRESS(ROW(),COLUMN(NOTA[ID]))),-1)))</f>
        <v/>
      </c>
      <c r="E717" s="33"/>
      <c r="H717" s="34"/>
      <c r="Q717" s="29"/>
      <c r="R717" s="35"/>
      <c r="S717" s="36"/>
      <c r="V717" s="37"/>
      <c r="W717" s="32"/>
      <c r="X717" s="37" t="str">
        <f>IF(NOTA[[#This Row],[HARGA/ CTN]]="",NOTA[[#This Row],[JUMLAH_H]],NOTA[[#This Row],[HARGA/ CTN]]*IF(NOTA[[#This Row],[C]]="",0,NOTA[[#This Row],[C]]))</f>
        <v/>
      </c>
      <c r="Y717" s="37" t="str">
        <f>IF(NOTA[[#This Row],[JUMLAH]]="","",NOTA[[#This Row],[JUMLAH]]*NOTA[[#This Row],[DISC 1]])</f>
        <v/>
      </c>
      <c r="Z717" s="37" t="str">
        <f>IF(NOTA[[#This Row],[JUMLAH]]="","",(NOTA[[#This Row],[JUMLAH]]-NOTA[[#This Row],[DISC 1-]])*NOTA[[#This Row],[DISC 2]])</f>
        <v/>
      </c>
      <c r="AA717" s="37" t="str">
        <f>IF(NOTA[[#This Row],[JUMLAH]]="","",(NOTA[[#This Row],[JUMLAH]]-NOTA[[#This Row],[DISC 1-]]-NOTA[[#This Row],[DISC 2-]])*NOTA[[#This Row],[DISC 3]])</f>
        <v/>
      </c>
      <c r="AB717" s="37" t="str">
        <f>IF(NOTA[[#This Row],[JUMLAH]]="","",NOTA[[#This Row],[DISC 1-]]+NOTA[[#This Row],[DISC 2-]]+NOTA[[#This Row],[DISC 3-]])</f>
        <v/>
      </c>
      <c r="AC717" s="37" t="str">
        <f>IF(NOTA[[#This Row],[JUMLAH]]="","",NOTA[[#This Row],[JUMLAH]]-NOTA[[#This Row],[DISC]])</f>
        <v/>
      </c>
      <c r="AD717" s="37"/>
      <c r="AE7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7" s="37" t="str">
        <f>IF(OR(NOTA[[#This Row],[QTY]]="",NOTA[[#This Row],[HARGA SATUAN]]="",),"",NOTA[[#This Row],[QTY]]*NOTA[[#This Row],[HARGA SATUAN]])</f>
        <v/>
      </c>
      <c r="AI717" s="26" t="str">
        <f ca="1">IF(NOTA[[#This Row],[ID_H]]="","",INDEX(NOTA[TANGGAL],MATCH(,INDIRECT(ADDRESS(ROW(NOTA[TANGGAL]),COLUMN(NOTA[TANGGAL]))&amp;":"&amp;ADDRESS(ROW(),COLUMN(NOTA[TANGGAL]))),-1)))</f>
        <v/>
      </c>
      <c r="AJ717" s="26" t="str">
        <f ca="1">IF(NOTA[[#This Row],[ID_H]]="","",INDEX(NOTA[TGL.NOTA],MATCH(,INDIRECT(ADDRESS(ROW(NOTA[TGL.NOTA]),COLUMN(NOTA[TGL.NOTA]))&amp;":"&amp;ADDRESS(ROW(),COLUMN(NOTA[TGL.NOTA]))),-1)))</f>
        <v/>
      </c>
      <c r="AK717" s="26" t="str">
        <f ca="1">IF(NOTA[[#This Row],[ID_H]]="","",INDEX(NOTA[NO.NOTA],MATCH(NOTA[[#This Row],[ID_H]],NOTA[ID_H],0)))</f>
        <v/>
      </c>
      <c r="AL717" s="28" t="str">
        <f ca="1">IF(NOTA[[#This Row],[NAMA BARANG]]="","",INDEX(NOTA[SUPPLIER],MATCH(,INDIRECT(ADDRESS(ROW(NOTA[ID]),COLUMN(NOTA[ID]))&amp;":"&amp;ADDRESS(ROW(),COLUMN(NOTA[ID]))),-1)))</f>
        <v/>
      </c>
      <c r="AM717" s="28" t="str">
        <f ca="1">IF(NOTA[[#This Row],[ID_H]]="","",IF(NOTA[[#This Row],[FAKTUR]]="",INDIRECT(ADDRESS(ROW()-1,COLUMN())),NOTA[[#This Row],[FAKTUR]]))</f>
        <v/>
      </c>
      <c r="AN717" s="25" t="str">
        <f ca="1">IF(NOTA[[#This Row],[ID]]="","",COUNTIF(NOTA[ID_H],NOTA[[#This Row],[ID_H]]))</f>
        <v/>
      </c>
      <c r="AO717" s="25" t="str">
        <f ca="1">IF(NOTA[[#This Row],[TGL.NOTA]]="",IF(NOTA[[#This Row],[SUPPLIER_H]]="","",AO716),MONTH(NOTA[[#This Row],[TGL.NOTA]]))</f>
        <v/>
      </c>
      <c r="AP7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7" s="25"/>
      <c r="AU717" s="25" t="str">
        <f>IF(NOTA[[#This Row],[CONCAT1]]="","",MATCH(NOTA[[#This Row],[CONCAT1]],[3]!db[NB NOTA_C],0))</f>
        <v/>
      </c>
      <c r="AV717" s="25" t="str">
        <f>IF(NOTA[[#This Row],[QTY/ CTN]]="","",TRUE)</f>
        <v/>
      </c>
      <c r="AW717" s="25" t="str">
        <f ca="1">IF(NOTA[[#This Row],[ID_H]]="","",IF(NOTA[[#This Row],[Column3]]=TRUE,NOTA[[#This Row],[QTY/ CTN]],INDEX([3]!db[QTY/ CTN],NOTA[[#This Row],[//DB]])))</f>
        <v/>
      </c>
      <c r="AX7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7" s="25" t="str">
        <f ca="1">IF(NOTA[[#This Row],[ID_H]]="","",MATCH(NOTA[[#This Row],[NB NOTA_C_QTY]],[3]!db[NB NOTA_C_QTY+F],0))</f>
        <v/>
      </c>
      <c r="AZ717" s="38" t="str">
        <f ca="1">IF(NOTA[[#This Row],[NB NOTA_C_QTY]]="","",ROW()-2)</f>
        <v/>
      </c>
    </row>
    <row r="718" spans="1:52" ht="20.100000000000001" customHeight="1">
      <c r="A7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8" s="25" t="str">
        <f ca="1">IF(NOTA[[#This Row],[NAMA BARANG]]="","",INDEX(NOTA[ID],MATCH(,INDIRECT(ADDRESS(ROW(NOTA[ID]),COLUMN(NOTA[ID]))&amp;":"&amp;ADDRESS(ROW(),COLUMN(NOTA[ID]))),-1)))</f>
        <v/>
      </c>
      <c r="E718" s="33"/>
      <c r="H718" s="34"/>
      <c r="Q718" s="29"/>
      <c r="R718" s="35"/>
      <c r="S718" s="36"/>
      <c r="V718" s="37"/>
      <c r="W718" s="32"/>
      <c r="X718" s="37" t="str">
        <f>IF(NOTA[[#This Row],[HARGA/ CTN]]="",NOTA[[#This Row],[JUMLAH_H]],NOTA[[#This Row],[HARGA/ CTN]]*IF(NOTA[[#This Row],[C]]="",0,NOTA[[#This Row],[C]]))</f>
        <v/>
      </c>
      <c r="Y718" s="37" t="str">
        <f>IF(NOTA[[#This Row],[JUMLAH]]="","",NOTA[[#This Row],[JUMLAH]]*NOTA[[#This Row],[DISC 1]])</f>
        <v/>
      </c>
      <c r="Z718" s="37" t="str">
        <f>IF(NOTA[[#This Row],[JUMLAH]]="","",(NOTA[[#This Row],[JUMLAH]]-NOTA[[#This Row],[DISC 1-]])*NOTA[[#This Row],[DISC 2]])</f>
        <v/>
      </c>
      <c r="AA718" s="37" t="str">
        <f>IF(NOTA[[#This Row],[JUMLAH]]="","",(NOTA[[#This Row],[JUMLAH]]-NOTA[[#This Row],[DISC 1-]]-NOTA[[#This Row],[DISC 2-]])*NOTA[[#This Row],[DISC 3]])</f>
        <v/>
      </c>
      <c r="AB718" s="37" t="str">
        <f>IF(NOTA[[#This Row],[JUMLAH]]="","",NOTA[[#This Row],[DISC 1-]]+NOTA[[#This Row],[DISC 2-]]+NOTA[[#This Row],[DISC 3-]])</f>
        <v/>
      </c>
      <c r="AC718" s="37" t="str">
        <f>IF(NOTA[[#This Row],[JUMLAH]]="","",NOTA[[#This Row],[JUMLAH]]-NOTA[[#This Row],[DISC]])</f>
        <v/>
      </c>
      <c r="AD718" s="37"/>
      <c r="AE7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8" s="37" t="str">
        <f>IF(OR(NOTA[[#This Row],[QTY]]="",NOTA[[#This Row],[HARGA SATUAN]]="",),"",NOTA[[#This Row],[QTY]]*NOTA[[#This Row],[HARGA SATUAN]])</f>
        <v/>
      </c>
      <c r="AI718" s="26" t="str">
        <f ca="1">IF(NOTA[[#This Row],[ID_H]]="","",INDEX(NOTA[TANGGAL],MATCH(,INDIRECT(ADDRESS(ROW(NOTA[TANGGAL]),COLUMN(NOTA[TANGGAL]))&amp;":"&amp;ADDRESS(ROW(),COLUMN(NOTA[TANGGAL]))),-1)))</f>
        <v/>
      </c>
      <c r="AJ718" s="26" t="str">
        <f ca="1">IF(NOTA[[#This Row],[ID_H]]="","",INDEX(NOTA[TGL.NOTA],MATCH(,INDIRECT(ADDRESS(ROW(NOTA[TGL.NOTA]),COLUMN(NOTA[TGL.NOTA]))&amp;":"&amp;ADDRESS(ROW(),COLUMN(NOTA[TGL.NOTA]))),-1)))</f>
        <v/>
      </c>
      <c r="AK718" s="26" t="str">
        <f ca="1">IF(NOTA[[#This Row],[ID_H]]="","",INDEX(NOTA[NO.NOTA],MATCH(NOTA[[#This Row],[ID_H]],NOTA[ID_H],0)))</f>
        <v/>
      </c>
      <c r="AL718" s="28" t="str">
        <f ca="1">IF(NOTA[[#This Row],[NAMA BARANG]]="","",INDEX(NOTA[SUPPLIER],MATCH(,INDIRECT(ADDRESS(ROW(NOTA[ID]),COLUMN(NOTA[ID]))&amp;":"&amp;ADDRESS(ROW(),COLUMN(NOTA[ID]))),-1)))</f>
        <v/>
      </c>
      <c r="AM718" s="28" t="str">
        <f ca="1">IF(NOTA[[#This Row],[ID_H]]="","",IF(NOTA[[#This Row],[FAKTUR]]="",INDIRECT(ADDRESS(ROW()-1,COLUMN())),NOTA[[#This Row],[FAKTUR]]))</f>
        <v/>
      </c>
      <c r="AN718" s="25" t="str">
        <f ca="1">IF(NOTA[[#This Row],[ID]]="","",COUNTIF(NOTA[ID_H],NOTA[[#This Row],[ID_H]]))</f>
        <v/>
      </c>
      <c r="AO718" s="25" t="str">
        <f ca="1">IF(NOTA[[#This Row],[TGL.NOTA]]="",IF(NOTA[[#This Row],[SUPPLIER_H]]="","",AO717),MONTH(NOTA[[#This Row],[TGL.NOTA]]))</f>
        <v/>
      </c>
      <c r="AP7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8" s="25"/>
      <c r="AU718" s="25" t="str">
        <f>IF(NOTA[[#This Row],[CONCAT1]]="","",MATCH(NOTA[[#This Row],[CONCAT1]],[3]!db[NB NOTA_C],0))</f>
        <v/>
      </c>
      <c r="AV718" s="25" t="str">
        <f>IF(NOTA[[#This Row],[QTY/ CTN]]="","",TRUE)</f>
        <v/>
      </c>
      <c r="AW718" s="25" t="str">
        <f ca="1">IF(NOTA[[#This Row],[ID_H]]="","",IF(NOTA[[#This Row],[Column3]]=TRUE,NOTA[[#This Row],[QTY/ CTN]],INDEX([3]!db[QTY/ CTN],NOTA[[#This Row],[//DB]])))</f>
        <v/>
      </c>
      <c r="AX7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8" s="25" t="str">
        <f ca="1">IF(NOTA[[#This Row],[ID_H]]="","",MATCH(NOTA[[#This Row],[NB NOTA_C_QTY]],[3]!db[NB NOTA_C_QTY+F],0))</f>
        <v/>
      </c>
      <c r="AZ718" s="38" t="str">
        <f ca="1">IF(NOTA[[#This Row],[NB NOTA_C_QTY]]="","",ROW()-2)</f>
        <v/>
      </c>
    </row>
    <row r="719" spans="1:52" ht="20.100000000000001" customHeight="1">
      <c r="A7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9" s="25" t="str">
        <f ca="1">IF(NOTA[[#This Row],[NAMA BARANG]]="","",INDEX(NOTA[ID],MATCH(,INDIRECT(ADDRESS(ROW(NOTA[ID]),COLUMN(NOTA[ID]))&amp;":"&amp;ADDRESS(ROW(),COLUMN(NOTA[ID]))),-1)))</f>
        <v/>
      </c>
      <c r="E719" s="33"/>
      <c r="H719" s="34"/>
      <c r="Q719" s="29"/>
      <c r="R719" s="35"/>
      <c r="S719" s="36"/>
      <c r="V719" s="37"/>
      <c r="W719" s="32"/>
      <c r="X719" s="37" t="str">
        <f>IF(NOTA[[#This Row],[HARGA/ CTN]]="",NOTA[[#This Row],[JUMLAH_H]],NOTA[[#This Row],[HARGA/ CTN]]*IF(NOTA[[#This Row],[C]]="",0,NOTA[[#This Row],[C]]))</f>
        <v/>
      </c>
      <c r="Y719" s="37" t="str">
        <f>IF(NOTA[[#This Row],[JUMLAH]]="","",NOTA[[#This Row],[JUMLAH]]*NOTA[[#This Row],[DISC 1]])</f>
        <v/>
      </c>
      <c r="Z719" s="37" t="str">
        <f>IF(NOTA[[#This Row],[JUMLAH]]="","",(NOTA[[#This Row],[JUMLAH]]-NOTA[[#This Row],[DISC 1-]])*NOTA[[#This Row],[DISC 2]])</f>
        <v/>
      </c>
      <c r="AA719" s="37" t="str">
        <f>IF(NOTA[[#This Row],[JUMLAH]]="","",(NOTA[[#This Row],[JUMLAH]]-NOTA[[#This Row],[DISC 1-]]-NOTA[[#This Row],[DISC 2-]])*NOTA[[#This Row],[DISC 3]])</f>
        <v/>
      </c>
      <c r="AB719" s="37" t="str">
        <f>IF(NOTA[[#This Row],[JUMLAH]]="","",NOTA[[#This Row],[DISC 1-]]+NOTA[[#This Row],[DISC 2-]]+NOTA[[#This Row],[DISC 3-]])</f>
        <v/>
      </c>
      <c r="AC719" s="37" t="str">
        <f>IF(NOTA[[#This Row],[JUMLAH]]="","",NOTA[[#This Row],[JUMLAH]]-NOTA[[#This Row],[DISC]])</f>
        <v/>
      </c>
      <c r="AD719" s="37"/>
      <c r="AE7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9" s="37" t="str">
        <f>IF(OR(NOTA[[#This Row],[QTY]]="",NOTA[[#This Row],[HARGA SATUAN]]="",),"",NOTA[[#This Row],[QTY]]*NOTA[[#This Row],[HARGA SATUAN]])</f>
        <v/>
      </c>
      <c r="AI719" s="26" t="str">
        <f ca="1">IF(NOTA[[#This Row],[ID_H]]="","",INDEX(NOTA[TANGGAL],MATCH(,INDIRECT(ADDRESS(ROW(NOTA[TANGGAL]),COLUMN(NOTA[TANGGAL]))&amp;":"&amp;ADDRESS(ROW(),COLUMN(NOTA[TANGGAL]))),-1)))</f>
        <v/>
      </c>
      <c r="AJ719" s="26" t="str">
        <f ca="1">IF(NOTA[[#This Row],[ID_H]]="","",INDEX(NOTA[TGL.NOTA],MATCH(,INDIRECT(ADDRESS(ROW(NOTA[TGL.NOTA]),COLUMN(NOTA[TGL.NOTA]))&amp;":"&amp;ADDRESS(ROW(),COLUMN(NOTA[TGL.NOTA]))),-1)))</f>
        <v/>
      </c>
      <c r="AK719" s="26" t="str">
        <f ca="1">IF(NOTA[[#This Row],[ID_H]]="","",INDEX(NOTA[NO.NOTA],MATCH(NOTA[[#This Row],[ID_H]],NOTA[ID_H],0)))</f>
        <v/>
      </c>
      <c r="AL719" s="28" t="str">
        <f ca="1">IF(NOTA[[#This Row],[NAMA BARANG]]="","",INDEX(NOTA[SUPPLIER],MATCH(,INDIRECT(ADDRESS(ROW(NOTA[ID]),COLUMN(NOTA[ID]))&amp;":"&amp;ADDRESS(ROW(),COLUMN(NOTA[ID]))),-1)))</f>
        <v/>
      </c>
      <c r="AM719" s="28" t="str">
        <f ca="1">IF(NOTA[[#This Row],[ID_H]]="","",IF(NOTA[[#This Row],[FAKTUR]]="",INDIRECT(ADDRESS(ROW()-1,COLUMN())),NOTA[[#This Row],[FAKTUR]]))</f>
        <v/>
      </c>
      <c r="AN719" s="25" t="str">
        <f ca="1">IF(NOTA[[#This Row],[ID]]="","",COUNTIF(NOTA[ID_H],NOTA[[#This Row],[ID_H]]))</f>
        <v/>
      </c>
      <c r="AO719" s="25" t="str">
        <f ca="1">IF(NOTA[[#This Row],[TGL.NOTA]]="",IF(NOTA[[#This Row],[SUPPLIER_H]]="","",AO718),MONTH(NOTA[[#This Row],[TGL.NOTA]]))</f>
        <v/>
      </c>
      <c r="AP7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9" s="25"/>
      <c r="AU719" s="25" t="str">
        <f>IF(NOTA[[#This Row],[CONCAT1]]="","",MATCH(NOTA[[#This Row],[CONCAT1]],[3]!db[NB NOTA_C],0))</f>
        <v/>
      </c>
      <c r="AV719" s="25" t="str">
        <f>IF(NOTA[[#This Row],[QTY/ CTN]]="","",TRUE)</f>
        <v/>
      </c>
      <c r="AW719" s="25" t="str">
        <f ca="1">IF(NOTA[[#This Row],[ID_H]]="","",IF(NOTA[[#This Row],[Column3]]=TRUE,NOTA[[#This Row],[QTY/ CTN]],INDEX([3]!db[QTY/ CTN],NOTA[[#This Row],[//DB]])))</f>
        <v/>
      </c>
      <c r="AX7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9" s="25" t="str">
        <f ca="1">IF(NOTA[[#This Row],[ID_H]]="","",MATCH(NOTA[[#This Row],[NB NOTA_C_QTY]],[3]!db[NB NOTA_C_QTY+F],0))</f>
        <v/>
      </c>
      <c r="AZ719" s="38" t="str">
        <f ca="1">IF(NOTA[[#This Row],[NB NOTA_C_QTY]]="","",ROW()-2)</f>
        <v/>
      </c>
    </row>
    <row r="720" spans="1:52" ht="20.100000000000001" customHeight="1">
      <c r="A7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0" s="25" t="str">
        <f ca="1">IF(NOTA[[#This Row],[NAMA BARANG]]="","",INDEX(NOTA[ID],MATCH(,INDIRECT(ADDRESS(ROW(NOTA[ID]),COLUMN(NOTA[ID]))&amp;":"&amp;ADDRESS(ROW(),COLUMN(NOTA[ID]))),-1)))</f>
        <v/>
      </c>
      <c r="E720" s="33"/>
      <c r="H720" s="34"/>
      <c r="Q720" s="29"/>
      <c r="R720" s="35"/>
      <c r="S720" s="36"/>
      <c r="V720" s="37"/>
      <c r="W720" s="32"/>
      <c r="X720" s="37" t="str">
        <f>IF(NOTA[[#This Row],[HARGA/ CTN]]="",NOTA[[#This Row],[JUMLAH_H]],NOTA[[#This Row],[HARGA/ CTN]]*IF(NOTA[[#This Row],[C]]="",0,NOTA[[#This Row],[C]]))</f>
        <v/>
      </c>
      <c r="Y720" s="37" t="str">
        <f>IF(NOTA[[#This Row],[JUMLAH]]="","",NOTA[[#This Row],[JUMLAH]]*NOTA[[#This Row],[DISC 1]])</f>
        <v/>
      </c>
      <c r="Z720" s="37" t="str">
        <f>IF(NOTA[[#This Row],[JUMLAH]]="","",(NOTA[[#This Row],[JUMLAH]]-NOTA[[#This Row],[DISC 1-]])*NOTA[[#This Row],[DISC 2]])</f>
        <v/>
      </c>
      <c r="AA720" s="37" t="str">
        <f>IF(NOTA[[#This Row],[JUMLAH]]="","",(NOTA[[#This Row],[JUMLAH]]-NOTA[[#This Row],[DISC 1-]]-NOTA[[#This Row],[DISC 2-]])*NOTA[[#This Row],[DISC 3]])</f>
        <v/>
      </c>
      <c r="AB720" s="37" t="str">
        <f>IF(NOTA[[#This Row],[JUMLAH]]="","",NOTA[[#This Row],[DISC 1-]]+NOTA[[#This Row],[DISC 2-]]+NOTA[[#This Row],[DISC 3-]])</f>
        <v/>
      </c>
      <c r="AC720" s="37" t="str">
        <f>IF(NOTA[[#This Row],[JUMLAH]]="","",NOTA[[#This Row],[JUMLAH]]-NOTA[[#This Row],[DISC]])</f>
        <v/>
      </c>
      <c r="AD720" s="37"/>
      <c r="AE7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0" s="37" t="str">
        <f>IF(OR(NOTA[[#This Row],[QTY]]="",NOTA[[#This Row],[HARGA SATUAN]]="",),"",NOTA[[#This Row],[QTY]]*NOTA[[#This Row],[HARGA SATUAN]])</f>
        <v/>
      </c>
      <c r="AI720" s="26" t="str">
        <f ca="1">IF(NOTA[[#This Row],[ID_H]]="","",INDEX(NOTA[TANGGAL],MATCH(,INDIRECT(ADDRESS(ROW(NOTA[TANGGAL]),COLUMN(NOTA[TANGGAL]))&amp;":"&amp;ADDRESS(ROW(),COLUMN(NOTA[TANGGAL]))),-1)))</f>
        <v/>
      </c>
      <c r="AJ720" s="26" t="str">
        <f ca="1">IF(NOTA[[#This Row],[ID_H]]="","",INDEX(NOTA[TGL.NOTA],MATCH(,INDIRECT(ADDRESS(ROW(NOTA[TGL.NOTA]),COLUMN(NOTA[TGL.NOTA]))&amp;":"&amp;ADDRESS(ROW(),COLUMN(NOTA[TGL.NOTA]))),-1)))</f>
        <v/>
      </c>
      <c r="AK720" s="26" t="str">
        <f ca="1">IF(NOTA[[#This Row],[ID_H]]="","",INDEX(NOTA[NO.NOTA],MATCH(NOTA[[#This Row],[ID_H]],NOTA[ID_H],0)))</f>
        <v/>
      </c>
      <c r="AL720" s="28" t="str">
        <f ca="1">IF(NOTA[[#This Row],[NAMA BARANG]]="","",INDEX(NOTA[SUPPLIER],MATCH(,INDIRECT(ADDRESS(ROW(NOTA[ID]),COLUMN(NOTA[ID]))&amp;":"&amp;ADDRESS(ROW(),COLUMN(NOTA[ID]))),-1)))</f>
        <v/>
      </c>
      <c r="AM720" s="28" t="str">
        <f ca="1">IF(NOTA[[#This Row],[ID_H]]="","",IF(NOTA[[#This Row],[FAKTUR]]="",INDIRECT(ADDRESS(ROW()-1,COLUMN())),NOTA[[#This Row],[FAKTUR]]))</f>
        <v/>
      </c>
      <c r="AN720" s="25" t="str">
        <f ca="1">IF(NOTA[[#This Row],[ID]]="","",COUNTIF(NOTA[ID_H],NOTA[[#This Row],[ID_H]]))</f>
        <v/>
      </c>
      <c r="AO720" s="25" t="str">
        <f ca="1">IF(NOTA[[#This Row],[TGL.NOTA]]="",IF(NOTA[[#This Row],[SUPPLIER_H]]="","",AO719),MONTH(NOTA[[#This Row],[TGL.NOTA]]))</f>
        <v/>
      </c>
      <c r="AP7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0" s="25"/>
      <c r="AU720" s="25" t="str">
        <f>IF(NOTA[[#This Row],[CONCAT1]]="","",MATCH(NOTA[[#This Row],[CONCAT1]],[3]!db[NB NOTA_C],0))</f>
        <v/>
      </c>
      <c r="AV720" s="25" t="str">
        <f>IF(NOTA[[#This Row],[QTY/ CTN]]="","",TRUE)</f>
        <v/>
      </c>
      <c r="AW720" s="25" t="str">
        <f ca="1">IF(NOTA[[#This Row],[ID_H]]="","",IF(NOTA[[#This Row],[Column3]]=TRUE,NOTA[[#This Row],[QTY/ CTN]],INDEX([3]!db[QTY/ CTN],NOTA[[#This Row],[//DB]])))</f>
        <v/>
      </c>
      <c r="AX7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0" s="25" t="str">
        <f ca="1">IF(NOTA[[#This Row],[ID_H]]="","",MATCH(NOTA[[#This Row],[NB NOTA_C_QTY]],[3]!db[NB NOTA_C_QTY+F],0))</f>
        <v/>
      </c>
      <c r="AZ720" s="38" t="str">
        <f ca="1">IF(NOTA[[#This Row],[NB NOTA_C_QTY]]="","",ROW()-2)</f>
        <v/>
      </c>
    </row>
    <row r="721" spans="1:52" ht="20.100000000000001" customHeight="1">
      <c r="A7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1" s="25" t="str">
        <f ca="1">IF(NOTA[[#This Row],[NAMA BARANG]]="","",INDEX(NOTA[ID],MATCH(,INDIRECT(ADDRESS(ROW(NOTA[ID]),COLUMN(NOTA[ID]))&amp;":"&amp;ADDRESS(ROW(),COLUMN(NOTA[ID]))),-1)))</f>
        <v/>
      </c>
      <c r="E721" s="33"/>
      <c r="H721" s="34"/>
      <c r="Q721" s="29"/>
      <c r="R721" s="35"/>
      <c r="S721" s="36"/>
      <c r="V721" s="37"/>
      <c r="W721" s="32"/>
      <c r="X721" s="37" t="str">
        <f>IF(NOTA[[#This Row],[HARGA/ CTN]]="",NOTA[[#This Row],[JUMLAH_H]],NOTA[[#This Row],[HARGA/ CTN]]*IF(NOTA[[#This Row],[C]]="",0,NOTA[[#This Row],[C]]))</f>
        <v/>
      </c>
      <c r="Y721" s="37" t="str">
        <f>IF(NOTA[[#This Row],[JUMLAH]]="","",NOTA[[#This Row],[JUMLAH]]*NOTA[[#This Row],[DISC 1]])</f>
        <v/>
      </c>
      <c r="Z721" s="37" t="str">
        <f>IF(NOTA[[#This Row],[JUMLAH]]="","",(NOTA[[#This Row],[JUMLAH]]-NOTA[[#This Row],[DISC 1-]])*NOTA[[#This Row],[DISC 2]])</f>
        <v/>
      </c>
      <c r="AA721" s="37" t="str">
        <f>IF(NOTA[[#This Row],[JUMLAH]]="","",(NOTA[[#This Row],[JUMLAH]]-NOTA[[#This Row],[DISC 1-]]-NOTA[[#This Row],[DISC 2-]])*NOTA[[#This Row],[DISC 3]])</f>
        <v/>
      </c>
      <c r="AB721" s="37" t="str">
        <f>IF(NOTA[[#This Row],[JUMLAH]]="","",NOTA[[#This Row],[DISC 1-]]+NOTA[[#This Row],[DISC 2-]]+NOTA[[#This Row],[DISC 3-]])</f>
        <v/>
      </c>
      <c r="AC721" s="37" t="str">
        <f>IF(NOTA[[#This Row],[JUMLAH]]="","",NOTA[[#This Row],[JUMLAH]]-NOTA[[#This Row],[DISC]])</f>
        <v/>
      </c>
      <c r="AD721" s="37"/>
      <c r="AE7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1" s="37" t="str">
        <f>IF(OR(NOTA[[#This Row],[QTY]]="",NOTA[[#This Row],[HARGA SATUAN]]="",),"",NOTA[[#This Row],[QTY]]*NOTA[[#This Row],[HARGA SATUAN]])</f>
        <v/>
      </c>
      <c r="AI721" s="26" t="str">
        <f ca="1">IF(NOTA[[#This Row],[ID_H]]="","",INDEX(NOTA[TANGGAL],MATCH(,INDIRECT(ADDRESS(ROW(NOTA[TANGGAL]),COLUMN(NOTA[TANGGAL]))&amp;":"&amp;ADDRESS(ROW(),COLUMN(NOTA[TANGGAL]))),-1)))</f>
        <v/>
      </c>
      <c r="AJ721" s="26" t="str">
        <f ca="1">IF(NOTA[[#This Row],[ID_H]]="","",INDEX(NOTA[TGL.NOTA],MATCH(,INDIRECT(ADDRESS(ROW(NOTA[TGL.NOTA]),COLUMN(NOTA[TGL.NOTA]))&amp;":"&amp;ADDRESS(ROW(),COLUMN(NOTA[TGL.NOTA]))),-1)))</f>
        <v/>
      </c>
      <c r="AK721" s="26" t="str">
        <f ca="1">IF(NOTA[[#This Row],[ID_H]]="","",INDEX(NOTA[NO.NOTA],MATCH(NOTA[[#This Row],[ID_H]],NOTA[ID_H],0)))</f>
        <v/>
      </c>
      <c r="AL721" s="28" t="str">
        <f ca="1">IF(NOTA[[#This Row],[NAMA BARANG]]="","",INDEX(NOTA[SUPPLIER],MATCH(,INDIRECT(ADDRESS(ROW(NOTA[ID]),COLUMN(NOTA[ID]))&amp;":"&amp;ADDRESS(ROW(),COLUMN(NOTA[ID]))),-1)))</f>
        <v/>
      </c>
      <c r="AM721" s="28" t="str">
        <f ca="1">IF(NOTA[[#This Row],[ID_H]]="","",IF(NOTA[[#This Row],[FAKTUR]]="",INDIRECT(ADDRESS(ROW()-1,COLUMN())),NOTA[[#This Row],[FAKTUR]]))</f>
        <v/>
      </c>
      <c r="AN721" s="25" t="str">
        <f ca="1">IF(NOTA[[#This Row],[ID]]="","",COUNTIF(NOTA[ID_H],NOTA[[#This Row],[ID_H]]))</f>
        <v/>
      </c>
      <c r="AO721" s="25" t="str">
        <f ca="1">IF(NOTA[[#This Row],[TGL.NOTA]]="",IF(NOTA[[#This Row],[SUPPLIER_H]]="","",AO720),MONTH(NOTA[[#This Row],[TGL.NOTA]]))</f>
        <v/>
      </c>
      <c r="AP7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1" s="25"/>
      <c r="AU721" s="25" t="str">
        <f>IF(NOTA[[#This Row],[CONCAT1]]="","",MATCH(NOTA[[#This Row],[CONCAT1]],[3]!db[NB NOTA_C],0))</f>
        <v/>
      </c>
      <c r="AV721" s="25" t="str">
        <f>IF(NOTA[[#This Row],[QTY/ CTN]]="","",TRUE)</f>
        <v/>
      </c>
      <c r="AW721" s="25" t="str">
        <f ca="1">IF(NOTA[[#This Row],[ID_H]]="","",IF(NOTA[[#This Row],[Column3]]=TRUE,NOTA[[#This Row],[QTY/ CTN]],INDEX([3]!db[QTY/ CTN],NOTA[[#This Row],[//DB]])))</f>
        <v/>
      </c>
      <c r="AX7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1" s="25" t="str">
        <f ca="1">IF(NOTA[[#This Row],[ID_H]]="","",MATCH(NOTA[[#This Row],[NB NOTA_C_QTY]],[3]!db[NB NOTA_C_QTY+F],0))</f>
        <v/>
      </c>
      <c r="AZ721" s="38" t="str">
        <f ca="1">IF(NOTA[[#This Row],[NB NOTA_C_QTY]]="","",ROW()-2)</f>
        <v/>
      </c>
    </row>
    <row r="722" spans="1:52" ht="20.100000000000001" customHeight="1">
      <c r="A7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2" s="25" t="str">
        <f ca="1">IF(NOTA[[#This Row],[NAMA BARANG]]="","",INDEX(NOTA[ID],MATCH(,INDIRECT(ADDRESS(ROW(NOTA[ID]),COLUMN(NOTA[ID]))&amp;":"&amp;ADDRESS(ROW(),COLUMN(NOTA[ID]))),-1)))</f>
        <v/>
      </c>
      <c r="E722" s="33"/>
      <c r="H722" s="34"/>
      <c r="Q722" s="29"/>
      <c r="R722" s="35"/>
      <c r="S722" s="36"/>
      <c r="V722" s="37"/>
      <c r="W722" s="32"/>
      <c r="X722" s="37" t="str">
        <f>IF(NOTA[[#This Row],[HARGA/ CTN]]="",NOTA[[#This Row],[JUMLAH_H]],NOTA[[#This Row],[HARGA/ CTN]]*IF(NOTA[[#This Row],[C]]="",0,NOTA[[#This Row],[C]]))</f>
        <v/>
      </c>
      <c r="Y722" s="37" t="str">
        <f>IF(NOTA[[#This Row],[JUMLAH]]="","",NOTA[[#This Row],[JUMLAH]]*NOTA[[#This Row],[DISC 1]])</f>
        <v/>
      </c>
      <c r="Z722" s="37" t="str">
        <f>IF(NOTA[[#This Row],[JUMLAH]]="","",(NOTA[[#This Row],[JUMLAH]]-NOTA[[#This Row],[DISC 1-]])*NOTA[[#This Row],[DISC 2]])</f>
        <v/>
      </c>
      <c r="AA722" s="37" t="str">
        <f>IF(NOTA[[#This Row],[JUMLAH]]="","",(NOTA[[#This Row],[JUMLAH]]-NOTA[[#This Row],[DISC 1-]]-NOTA[[#This Row],[DISC 2-]])*NOTA[[#This Row],[DISC 3]])</f>
        <v/>
      </c>
      <c r="AB722" s="37" t="str">
        <f>IF(NOTA[[#This Row],[JUMLAH]]="","",NOTA[[#This Row],[DISC 1-]]+NOTA[[#This Row],[DISC 2-]]+NOTA[[#This Row],[DISC 3-]])</f>
        <v/>
      </c>
      <c r="AC722" s="37" t="str">
        <f>IF(NOTA[[#This Row],[JUMLAH]]="","",NOTA[[#This Row],[JUMLAH]]-NOTA[[#This Row],[DISC]])</f>
        <v/>
      </c>
      <c r="AD722" s="37"/>
      <c r="AE7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2" s="37" t="str">
        <f>IF(OR(NOTA[[#This Row],[QTY]]="",NOTA[[#This Row],[HARGA SATUAN]]="",),"",NOTA[[#This Row],[QTY]]*NOTA[[#This Row],[HARGA SATUAN]])</f>
        <v/>
      </c>
      <c r="AI722" s="26" t="str">
        <f ca="1">IF(NOTA[[#This Row],[ID_H]]="","",INDEX(NOTA[TANGGAL],MATCH(,INDIRECT(ADDRESS(ROW(NOTA[TANGGAL]),COLUMN(NOTA[TANGGAL]))&amp;":"&amp;ADDRESS(ROW(),COLUMN(NOTA[TANGGAL]))),-1)))</f>
        <v/>
      </c>
      <c r="AJ722" s="26" t="str">
        <f ca="1">IF(NOTA[[#This Row],[ID_H]]="","",INDEX(NOTA[TGL.NOTA],MATCH(,INDIRECT(ADDRESS(ROW(NOTA[TGL.NOTA]),COLUMN(NOTA[TGL.NOTA]))&amp;":"&amp;ADDRESS(ROW(),COLUMN(NOTA[TGL.NOTA]))),-1)))</f>
        <v/>
      </c>
      <c r="AK722" s="26" t="str">
        <f ca="1">IF(NOTA[[#This Row],[ID_H]]="","",INDEX(NOTA[NO.NOTA],MATCH(NOTA[[#This Row],[ID_H]],NOTA[ID_H],0)))</f>
        <v/>
      </c>
      <c r="AL722" s="28" t="str">
        <f ca="1">IF(NOTA[[#This Row],[NAMA BARANG]]="","",INDEX(NOTA[SUPPLIER],MATCH(,INDIRECT(ADDRESS(ROW(NOTA[ID]),COLUMN(NOTA[ID]))&amp;":"&amp;ADDRESS(ROW(),COLUMN(NOTA[ID]))),-1)))</f>
        <v/>
      </c>
      <c r="AM722" s="28" t="str">
        <f ca="1">IF(NOTA[[#This Row],[ID_H]]="","",IF(NOTA[[#This Row],[FAKTUR]]="",INDIRECT(ADDRESS(ROW()-1,COLUMN())),NOTA[[#This Row],[FAKTUR]]))</f>
        <v/>
      </c>
      <c r="AN722" s="25" t="str">
        <f ca="1">IF(NOTA[[#This Row],[ID]]="","",COUNTIF(NOTA[ID_H],NOTA[[#This Row],[ID_H]]))</f>
        <v/>
      </c>
      <c r="AO722" s="25" t="str">
        <f ca="1">IF(NOTA[[#This Row],[TGL.NOTA]]="",IF(NOTA[[#This Row],[SUPPLIER_H]]="","",AO721),MONTH(NOTA[[#This Row],[TGL.NOTA]]))</f>
        <v/>
      </c>
      <c r="AP7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2" s="25"/>
      <c r="AU722" s="25" t="str">
        <f>IF(NOTA[[#This Row],[CONCAT1]]="","",MATCH(NOTA[[#This Row],[CONCAT1]],[3]!db[NB NOTA_C],0))</f>
        <v/>
      </c>
      <c r="AV722" s="25" t="str">
        <f>IF(NOTA[[#This Row],[QTY/ CTN]]="","",TRUE)</f>
        <v/>
      </c>
      <c r="AW722" s="25" t="str">
        <f ca="1">IF(NOTA[[#This Row],[ID_H]]="","",IF(NOTA[[#This Row],[Column3]]=TRUE,NOTA[[#This Row],[QTY/ CTN]],INDEX([3]!db[QTY/ CTN],NOTA[[#This Row],[//DB]])))</f>
        <v/>
      </c>
      <c r="AX7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2" s="25" t="str">
        <f ca="1">IF(NOTA[[#This Row],[ID_H]]="","",MATCH(NOTA[[#This Row],[NB NOTA_C_QTY]],[3]!db[NB NOTA_C_QTY+F],0))</f>
        <v/>
      </c>
      <c r="AZ722" s="38" t="str">
        <f ca="1">IF(NOTA[[#This Row],[NB NOTA_C_QTY]]="","",ROW()-2)</f>
        <v/>
      </c>
    </row>
    <row r="723" spans="1:52" ht="20.100000000000001" customHeight="1">
      <c r="A7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3" s="25" t="str">
        <f ca="1">IF(NOTA[[#This Row],[NAMA BARANG]]="","",INDEX(NOTA[ID],MATCH(,INDIRECT(ADDRESS(ROW(NOTA[ID]),COLUMN(NOTA[ID]))&amp;":"&amp;ADDRESS(ROW(),COLUMN(NOTA[ID]))),-1)))</f>
        <v/>
      </c>
      <c r="E723" s="33"/>
      <c r="H723" s="34"/>
      <c r="Q723" s="29"/>
      <c r="R723" s="35"/>
      <c r="S723" s="36"/>
      <c r="V723" s="37"/>
      <c r="W723" s="32"/>
      <c r="X723" s="37" t="str">
        <f>IF(NOTA[[#This Row],[HARGA/ CTN]]="",NOTA[[#This Row],[JUMLAH_H]],NOTA[[#This Row],[HARGA/ CTN]]*IF(NOTA[[#This Row],[C]]="",0,NOTA[[#This Row],[C]]))</f>
        <v/>
      </c>
      <c r="Y723" s="37" t="str">
        <f>IF(NOTA[[#This Row],[JUMLAH]]="","",NOTA[[#This Row],[JUMLAH]]*NOTA[[#This Row],[DISC 1]])</f>
        <v/>
      </c>
      <c r="Z723" s="37" t="str">
        <f>IF(NOTA[[#This Row],[JUMLAH]]="","",(NOTA[[#This Row],[JUMLAH]]-NOTA[[#This Row],[DISC 1-]])*NOTA[[#This Row],[DISC 2]])</f>
        <v/>
      </c>
      <c r="AA723" s="37" t="str">
        <f>IF(NOTA[[#This Row],[JUMLAH]]="","",(NOTA[[#This Row],[JUMLAH]]-NOTA[[#This Row],[DISC 1-]]-NOTA[[#This Row],[DISC 2-]])*NOTA[[#This Row],[DISC 3]])</f>
        <v/>
      </c>
      <c r="AB723" s="37" t="str">
        <f>IF(NOTA[[#This Row],[JUMLAH]]="","",NOTA[[#This Row],[DISC 1-]]+NOTA[[#This Row],[DISC 2-]]+NOTA[[#This Row],[DISC 3-]])</f>
        <v/>
      </c>
      <c r="AC723" s="37" t="str">
        <f>IF(NOTA[[#This Row],[JUMLAH]]="","",NOTA[[#This Row],[JUMLAH]]-NOTA[[#This Row],[DISC]])</f>
        <v/>
      </c>
      <c r="AD723" s="37"/>
      <c r="AE7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3" s="37" t="str">
        <f>IF(OR(NOTA[[#This Row],[QTY]]="",NOTA[[#This Row],[HARGA SATUAN]]="",),"",NOTA[[#This Row],[QTY]]*NOTA[[#This Row],[HARGA SATUAN]])</f>
        <v/>
      </c>
      <c r="AI723" s="26" t="str">
        <f ca="1">IF(NOTA[[#This Row],[ID_H]]="","",INDEX(NOTA[TANGGAL],MATCH(,INDIRECT(ADDRESS(ROW(NOTA[TANGGAL]),COLUMN(NOTA[TANGGAL]))&amp;":"&amp;ADDRESS(ROW(),COLUMN(NOTA[TANGGAL]))),-1)))</f>
        <v/>
      </c>
      <c r="AJ723" s="26" t="str">
        <f ca="1">IF(NOTA[[#This Row],[ID_H]]="","",INDEX(NOTA[TGL.NOTA],MATCH(,INDIRECT(ADDRESS(ROW(NOTA[TGL.NOTA]),COLUMN(NOTA[TGL.NOTA]))&amp;":"&amp;ADDRESS(ROW(),COLUMN(NOTA[TGL.NOTA]))),-1)))</f>
        <v/>
      </c>
      <c r="AK723" s="26" t="str">
        <f ca="1">IF(NOTA[[#This Row],[ID_H]]="","",INDEX(NOTA[NO.NOTA],MATCH(NOTA[[#This Row],[ID_H]],NOTA[ID_H],0)))</f>
        <v/>
      </c>
      <c r="AL723" s="28" t="str">
        <f ca="1">IF(NOTA[[#This Row],[NAMA BARANG]]="","",INDEX(NOTA[SUPPLIER],MATCH(,INDIRECT(ADDRESS(ROW(NOTA[ID]),COLUMN(NOTA[ID]))&amp;":"&amp;ADDRESS(ROW(),COLUMN(NOTA[ID]))),-1)))</f>
        <v/>
      </c>
      <c r="AM723" s="28" t="str">
        <f ca="1">IF(NOTA[[#This Row],[ID_H]]="","",IF(NOTA[[#This Row],[FAKTUR]]="",INDIRECT(ADDRESS(ROW()-1,COLUMN())),NOTA[[#This Row],[FAKTUR]]))</f>
        <v/>
      </c>
      <c r="AN723" s="25" t="str">
        <f ca="1">IF(NOTA[[#This Row],[ID]]="","",COUNTIF(NOTA[ID_H],NOTA[[#This Row],[ID_H]]))</f>
        <v/>
      </c>
      <c r="AO723" s="25" t="str">
        <f ca="1">IF(NOTA[[#This Row],[TGL.NOTA]]="",IF(NOTA[[#This Row],[SUPPLIER_H]]="","",AO722),MONTH(NOTA[[#This Row],[TGL.NOTA]]))</f>
        <v/>
      </c>
      <c r="AP7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3" s="25"/>
      <c r="AU723" s="25" t="str">
        <f>IF(NOTA[[#This Row],[CONCAT1]]="","",MATCH(NOTA[[#This Row],[CONCAT1]],[3]!db[NB NOTA_C],0))</f>
        <v/>
      </c>
      <c r="AV723" s="25" t="str">
        <f>IF(NOTA[[#This Row],[QTY/ CTN]]="","",TRUE)</f>
        <v/>
      </c>
      <c r="AW723" s="25" t="str">
        <f ca="1">IF(NOTA[[#This Row],[ID_H]]="","",IF(NOTA[[#This Row],[Column3]]=TRUE,NOTA[[#This Row],[QTY/ CTN]],INDEX([3]!db[QTY/ CTN],NOTA[[#This Row],[//DB]])))</f>
        <v/>
      </c>
      <c r="AX7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3" s="25" t="str">
        <f ca="1">IF(NOTA[[#This Row],[ID_H]]="","",MATCH(NOTA[[#This Row],[NB NOTA_C_QTY]],[3]!db[NB NOTA_C_QTY+F],0))</f>
        <v/>
      </c>
      <c r="AZ723" s="38" t="str">
        <f ca="1">IF(NOTA[[#This Row],[NB NOTA_C_QTY]]="","",ROW()-2)</f>
        <v/>
      </c>
    </row>
    <row r="724" spans="1:52" ht="20.100000000000001" customHeight="1">
      <c r="A7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4" s="25" t="str">
        <f ca="1">IF(NOTA[[#This Row],[NAMA BARANG]]="","",INDEX(NOTA[ID],MATCH(,INDIRECT(ADDRESS(ROW(NOTA[ID]),COLUMN(NOTA[ID]))&amp;":"&amp;ADDRESS(ROW(),COLUMN(NOTA[ID]))),-1)))</f>
        <v/>
      </c>
      <c r="E724" s="33"/>
      <c r="H724" s="34"/>
      <c r="Q724" s="29"/>
      <c r="R724" s="35"/>
      <c r="S724" s="36"/>
      <c r="V724" s="37"/>
      <c r="W724" s="32"/>
      <c r="X724" s="37" t="str">
        <f>IF(NOTA[[#This Row],[HARGA/ CTN]]="",NOTA[[#This Row],[JUMLAH_H]],NOTA[[#This Row],[HARGA/ CTN]]*IF(NOTA[[#This Row],[C]]="",0,NOTA[[#This Row],[C]]))</f>
        <v/>
      </c>
      <c r="Y724" s="37" t="str">
        <f>IF(NOTA[[#This Row],[JUMLAH]]="","",NOTA[[#This Row],[JUMLAH]]*NOTA[[#This Row],[DISC 1]])</f>
        <v/>
      </c>
      <c r="Z724" s="37" t="str">
        <f>IF(NOTA[[#This Row],[JUMLAH]]="","",(NOTA[[#This Row],[JUMLAH]]-NOTA[[#This Row],[DISC 1-]])*NOTA[[#This Row],[DISC 2]])</f>
        <v/>
      </c>
      <c r="AA724" s="37" t="str">
        <f>IF(NOTA[[#This Row],[JUMLAH]]="","",(NOTA[[#This Row],[JUMLAH]]-NOTA[[#This Row],[DISC 1-]]-NOTA[[#This Row],[DISC 2-]])*NOTA[[#This Row],[DISC 3]])</f>
        <v/>
      </c>
      <c r="AB724" s="37" t="str">
        <f>IF(NOTA[[#This Row],[JUMLAH]]="","",NOTA[[#This Row],[DISC 1-]]+NOTA[[#This Row],[DISC 2-]]+NOTA[[#This Row],[DISC 3-]])</f>
        <v/>
      </c>
      <c r="AC724" s="37" t="str">
        <f>IF(NOTA[[#This Row],[JUMLAH]]="","",NOTA[[#This Row],[JUMLAH]]-NOTA[[#This Row],[DISC]])</f>
        <v/>
      </c>
      <c r="AD724" s="37"/>
      <c r="AE7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4" s="37" t="str">
        <f>IF(OR(NOTA[[#This Row],[QTY]]="",NOTA[[#This Row],[HARGA SATUAN]]="",),"",NOTA[[#This Row],[QTY]]*NOTA[[#This Row],[HARGA SATUAN]])</f>
        <v/>
      </c>
      <c r="AI724" s="26" t="str">
        <f ca="1">IF(NOTA[[#This Row],[ID_H]]="","",INDEX(NOTA[TANGGAL],MATCH(,INDIRECT(ADDRESS(ROW(NOTA[TANGGAL]),COLUMN(NOTA[TANGGAL]))&amp;":"&amp;ADDRESS(ROW(),COLUMN(NOTA[TANGGAL]))),-1)))</f>
        <v/>
      </c>
      <c r="AJ724" s="26" t="str">
        <f ca="1">IF(NOTA[[#This Row],[ID_H]]="","",INDEX(NOTA[TGL.NOTA],MATCH(,INDIRECT(ADDRESS(ROW(NOTA[TGL.NOTA]),COLUMN(NOTA[TGL.NOTA]))&amp;":"&amp;ADDRESS(ROW(),COLUMN(NOTA[TGL.NOTA]))),-1)))</f>
        <v/>
      </c>
      <c r="AK724" s="26" t="str">
        <f ca="1">IF(NOTA[[#This Row],[ID_H]]="","",INDEX(NOTA[NO.NOTA],MATCH(NOTA[[#This Row],[ID_H]],NOTA[ID_H],0)))</f>
        <v/>
      </c>
      <c r="AL724" s="28" t="str">
        <f ca="1">IF(NOTA[[#This Row],[NAMA BARANG]]="","",INDEX(NOTA[SUPPLIER],MATCH(,INDIRECT(ADDRESS(ROW(NOTA[ID]),COLUMN(NOTA[ID]))&amp;":"&amp;ADDRESS(ROW(),COLUMN(NOTA[ID]))),-1)))</f>
        <v/>
      </c>
      <c r="AM724" s="28" t="str">
        <f ca="1">IF(NOTA[[#This Row],[ID_H]]="","",IF(NOTA[[#This Row],[FAKTUR]]="",INDIRECT(ADDRESS(ROW()-1,COLUMN())),NOTA[[#This Row],[FAKTUR]]))</f>
        <v/>
      </c>
      <c r="AN724" s="25" t="str">
        <f ca="1">IF(NOTA[[#This Row],[ID]]="","",COUNTIF(NOTA[ID_H],NOTA[[#This Row],[ID_H]]))</f>
        <v/>
      </c>
      <c r="AO724" s="25" t="str">
        <f ca="1">IF(NOTA[[#This Row],[TGL.NOTA]]="",IF(NOTA[[#This Row],[SUPPLIER_H]]="","",AO723),MONTH(NOTA[[#This Row],[TGL.NOTA]]))</f>
        <v/>
      </c>
      <c r="AP7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4" s="25"/>
      <c r="AU724" s="25" t="str">
        <f>IF(NOTA[[#This Row],[CONCAT1]]="","",MATCH(NOTA[[#This Row],[CONCAT1]],[3]!db[NB NOTA_C],0))</f>
        <v/>
      </c>
      <c r="AV724" s="25" t="str">
        <f>IF(NOTA[[#This Row],[QTY/ CTN]]="","",TRUE)</f>
        <v/>
      </c>
      <c r="AW724" s="25" t="str">
        <f ca="1">IF(NOTA[[#This Row],[ID_H]]="","",IF(NOTA[[#This Row],[Column3]]=TRUE,NOTA[[#This Row],[QTY/ CTN]],INDEX([3]!db[QTY/ CTN],NOTA[[#This Row],[//DB]])))</f>
        <v/>
      </c>
      <c r="AX7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4" s="25" t="str">
        <f ca="1">IF(NOTA[[#This Row],[ID_H]]="","",MATCH(NOTA[[#This Row],[NB NOTA_C_QTY]],[3]!db[NB NOTA_C_QTY+F],0))</f>
        <v/>
      </c>
      <c r="AZ724" s="38" t="str">
        <f ca="1">IF(NOTA[[#This Row],[NB NOTA_C_QTY]]="","",ROW()-2)</f>
        <v/>
      </c>
    </row>
    <row r="725" spans="1:52" ht="20.100000000000001" customHeight="1">
      <c r="A7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5" s="25" t="str">
        <f ca="1">IF(NOTA[[#This Row],[NAMA BARANG]]="","",INDEX(NOTA[ID],MATCH(,INDIRECT(ADDRESS(ROW(NOTA[ID]),COLUMN(NOTA[ID]))&amp;":"&amp;ADDRESS(ROW(),COLUMN(NOTA[ID]))),-1)))</f>
        <v/>
      </c>
      <c r="E725" s="33"/>
      <c r="H725" s="34"/>
      <c r="Q725" s="29"/>
      <c r="R725" s="35"/>
      <c r="S725" s="36"/>
      <c r="V725" s="37"/>
      <c r="W725" s="32"/>
      <c r="X725" s="37" t="str">
        <f>IF(NOTA[[#This Row],[HARGA/ CTN]]="",NOTA[[#This Row],[JUMLAH_H]],NOTA[[#This Row],[HARGA/ CTN]]*IF(NOTA[[#This Row],[C]]="",0,NOTA[[#This Row],[C]]))</f>
        <v/>
      </c>
      <c r="Y725" s="37" t="str">
        <f>IF(NOTA[[#This Row],[JUMLAH]]="","",NOTA[[#This Row],[JUMLAH]]*NOTA[[#This Row],[DISC 1]])</f>
        <v/>
      </c>
      <c r="Z725" s="37" t="str">
        <f>IF(NOTA[[#This Row],[JUMLAH]]="","",(NOTA[[#This Row],[JUMLAH]]-NOTA[[#This Row],[DISC 1-]])*NOTA[[#This Row],[DISC 2]])</f>
        <v/>
      </c>
      <c r="AA725" s="37" t="str">
        <f>IF(NOTA[[#This Row],[JUMLAH]]="","",(NOTA[[#This Row],[JUMLAH]]-NOTA[[#This Row],[DISC 1-]]-NOTA[[#This Row],[DISC 2-]])*NOTA[[#This Row],[DISC 3]])</f>
        <v/>
      </c>
      <c r="AB725" s="37" t="str">
        <f>IF(NOTA[[#This Row],[JUMLAH]]="","",NOTA[[#This Row],[DISC 1-]]+NOTA[[#This Row],[DISC 2-]]+NOTA[[#This Row],[DISC 3-]])</f>
        <v/>
      </c>
      <c r="AC725" s="37" t="str">
        <f>IF(NOTA[[#This Row],[JUMLAH]]="","",NOTA[[#This Row],[JUMLAH]]-NOTA[[#This Row],[DISC]])</f>
        <v/>
      </c>
      <c r="AD725" s="37"/>
      <c r="AE7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5" s="37" t="str">
        <f>IF(OR(NOTA[[#This Row],[QTY]]="",NOTA[[#This Row],[HARGA SATUAN]]="",),"",NOTA[[#This Row],[QTY]]*NOTA[[#This Row],[HARGA SATUAN]])</f>
        <v/>
      </c>
      <c r="AI725" s="26" t="str">
        <f ca="1">IF(NOTA[[#This Row],[ID_H]]="","",INDEX(NOTA[TANGGAL],MATCH(,INDIRECT(ADDRESS(ROW(NOTA[TANGGAL]),COLUMN(NOTA[TANGGAL]))&amp;":"&amp;ADDRESS(ROW(),COLUMN(NOTA[TANGGAL]))),-1)))</f>
        <v/>
      </c>
      <c r="AJ725" s="26" t="str">
        <f ca="1">IF(NOTA[[#This Row],[ID_H]]="","",INDEX(NOTA[TGL.NOTA],MATCH(,INDIRECT(ADDRESS(ROW(NOTA[TGL.NOTA]),COLUMN(NOTA[TGL.NOTA]))&amp;":"&amp;ADDRESS(ROW(),COLUMN(NOTA[TGL.NOTA]))),-1)))</f>
        <v/>
      </c>
      <c r="AK725" s="26" t="str">
        <f ca="1">IF(NOTA[[#This Row],[ID_H]]="","",INDEX(NOTA[NO.NOTA],MATCH(NOTA[[#This Row],[ID_H]],NOTA[ID_H],0)))</f>
        <v/>
      </c>
      <c r="AL725" s="28" t="str">
        <f ca="1">IF(NOTA[[#This Row],[NAMA BARANG]]="","",INDEX(NOTA[SUPPLIER],MATCH(,INDIRECT(ADDRESS(ROW(NOTA[ID]),COLUMN(NOTA[ID]))&amp;":"&amp;ADDRESS(ROW(),COLUMN(NOTA[ID]))),-1)))</f>
        <v/>
      </c>
      <c r="AM725" s="28" t="str">
        <f ca="1">IF(NOTA[[#This Row],[ID_H]]="","",IF(NOTA[[#This Row],[FAKTUR]]="",INDIRECT(ADDRESS(ROW()-1,COLUMN())),NOTA[[#This Row],[FAKTUR]]))</f>
        <v/>
      </c>
      <c r="AN725" s="25" t="str">
        <f ca="1">IF(NOTA[[#This Row],[ID]]="","",COUNTIF(NOTA[ID_H],NOTA[[#This Row],[ID_H]]))</f>
        <v/>
      </c>
      <c r="AO725" s="25" t="str">
        <f ca="1">IF(NOTA[[#This Row],[TGL.NOTA]]="",IF(NOTA[[#This Row],[SUPPLIER_H]]="","",AO724),MONTH(NOTA[[#This Row],[TGL.NOTA]]))</f>
        <v/>
      </c>
      <c r="AP7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5" s="25"/>
      <c r="AU725" s="25" t="str">
        <f>IF(NOTA[[#This Row],[CONCAT1]]="","",MATCH(NOTA[[#This Row],[CONCAT1]],[3]!db[NB NOTA_C],0))</f>
        <v/>
      </c>
      <c r="AV725" s="25" t="str">
        <f>IF(NOTA[[#This Row],[QTY/ CTN]]="","",TRUE)</f>
        <v/>
      </c>
      <c r="AW725" s="25" t="str">
        <f ca="1">IF(NOTA[[#This Row],[ID_H]]="","",IF(NOTA[[#This Row],[Column3]]=TRUE,NOTA[[#This Row],[QTY/ CTN]],INDEX([3]!db[QTY/ CTN],NOTA[[#This Row],[//DB]])))</f>
        <v/>
      </c>
      <c r="AX7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5" s="25" t="str">
        <f ca="1">IF(NOTA[[#This Row],[ID_H]]="","",MATCH(NOTA[[#This Row],[NB NOTA_C_QTY]],[3]!db[NB NOTA_C_QTY+F],0))</f>
        <v/>
      </c>
      <c r="AZ725" s="38" t="str">
        <f ca="1">IF(NOTA[[#This Row],[NB NOTA_C_QTY]]="","",ROW()-2)</f>
        <v/>
      </c>
    </row>
    <row r="726" spans="1:52" ht="20.100000000000001" customHeight="1">
      <c r="A7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6" s="25" t="str">
        <f ca="1">IF(NOTA[[#This Row],[NAMA BARANG]]="","",INDEX(NOTA[ID],MATCH(,INDIRECT(ADDRESS(ROW(NOTA[ID]),COLUMN(NOTA[ID]))&amp;":"&amp;ADDRESS(ROW(),COLUMN(NOTA[ID]))),-1)))</f>
        <v/>
      </c>
      <c r="E726" s="33"/>
      <c r="H726" s="34"/>
      <c r="Q726" s="29"/>
      <c r="R726" s="35"/>
      <c r="S726" s="36"/>
      <c r="V726" s="37"/>
      <c r="W726" s="32"/>
      <c r="X726" s="37" t="str">
        <f>IF(NOTA[[#This Row],[HARGA/ CTN]]="",NOTA[[#This Row],[JUMLAH_H]],NOTA[[#This Row],[HARGA/ CTN]]*IF(NOTA[[#This Row],[C]]="",0,NOTA[[#This Row],[C]]))</f>
        <v/>
      </c>
      <c r="Y726" s="37" t="str">
        <f>IF(NOTA[[#This Row],[JUMLAH]]="","",NOTA[[#This Row],[JUMLAH]]*NOTA[[#This Row],[DISC 1]])</f>
        <v/>
      </c>
      <c r="Z726" s="37" t="str">
        <f>IF(NOTA[[#This Row],[JUMLAH]]="","",(NOTA[[#This Row],[JUMLAH]]-NOTA[[#This Row],[DISC 1-]])*NOTA[[#This Row],[DISC 2]])</f>
        <v/>
      </c>
      <c r="AA726" s="37" t="str">
        <f>IF(NOTA[[#This Row],[JUMLAH]]="","",(NOTA[[#This Row],[JUMLAH]]-NOTA[[#This Row],[DISC 1-]]-NOTA[[#This Row],[DISC 2-]])*NOTA[[#This Row],[DISC 3]])</f>
        <v/>
      </c>
      <c r="AB726" s="37" t="str">
        <f>IF(NOTA[[#This Row],[JUMLAH]]="","",NOTA[[#This Row],[DISC 1-]]+NOTA[[#This Row],[DISC 2-]]+NOTA[[#This Row],[DISC 3-]])</f>
        <v/>
      </c>
      <c r="AC726" s="37" t="str">
        <f>IF(NOTA[[#This Row],[JUMLAH]]="","",NOTA[[#This Row],[JUMLAH]]-NOTA[[#This Row],[DISC]])</f>
        <v/>
      </c>
      <c r="AD726" s="37"/>
      <c r="AE7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6" s="37" t="str">
        <f>IF(OR(NOTA[[#This Row],[QTY]]="",NOTA[[#This Row],[HARGA SATUAN]]="",),"",NOTA[[#This Row],[QTY]]*NOTA[[#This Row],[HARGA SATUAN]])</f>
        <v/>
      </c>
      <c r="AI726" s="26" t="str">
        <f ca="1">IF(NOTA[[#This Row],[ID_H]]="","",INDEX(NOTA[TANGGAL],MATCH(,INDIRECT(ADDRESS(ROW(NOTA[TANGGAL]),COLUMN(NOTA[TANGGAL]))&amp;":"&amp;ADDRESS(ROW(),COLUMN(NOTA[TANGGAL]))),-1)))</f>
        <v/>
      </c>
      <c r="AJ726" s="26" t="str">
        <f ca="1">IF(NOTA[[#This Row],[ID_H]]="","",INDEX(NOTA[TGL.NOTA],MATCH(,INDIRECT(ADDRESS(ROW(NOTA[TGL.NOTA]),COLUMN(NOTA[TGL.NOTA]))&amp;":"&amp;ADDRESS(ROW(),COLUMN(NOTA[TGL.NOTA]))),-1)))</f>
        <v/>
      </c>
      <c r="AK726" s="26" t="str">
        <f ca="1">IF(NOTA[[#This Row],[ID_H]]="","",INDEX(NOTA[NO.NOTA],MATCH(NOTA[[#This Row],[ID_H]],NOTA[ID_H],0)))</f>
        <v/>
      </c>
      <c r="AL726" s="28" t="str">
        <f ca="1">IF(NOTA[[#This Row],[NAMA BARANG]]="","",INDEX(NOTA[SUPPLIER],MATCH(,INDIRECT(ADDRESS(ROW(NOTA[ID]),COLUMN(NOTA[ID]))&amp;":"&amp;ADDRESS(ROW(),COLUMN(NOTA[ID]))),-1)))</f>
        <v/>
      </c>
      <c r="AM726" s="28" t="str">
        <f ca="1">IF(NOTA[[#This Row],[ID_H]]="","",IF(NOTA[[#This Row],[FAKTUR]]="",INDIRECT(ADDRESS(ROW()-1,COLUMN())),NOTA[[#This Row],[FAKTUR]]))</f>
        <v/>
      </c>
      <c r="AN726" s="25" t="str">
        <f ca="1">IF(NOTA[[#This Row],[ID]]="","",COUNTIF(NOTA[ID_H],NOTA[[#This Row],[ID_H]]))</f>
        <v/>
      </c>
      <c r="AO726" s="25" t="str">
        <f ca="1">IF(NOTA[[#This Row],[TGL.NOTA]]="",IF(NOTA[[#This Row],[SUPPLIER_H]]="","",AO725),MONTH(NOTA[[#This Row],[TGL.NOTA]]))</f>
        <v/>
      </c>
      <c r="AP7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6" s="25"/>
      <c r="AU726" s="25" t="str">
        <f>IF(NOTA[[#This Row],[CONCAT1]]="","",MATCH(NOTA[[#This Row],[CONCAT1]],[3]!db[NB NOTA_C],0))</f>
        <v/>
      </c>
      <c r="AV726" s="25" t="str">
        <f>IF(NOTA[[#This Row],[QTY/ CTN]]="","",TRUE)</f>
        <v/>
      </c>
      <c r="AW726" s="25" t="str">
        <f ca="1">IF(NOTA[[#This Row],[ID_H]]="","",IF(NOTA[[#This Row],[Column3]]=TRUE,NOTA[[#This Row],[QTY/ CTN]],INDEX([3]!db[QTY/ CTN],NOTA[[#This Row],[//DB]])))</f>
        <v/>
      </c>
      <c r="AX7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6" s="25" t="str">
        <f ca="1">IF(NOTA[[#This Row],[ID_H]]="","",MATCH(NOTA[[#This Row],[NB NOTA_C_QTY]],[3]!db[NB NOTA_C_QTY+F],0))</f>
        <v/>
      </c>
      <c r="AZ726" s="38" t="str">
        <f ca="1">IF(NOTA[[#This Row],[NB NOTA_C_QTY]]="","",ROW()-2)</f>
        <v/>
      </c>
    </row>
    <row r="727" spans="1:52" ht="20.100000000000001" customHeight="1">
      <c r="A7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7" s="25" t="str">
        <f ca="1">IF(NOTA[[#This Row],[NAMA BARANG]]="","",INDEX(NOTA[ID],MATCH(,INDIRECT(ADDRESS(ROW(NOTA[ID]),COLUMN(NOTA[ID]))&amp;":"&amp;ADDRESS(ROW(),COLUMN(NOTA[ID]))),-1)))</f>
        <v/>
      </c>
      <c r="E727" s="33"/>
      <c r="H727" s="34"/>
      <c r="Q727" s="29"/>
      <c r="R727" s="35"/>
      <c r="S727" s="36"/>
      <c r="V727" s="37"/>
      <c r="W727" s="32"/>
      <c r="X727" s="37" t="str">
        <f>IF(NOTA[[#This Row],[HARGA/ CTN]]="",NOTA[[#This Row],[JUMLAH_H]],NOTA[[#This Row],[HARGA/ CTN]]*IF(NOTA[[#This Row],[C]]="",0,NOTA[[#This Row],[C]]))</f>
        <v/>
      </c>
      <c r="Y727" s="37" t="str">
        <f>IF(NOTA[[#This Row],[JUMLAH]]="","",NOTA[[#This Row],[JUMLAH]]*NOTA[[#This Row],[DISC 1]])</f>
        <v/>
      </c>
      <c r="Z727" s="37" t="str">
        <f>IF(NOTA[[#This Row],[JUMLAH]]="","",(NOTA[[#This Row],[JUMLAH]]-NOTA[[#This Row],[DISC 1-]])*NOTA[[#This Row],[DISC 2]])</f>
        <v/>
      </c>
      <c r="AA727" s="37" t="str">
        <f>IF(NOTA[[#This Row],[JUMLAH]]="","",(NOTA[[#This Row],[JUMLAH]]-NOTA[[#This Row],[DISC 1-]]-NOTA[[#This Row],[DISC 2-]])*NOTA[[#This Row],[DISC 3]])</f>
        <v/>
      </c>
      <c r="AB727" s="37" t="str">
        <f>IF(NOTA[[#This Row],[JUMLAH]]="","",NOTA[[#This Row],[DISC 1-]]+NOTA[[#This Row],[DISC 2-]]+NOTA[[#This Row],[DISC 3-]])</f>
        <v/>
      </c>
      <c r="AC727" s="37" t="str">
        <f>IF(NOTA[[#This Row],[JUMLAH]]="","",NOTA[[#This Row],[JUMLAH]]-NOTA[[#This Row],[DISC]])</f>
        <v/>
      </c>
      <c r="AD727" s="37"/>
      <c r="AE7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7" s="37" t="str">
        <f>IF(OR(NOTA[[#This Row],[QTY]]="",NOTA[[#This Row],[HARGA SATUAN]]="",),"",NOTA[[#This Row],[QTY]]*NOTA[[#This Row],[HARGA SATUAN]])</f>
        <v/>
      </c>
      <c r="AI727" s="26" t="str">
        <f ca="1">IF(NOTA[[#This Row],[ID_H]]="","",INDEX(NOTA[TANGGAL],MATCH(,INDIRECT(ADDRESS(ROW(NOTA[TANGGAL]),COLUMN(NOTA[TANGGAL]))&amp;":"&amp;ADDRESS(ROW(),COLUMN(NOTA[TANGGAL]))),-1)))</f>
        <v/>
      </c>
      <c r="AJ727" s="26" t="str">
        <f ca="1">IF(NOTA[[#This Row],[ID_H]]="","",INDEX(NOTA[TGL.NOTA],MATCH(,INDIRECT(ADDRESS(ROW(NOTA[TGL.NOTA]),COLUMN(NOTA[TGL.NOTA]))&amp;":"&amp;ADDRESS(ROW(),COLUMN(NOTA[TGL.NOTA]))),-1)))</f>
        <v/>
      </c>
      <c r="AK727" s="26" t="str">
        <f ca="1">IF(NOTA[[#This Row],[ID_H]]="","",INDEX(NOTA[NO.NOTA],MATCH(NOTA[[#This Row],[ID_H]],NOTA[ID_H],0)))</f>
        <v/>
      </c>
      <c r="AL727" s="28" t="str">
        <f ca="1">IF(NOTA[[#This Row],[NAMA BARANG]]="","",INDEX(NOTA[SUPPLIER],MATCH(,INDIRECT(ADDRESS(ROW(NOTA[ID]),COLUMN(NOTA[ID]))&amp;":"&amp;ADDRESS(ROW(),COLUMN(NOTA[ID]))),-1)))</f>
        <v/>
      </c>
      <c r="AM727" s="28" t="str">
        <f ca="1">IF(NOTA[[#This Row],[ID_H]]="","",IF(NOTA[[#This Row],[FAKTUR]]="",INDIRECT(ADDRESS(ROW()-1,COLUMN())),NOTA[[#This Row],[FAKTUR]]))</f>
        <v/>
      </c>
      <c r="AN727" s="25" t="str">
        <f ca="1">IF(NOTA[[#This Row],[ID]]="","",COUNTIF(NOTA[ID_H],NOTA[[#This Row],[ID_H]]))</f>
        <v/>
      </c>
      <c r="AO727" s="25" t="str">
        <f ca="1">IF(NOTA[[#This Row],[TGL.NOTA]]="",IF(NOTA[[#This Row],[SUPPLIER_H]]="","",AO726),MONTH(NOTA[[#This Row],[TGL.NOTA]]))</f>
        <v/>
      </c>
      <c r="AP7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7" s="25"/>
      <c r="AU727" s="25" t="str">
        <f>IF(NOTA[[#This Row],[CONCAT1]]="","",MATCH(NOTA[[#This Row],[CONCAT1]],[3]!db[NB NOTA_C],0))</f>
        <v/>
      </c>
      <c r="AV727" s="25" t="str">
        <f>IF(NOTA[[#This Row],[QTY/ CTN]]="","",TRUE)</f>
        <v/>
      </c>
      <c r="AW727" s="25" t="str">
        <f ca="1">IF(NOTA[[#This Row],[ID_H]]="","",IF(NOTA[[#This Row],[Column3]]=TRUE,NOTA[[#This Row],[QTY/ CTN]],INDEX([3]!db[QTY/ CTN],NOTA[[#This Row],[//DB]])))</f>
        <v/>
      </c>
      <c r="AX7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7" s="25" t="str">
        <f ca="1">IF(NOTA[[#This Row],[ID_H]]="","",MATCH(NOTA[[#This Row],[NB NOTA_C_QTY]],[3]!db[NB NOTA_C_QTY+F],0))</f>
        <v/>
      </c>
      <c r="AZ727" s="38" t="str">
        <f ca="1">IF(NOTA[[#This Row],[NB NOTA_C_QTY]]="","",ROW()-2)</f>
        <v/>
      </c>
    </row>
    <row r="728" spans="1:52" ht="20.100000000000001" customHeight="1">
      <c r="A7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8" s="25" t="str">
        <f ca="1">IF(NOTA[[#This Row],[NAMA BARANG]]="","",INDEX(NOTA[ID],MATCH(,INDIRECT(ADDRESS(ROW(NOTA[ID]),COLUMN(NOTA[ID]))&amp;":"&amp;ADDRESS(ROW(),COLUMN(NOTA[ID]))),-1)))</f>
        <v/>
      </c>
      <c r="E728" s="33"/>
      <c r="H728" s="34"/>
      <c r="Q728" s="29"/>
      <c r="R728" s="35"/>
      <c r="S728" s="36"/>
      <c r="V728" s="37"/>
      <c r="W728" s="32"/>
      <c r="X728" s="37" t="str">
        <f>IF(NOTA[[#This Row],[HARGA/ CTN]]="",NOTA[[#This Row],[JUMLAH_H]],NOTA[[#This Row],[HARGA/ CTN]]*IF(NOTA[[#This Row],[C]]="",0,NOTA[[#This Row],[C]]))</f>
        <v/>
      </c>
      <c r="Y728" s="37" t="str">
        <f>IF(NOTA[[#This Row],[JUMLAH]]="","",NOTA[[#This Row],[JUMLAH]]*NOTA[[#This Row],[DISC 1]])</f>
        <v/>
      </c>
      <c r="Z728" s="37" t="str">
        <f>IF(NOTA[[#This Row],[JUMLAH]]="","",(NOTA[[#This Row],[JUMLAH]]-NOTA[[#This Row],[DISC 1-]])*NOTA[[#This Row],[DISC 2]])</f>
        <v/>
      </c>
      <c r="AA728" s="37" t="str">
        <f>IF(NOTA[[#This Row],[JUMLAH]]="","",(NOTA[[#This Row],[JUMLAH]]-NOTA[[#This Row],[DISC 1-]]-NOTA[[#This Row],[DISC 2-]])*NOTA[[#This Row],[DISC 3]])</f>
        <v/>
      </c>
      <c r="AB728" s="37" t="str">
        <f>IF(NOTA[[#This Row],[JUMLAH]]="","",NOTA[[#This Row],[DISC 1-]]+NOTA[[#This Row],[DISC 2-]]+NOTA[[#This Row],[DISC 3-]])</f>
        <v/>
      </c>
      <c r="AC728" s="37" t="str">
        <f>IF(NOTA[[#This Row],[JUMLAH]]="","",NOTA[[#This Row],[JUMLAH]]-NOTA[[#This Row],[DISC]])</f>
        <v/>
      </c>
      <c r="AD728" s="37"/>
      <c r="AE7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8" s="37" t="str">
        <f>IF(OR(NOTA[[#This Row],[QTY]]="",NOTA[[#This Row],[HARGA SATUAN]]="",),"",NOTA[[#This Row],[QTY]]*NOTA[[#This Row],[HARGA SATUAN]])</f>
        <v/>
      </c>
      <c r="AI728" s="26" t="str">
        <f ca="1">IF(NOTA[[#This Row],[ID_H]]="","",INDEX(NOTA[TANGGAL],MATCH(,INDIRECT(ADDRESS(ROW(NOTA[TANGGAL]),COLUMN(NOTA[TANGGAL]))&amp;":"&amp;ADDRESS(ROW(),COLUMN(NOTA[TANGGAL]))),-1)))</f>
        <v/>
      </c>
      <c r="AJ728" s="26" t="str">
        <f ca="1">IF(NOTA[[#This Row],[ID_H]]="","",INDEX(NOTA[TGL.NOTA],MATCH(,INDIRECT(ADDRESS(ROW(NOTA[TGL.NOTA]),COLUMN(NOTA[TGL.NOTA]))&amp;":"&amp;ADDRESS(ROW(),COLUMN(NOTA[TGL.NOTA]))),-1)))</f>
        <v/>
      </c>
      <c r="AK728" s="26" t="str">
        <f ca="1">IF(NOTA[[#This Row],[ID_H]]="","",INDEX(NOTA[NO.NOTA],MATCH(NOTA[[#This Row],[ID_H]],NOTA[ID_H],0)))</f>
        <v/>
      </c>
      <c r="AL728" s="28" t="str">
        <f ca="1">IF(NOTA[[#This Row],[NAMA BARANG]]="","",INDEX(NOTA[SUPPLIER],MATCH(,INDIRECT(ADDRESS(ROW(NOTA[ID]),COLUMN(NOTA[ID]))&amp;":"&amp;ADDRESS(ROW(),COLUMN(NOTA[ID]))),-1)))</f>
        <v/>
      </c>
      <c r="AM728" s="28" t="str">
        <f ca="1">IF(NOTA[[#This Row],[ID_H]]="","",IF(NOTA[[#This Row],[FAKTUR]]="",INDIRECT(ADDRESS(ROW()-1,COLUMN())),NOTA[[#This Row],[FAKTUR]]))</f>
        <v/>
      </c>
      <c r="AN728" s="25" t="str">
        <f ca="1">IF(NOTA[[#This Row],[ID]]="","",COUNTIF(NOTA[ID_H],NOTA[[#This Row],[ID_H]]))</f>
        <v/>
      </c>
      <c r="AO728" s="25" t="str">
        <f ca="1">IF(NOTA[[#This Row],[TGL.NOTA]]="",IF(NOTA[[#This Row],[SUPPLIER_H]]="","",AO727),MONTH(NOTA[[#This Row],[TGL.NOTA]]))</f>
        <v/>
      </c>
      <c r="AP7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8" s="25"/>
      <c r="AU728" s="25" t="str">
        <f>IF(NOTA[[#This Row],[CONCAT1]]="","",MATCH(NOTA[[#This Row],[CONCAT1]],[3]!db[NB NOTA_C],0))</f>
        <v/>
      </c>
      <c r="AV728" s="25" t="str">
        <f>IF(NOTA[[#This Row],[QTY/ CTN]]="","",TRUE)</f>
        <v/>
      </c>
      <c r="AW728" s="25" t="str">
        <f ca="1">IF(NOTA[[#This Row],[ID_H]]="","",IF(NOTA[[#This Row],[Column3]]=TRUE,NOTA[[#This Row],[QTY/ CTN]],INDEX([3]!db[QTY/ CTN],NOTA[[#This Row],[//DB]])))</f>
        <v/>
      </c>
      <c r="AX7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8" s="25" t="str">
        <f ca="1">IF(NOTA[[#This Row],[ID_H]]="","",MATCH(NOTA[[#This Row],[NB NOTA_C_QTY]],[3]!db[NB NOTA_C_QTY+F],0))</f>
        <v/>
      </c>
      <c r="AZ728" s="38" t="str">
        <f ca="1">IF(NOTA[[#This Row],[NB NOTA_C_QTY]]="","",ROW()-2)</f>
        <v/>
      </c>
    </row>
    <row r="729" spans="1:52" ht="20.100000000000001" customHeight="1">
      <c r="A7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9" s="25" t="str">
        <f ca="1">IF(NOTA[[#This Row],[NAMA BARANG]]="","",INDEX(NOTA[ID],MATCH(,INDIRECT(ADDRESS(ROW(NOTA[ID]),COLUMN(NOTA[ID]))&amp;":"&amp;ADDRESS(ROW(),COLUMN(NOTA[ID]))),-1)))</f>
        <v/>
      </c>
      <c r="E729" s="33"/>
      <c r="H729" s="34"/>
      <c r="Q729" s="29"/>
      <c r="R729" s="35"/>
      <c r="S729" s="36"/>
      <c r="V729" s="37"/>
      <c r="W729" s="32"/>
      <c r="X729" s="37" t="str">
        <f>IF(NOTA[[#This Row],[HARGA/ CTN]]="",NOTA[[#This Row],[JUMLAH_H]],NOTA[[#This Row],[HARGA/ CTN]]*IF(NOTA[[#This Row],[C]]="",0,NOTA[[#This Row],[C]]))</f>
        <v/>
      </c>
      <c r="Y729" s="37" t="str">
        <f>IF(NOTA[[#This Row],[JUMLAH]]="","",NOTA[[#This Row],[JUMLAH]]*NOTA[[#This Row],[DISC 1]])</f>
        <v/>
      </c>
      <c r="Z729" s="37" t="str">
        <f>IF(NOTA[[#This Row],[JUMLAH]]="","",(NOTA[[#This Row],[JUMLAH]]-NOTA[[#This Row],[DISC 1-]])*NOTA[[#This Row],[DISC 2]])</f>
        <v/>
      </c>
      <c r="AA729" s="37" t="str">
        <f>IF(NOTA[[#This Row],[JUMLAH]]="","",(NOTA[[#This Row],[JUMLAH]]-NOTA[[#This Row],[DISC 1-]]-NOTA[[#This Row],[DISC 2-]])*NOTA[[#This Row],[DISC 3]])</f>
        <v/>
      </c>
      <c r="AB729" s="37" t="str">
        <f>IF(NOTA[[#This Row],[JUMLAH]]="","",NOTA[[#This Row],[DISC 1-]]+NOTA[[#This Row],[DISC 2-]]+NOTA[[#This Row],[DISC 3-]])</f>
        <v/>
      </c>
      <c r="AC729" s="37" t="str">
        <f>IF(NOTA[[#This Row],[JUMLAH]]="","",NOTA[[#This Row],[JUMLAH]]-NOTA[[#This Row],[DISC]])</f>
        <v/>
      </c>
      <c r="AD729" s="37"/>
      <c r="AE7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9" s="37" t="str">
        <f>IF(OR(NOTA[[#This Row],[QTY]]="",NOTA[[#This Row],[HARGA SATUAN]]="",),"",NOTA[[#This Row],[QTY]]*NOTA[[#This Row],[HARGA SATUAN]])</f>
        <v/>
      </c>
      <c r="AI729" s="26" t="str">
        <f ca="1">IF(NOTA[[#This Row],[ID_H]]="","",INDEX(NOTA[TANGGAL],MATCH(,INDIRECT(ADDRESS(ROW(NOTA[TANGGAL]),COLUMN(NOTA[TANGGAL]))&amp;":"&amp;ADDRESS(ROW(),COLUMN(NOTA[TANGGAL]))),-1)))</f>
        <v/>
      </c>
      <c r="AJ729" s="26" t="str">
        <f ca="1">IF(NOTA[[#This Row],[ID_H]]="","",INDEX(NOTA[TGL.NOTA],MATCH(,INDIRECT(ADDRESS(ROW(NOTA[TGL.NOTA]),COLUMN(NOTA[TGL.NOTA]))&amp;":"&amp;ADDRESS(ROW(),COLUMN(NOTA[TGL.NOTA]))),-1)))</f>
        <v/>
      </c>
      <c r="AK729" s="26" t="str">
        <f ca="1">IF(NOTA[[#This Row],[ID_H]]="","",INDEX(NOTA[NO.NOTA],MATCH(NOTA[[#This Row],[ID_H]],NOTA[ID_H],0)))</f>
        <v/>
      </c>
      <c r="AL729" s="28" t="str">
        <f ca="1">IF(NOTA[[#This Row],[NAMA BARANG]]="","",INDEX(NOTA[SUPPLIER],MATCH(,INDIRECT(ADDRESS(ROW(NOTA[ID]),COLUMN(NOTA[ID]))&amp;":"&amp;ADDRESS(ROW(),COLUMN(NOTA[ID]))),-1)))</f>
        <v/>
      </c>
      <c r="AM729" s="28" t="str">
        <f ca="1">IF(NOTA[[#This Row],[ID_H]]="","",IF(NOTA[[#This Row],[FAKTUR]]="",INDIRECT(ADDRESS(ROW()-1,COLUMN())),NOTA[[#This Row],[FAKTUR]]))</f>
        <v/>
      </c>
      <c r="AN729" s="25" t="str">
        <f ca="1">IF(NOTA[[#This Row],[ID]]="","",COUNTIF(NOTA[ID_H],NOTA[[#This Row],[ID_H]]))</f>
        <v/>
      </c>
      <c r="AO729" s="25" t="str">
        <f ca="1">IF(NOTA[[#This Row],[TGL.NOTA]]="",IF(NOTA[[#This Row],[SUPPLIER_H]]="","",AO728),MONTH(NOTA[[#This Row],[TGL.NOTA]]))</f>
        <v/>
      </c>
      <c r="AP7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9" s="25"/>
      <c r="AU729" s="25" t="str">
        <f>IF(NOTA[[#This Row],[CONCAT1]]="","",MATCH(NOTA[[#This Row],[CONCAT1]],[3]!db[NB NOTA_C],0))</f>
        <v/>
      </c>
      <c r="AV729" s="25" t="str">
        <f>IF(NOTA[[#This Row],[QTY/ CTN]]="","",TRUE)</f>
        <v/>
      </c>
      <c r="AW729" s="25" t="str">
        <f ca="1">IF(NOTA[[#This Row],[ID_H]]="","",IF(NOTA[[#This Row],[Column3]]=TRUE,NOTA[[#This Row],[QTY/ CTN]],INDEX([3]!db[QTY/ CTN],NOTA[[#This Row],[//DB]])))</f>
        <v/>
      </c>
      <c r="AX7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9" s="25" t="str">
        <f ca="1">IF(NOTA[[#This Row],[ID_H]]="","",MATCH(NOTA[[#This Row],[NB NOTA_C_QTY]],[3]!db[NB NOTA_C_QTY+F],0))</f>
        <v/>
      </c>
      <c r="AZ729" s="38" t="str">
        <f ca="1">IF(NOTA[[#This Row],[NB NOTA_C_QTY]]="","",ROW()-2)</f>
        <v/>
      </c>
    </row>
    <row r="730" spans="1:52" ht="20.100000000000001" customHeight="1">
      <c r="A7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0" s="25" t="str">
        <f ca="1">IF(NOTA[[#This Row],[NAMA BARANG]]="","",INDEX(NOTA[ID],MATCH(,INDIRECT(ADDRESS(ROW(NOTA[ID]),COLUMN(NOTA[ID]))&amp;":"&amp;ADDRESS(ROW(),COLUMN(NOTA[ID]))),-1)))</f>
        <v/>
      </c>
      <c r="E730" s="33"/>
      <c r="H730" s="34"/>
      <c r="Q730" s="29"/>
      <c r="R730" s="35"/>
      <c r="S730" s="36"/>
      <c r="V730" s="37"/>
      <c r="W730" s="32"/>
      <c r="X730" s="37" t="str">
        <f>IF(NOTA[[#This Row],[HARGA/ CTN]]="",NOTA[[#This Row],[JUMLAH_H]],NOTA[[#This Row],[HARGA/ CTN]]*IF(NOTA[[#This Row],[C]]="",0,NOTA[[#This Row],[C]]))</f>
        <v/>
      </c>
      <c r="Y730" s="37" t="str">
        <f>IF(NOTA[[#This Row],[JUMLAH]]="","",NOTA[[#This Row],[JUMLAH]]*NOTA[[#This Row],[DISC 1]])</f>
        <v/>
      </c>
      <c r="Z730" s="37" t="str">
        <f>IF(NOTA[[#This Row],[JUMLAH]]="","",(NOTA[[#This Row],[JUMLAH]]-NOTA[[#This Row],[DISC 1-]])*NOTA[[#This Row],[DISC 2]])</f>
        <v/>
      </c>
      <c r="AA730" s="37" t="str">
        <f>IF(NOTA[[#This Row],[JUMLAH]]="","",(NOTA[[#This Row],[JUMLAH]]-NOTA[[#This Row],[DISC 1-]]-NOTA[[#This Row],[DISC 2-]])*NOTA[[#This Row],[DISC 3]])</f>
        <v/>
      </c>
      <c r="AB730" s="37" t="str">
        <f>IF(NOTA[[#This Row],[JUMLAH]]="","",NOTA[[#This Row],[DISC 1-]]+NOTA[[#This Row],[DISC 2-]]+NOTA[[#This Row],[DISC 3-]])</f>
        <v/>
      </c>
      <c r="AC730" s="37" t="str">
        <f>IF(NOTA[[#This Row],[JUMLAH]]="","",NOTA[[#This Row],[JUMLAH]]-NOTA[[#This Row],[DISC]])</f>
        <v/>
      </c>
      <c r="AD730" s="37"/>
      <c r="AE7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0" s="37" t="str">
        <f>IF(OR(NOTA[[#This Row],[QTY]]="",NOTA[[#This Row],[HARGA SATUAN]]="",),"",NOTA[[#This Row],[QTY]]*NOTA[[#This Row],[HARGA SATUAN]])</f>
        <v/>
      </c>
      <c r="AI730" s="26" t="str">
        <f ca="1">IF(NOTA[[#This Row],[ID_H]]="","",INDEX(NOTA[TANGGAL],MATCH(,INDIRECT(ADDRESS(ROW(NOTA[TANGGAL]),COLUMN(NOTA[TANGGAL]))&amp;":"&amp;ADDRESS(ROW(),COLUMN(NOTA[TANGGAL]))),-1)))</f>
        <v/>
      </c>
      <c r="AJ730" s="26" t="str">
        <f ca="1">IF(NOTA[[#This Row],[ID_H]]="","",INDEX(NOTA[TGL.NOTA],MATCH(,INDIRECT(ADDRESS(ROW(NOTA[TGL.NOTA]),COLUMN(NOTA[TGL.NOTA]))&amp;":"&amp;ADDRESS(ROW(),COLUMN(NOTA[TGL.NOTA]))),-1)))</f>
        <v/>
      </c>
      <c r="AK730" s="26" t="str">
        <f ca="1">IF(NOTA[[#This Row],[ID_H]]="","",INDEX(NOTA[NO.NOTA],MATCH(NOTA[[#This Row],[ID_H]],NOTA[ID_H],0)))</f>
        <v/>
      </c>
      <c r="AL730" s="28" t="str">
        <f ca="1">IF(NOTA[[#This Row],[NAMA BARANG]]="","",INDEX(NOTA[SUPPLIER],MATCH(,INDIRECT(ADDRESS(ROW(NOTA[ID]),COLUMN(NOTA[ID]))&amp;":"&amp;ADDRESS(ROW(),COLUMN(NOTA[ID]))),-1)))</f>
        <v/>
      </c>
      <c r="AM730" s="28" t="str">
        <f ca="1">IF(NOTA[[#This Row],[ID_H]]="","",IF(NOTA[[#This Row],[FAKTUR]]="",INDIRECT(ADDRESS(ROW()-1,COLUMN())),NOTA[[#This Row],[FAKTUR]]))</f>
        <v/>
      </c>
      <c r="AN730" s="25" t="str">
        <f ca="1">IF(NOTA[[#This Row],[ID]]="","",COUNTIF(NOTA[ID_H],NOTA[[#This Row],[ID_H]]))</f>
        <v/>
      </c>
      <c r="AO730" s="25" t="str">
        <f ca="1">IF(NOTA[[#This Row],[TGL.NOTA]]="",IF(NOTA[[#This Row],[SUPPLIER_H]]="","",AO729),MONTH(NOTA[[#This Row],[TGL.NOTA]]))</f>
        <v/>
      </c>
      <c r="AP7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0" s="25"/>
      <c r="AU730" s="25" t="str">
        <f>IF(NOTA[[#This Row],[CONCAT1]]="","",MATCH(NOTA[[#This Row],[CONCAT1]],[3]!db[NB NOTA_C],0))</f>
        <v/>
      </c>
      <c r="AV730" s="25" t="str">
        <f>IF(NOTA[[#This Row],[QTY/ CTN]]="","",TRUE)</f>
        <v/>
      </c>
      <c r="AW730" s="25" t="str">
        <f ca="1">IF(NOTA[[#This Row],[ID_H]]="","",IF(NOTA[[#This Row],[Column3]]=TRUE,NOTA[[#This Row],[QTY/ CTN]],INDEX([3]!db[QTY/ CTN],NOTA[[#This Row],[//DB]])))</f>
        <v/>
      </c>
      <c r="AX7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0" s="25" t="str">
        <f ca="1">IF(NOTA[[#This Row],[ID_H]]="","",MATCH(NOTA[[#This Row],[NB NOTA_C_QTY]],[3]!db[NB NOTA_C_QTY+F],0))</f>
        <v/>
      </c>
      <c r="AZ730" s="38" t="str">
        <f ca="1">IF(NOTA[[#This Row],[NB NOTA_C_QTY]]="","",ROW()-2)</f>
        <v/>
      </c>
    </row>
    <row r="731" spans="1:52" ht="20.100000000000001" customHeight="1">
      <c r="A7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1" s="25" t="str">
        <f ca="1">IF(NOTA[[#This Row],[NAMA BARANG]]="","",INDEX(NOTA[ID],MATCH(,INDIRECT(ADDRESS(ROW(NOTA[ID]),COLUMN(NOTA[ID]))&amp;":"&amp;ADDRESS(ROW(),COLUMN(NOTA[ID]))),-1)))</f>
        <v/>
      </c>
      <c r="E731" s="33"/>
      <c r="H731" s="34"/>
      <c r="Q731" s="29"/>
      <c r="R731" s="35"/>
      <c r="S731" s="36"/>
      <c r="V731" s="37"/>
      <c r="W731" s="32"/>
      <c r="X731" s="37" t="str">
        <f>IF(NOTA[[#This Row],[HARGA/ CTN]]="",NOTA[[#This Row],[JUMLAH_H]],NOTA[[#This Row],[HARGA/ CTN]]*IF(NOTA[[#This Row],[C]]="",0,NOTA[[#This Row],[C]]))</f>
        <v/>
      </c>
      <c r="Y731" s="37" t="str">
        <f>IF(NOTA[[#This Row],[JUMLAH]]="","",NOTA[[#This Row],[JUMLAH]]*NOTA[[#This Row],[DISC 1]])</f>
        <v/>
      </c>
      <c r="Z731" s="37" t="str">
        <f>IF(NOTA[[#This Row],[JUMLAH]]="","",(NOTA[[#This Row],[JUMLAH]]-NOTA[[#This Row],[DISC 1-]])*NOTA[[#This Row],[DISC 2]])</f>
        <v/>
      </c>
      <c r="AA731" s="37" t="str">
        <f>IF(NOTA[[#This Row],[JUMLAH]]="","",(NOTA[[#This Row],[JUMLAH]]-NOTA[[#This Row],[DISC 1-]]-NOTA[[#This Row],[DISC 2-]])*NOTA[[#This Row],[DISC 3]])</f>
        <v/>
      </c>
      <c r="AB731" s="37" t="str">
        <f>IF(NOTA[[#This Row],[JUMLAH]]="","",NOTA[[#This Row],[DISC 1-]]+NOTA[[#This Row],[DISC 2-]]+NOTA[[#This Row],[DISC 3-]])</f>
        <v/>
      </c>
      <c r="AC731" s="37" t="str">
        <f>IF(NOTA[[#This Row],[JUMLAH]]="","",NOTA[[#This Row],[JUMLAH]]-NOTA[[#This Row],[DISC]])</f>
        <v/>
      </c>
      <c r="AD731" s="37"/>
      <c r="AE7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1" s="37" t="str">
        <f>IF(OR(NOTA[[#This Row],[QTY]]="",NOTA[[#This Row],[HARGA SATUAN]]="",),"",NOTA[[#This Row],[QTY]]*NOTA[[#This Row],[HARGA SATUAN]])</f>
        <v/>
      </c>
      <c r="AI731" s="26" t="str">
        <f ca="1">IF(NOTA[[#This Row],[ID_H]]="","",INDEX(NOTA[TANGGAL],MATCH(,INDIRECT(ADDRESS(ROW(NOTA[TANGGAL]),COLUMN(NOTA[TANGGAL]))&amp;":"&amp;ADDRESS(ROW(),COLUMN(NOTA[TANGGAL]))),-1)))</f>
        <v/>
      </c>
      <c r="AJ731" s="26" t="str">
        <f ca="1">IF(NOTA[[#This Row],[ID_H]]="","",INDEX(NOTA[TGL.NOTA],MATCH(,INDIRECT(ADDRESS(ROW(NOTA[TGL.NOTA]),COLUMN(NOTA[TGL.NOTA]))&amp;":"&amp;ADDRESS(ROW(),COLUMN(NOTA[TGL.NOTA]))),-1)))</f>
        <v/>
      </c>
      <c r="AK731" s="26" t="str">
        <f ca="1">IF(NOTA[[#This Row],[ID_H]]="","",INDEX(NOTA[NO.NOTA],MATCH(NOTA[[#This Row],[ID_H]],NOTA[ID_H],0)))</f>
        <v/>
      </c>
      <c r="AL731" s="28" t="str">
        <f ca="1">IF(NOTA[[#This Row],[NAMA BARANG]]="","",INDEX(NOTA[SUPPLIER],MATCH(,INDIRECT(ADDRESS(ROW(NOTA[ID]),COLUMN(NOTA[ID]))&amp;":"&amp;ADDRESS(ROW(),COLUMN(NOTA[ID]))),-1)))</f>
        <v/>
      </c>
      <c r="AM731" s="28" t="str">
        <f ca="1">IF(NOTA[[#This Row],[ID_H]]="","",IF(NOTA[[#This Row],[FAKTUR]]="",INDIRECT(ADDRESS(ROW()-1,COLUMN())),NOTA[[#This Row],[FAKTUR]]))</f>
        <v/>
      </c>
      <c r="AN731" s="25" t="str">
        <f ca="1">IF(NOTA[[#This Row],[ID]]="","",COUNTIF(NOTA[ID_H],NOTA[[#This Row],[ID_H]]))</f>
        <v/>
      </c>
      <c r="AO731" s="25" t="str">
        <f ca="1">IF(NOTA[[#This Row],[TGL.NOTA]]="",IF(NOTA[[#This Row],[SUPPLIER_H]]="","",AO730),MONTH(NOTA[[#This Row],[TGL.NOTA]]))</f>
        <v/>
      </c>
      <c r="AP7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1" s="25"/>
      <c r="AU731" s="25" t="str">
        <f>IF(NOTA[[#This Row],[CONCAT1]]="","",MATCH(NOTA[[#This Row],[CONCAT1]],[3]!db[NB NOTA_C],0))</f>
        <v/>
      </c>
      <c r="AV731" s="25" t="str">
        <f>IF(NOTA[[#This Row],[QTY/ CTN]]="","",TRUE)</f>
        <v/>
      </c>
      <c r="AW731" s="25" t="str">
        <f ca="1">IF(NOTA[[#This Row],[ID_H]]="","",IF(NOTA[[#This Row],[Column3]]=TRUE,NOTA[[#This Row],[QTY/ CTN]],INDEX([3]!db[QTY/ CTN],NOTA[[#This Row],[//DB]])))</f>
        <v/>
      </c>
      <c r="AX7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1" s="25" t="str">
        <f ca="1">IF(NOTA[[#This Row],[ID_H]]="","",MATCH(NOTA[[#This Row],[NB NOTA_C_QTY]],[3]!db[NB NOTA_C_QTY+F],0))</f>
        <v/>
      </c>
      <c r="AZ731" s="38" t="str">
        <f ca="1">IF(NOTA[[#This Row],[NB NOTA_C_QTY]]="","",ROW()-2)</f>
        <v/>
      </c>
    </row>
    <row r="732" spans="1:52" ht="20.100000000000001" customHeight="1">
      <c r="A7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2" s="25" t="str">
        <f ca="1">IF(NOTA[[#This Row],[NAMA BARANG]]="","",INDEX(NOTA[ID],MATCH(,INDIRECT(ADDRESS(ROW(NOTA[ID]),COLUMN(NOTA[ID]))&amp;":"&amp;ADDRESS(ROW(),COLUMN(NOTA[ID]))),-1)))</f>
        <v/>
      </c>
      <c r="E732" s="33"/>
      <c r="H732" s="34"/>
      <c r="Q732" s="29"/>
      <c r="R732" s="35"/>
      <c r="S732" s="36"/>
      <c r="V732" s="37"/>
      <c r="W732" s="32"/>
      <c r="X732" s="37" t="str">
        <f>IF(NOTA[[#This Row],[HARGA/ CTN]]="",NOTA[[#This Row],[JUMLAH_H]],NOTA[[#This Row],[HARGA/ CTN]]*IF(NOTA[[#This Row],[C]]="",0,NOTA[[#This Row],[C]]))</f>
        <v/>
      </c>
      <c r="Y732" s="37" t="str">
        <f>IF(NOTA[[#This Row],[JUMLAH]]="","",NOTA[[#This Row],[JUMLAH]]*NOTA[[#This Row],[DISC 1]])</f>
        <v/>
      </c>
      <c r="Z732" s="37" t="str">
        <f>IF(NOTA[[#This Row],[JUMLAH]]="","",(NOTA[[#This Row],[JUMLAH]]-NOTA[[#This Row],[DISC 1-]])*NOTA[[#This Row],[DISC 2]])</f>
        <v/>
      </c>
      <c r="AA732" s="37" t="str">
        <f>IF(NOTA[[#This Row],[JUMLAH]]="","",(NOTA[[#This Row],[JUMLAH]]-NOTA[[#This Row],[DISC 1-]]-NOTA[[#This Row],[DISC 2-]])*NOTA[[#This Row],[DISC 3]])</f>
        <v/>
      </c>
      <c r="AB732" s="37" t="str">
        <f>IF(NOTA[[#This Row],[JUMLAH]]="","",NOTA[[#This Row],[DISC 1-]]+NOTA[[#This Row],[DISC 2-]]+NOTA[[#This Row],[DISC 3-]])</f>
        <v/>
      </c>
      <c r="AC732" s="37" t="str">
        <f>IF(NOTA[[#This Row],[JUMLAH]]="","",NOTA[[#This Row],[JUMLAH]]-NOTA[[#This Row],[DISC]])</f>
        <v/>
      </c>
      <c r="AD732" s="37"/>
      <c r="AE7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2" s="37" t="str">
        <f>IF(OR(NOTA[[#This Row],[QTY]]="",NOTA[[#This Row],[HARGA SATUAN]]="",),"",NOTA[[#This Row],[QTY]]*NOTA[[#This Row],[HARGA SATUAN]])</f>
        <v/>
      </c>
      <c r="AI732" s="26" t="str">
        <f ca="1">IF(NOTA[[#This Row],[ID_H]]="","",INDEX(NOTA[TANGGAL],MATCH(,INDIRECT(ADDRESS(ROW(NOTA[TANGGAL]),COLUMN(NOTA[TANGGAL]))&amp;":"&amp;ADDRESS(ROW(),COLUMN(NOTA[TANGGAL]))),-1)))</f>
        <v/>
      </c>
      <c r="AJ732" s="26" t="str">
        <f ca="1">IF(NOTA[[#This Row],[ID_H]]="","",INDEX(NOTA[TGL.NOTA],MATCH(,INDIRECT(ADDRESS(ROW(NOTA[TGL.NOTA]),COLUMN(NOTA[TGL.NOTA]))&amp;":"&amp;ADDRESS(ROW(),COLUMN(NOTA[TGL.NOTA]))),-1)))</f>
        <v/>
      </c>
      <c r="AK732" s="26" t="str">
        <f ca="1">IF(NOTA[[#This Row],[ID_H]]="","",INDEX(NOTA[NO.NOTA],MATCH(NOTA[[#This Row],[ID_H]],NOTA[ID_H],0)))</f>
        <v/>
      </c>
      <c r="AL732" s="28" t="str">
        <f ca="1">IF(NOTA[[#This Row],[NAMA BARANG]]="","",INDEX(NOTA[SUPPLIER],MATCH(,INDIRECT(ADDRESS(ROW(NOTA[ID]),COLUMN(NOTA[ID]))&amp;":"&amp;ADDRESS(ROW(),COLUMN(NOTA[ID]))),-1)))</f>
        <v/>
      </c>
      <c r="AM732" s="28" t="str">
        <f ca="1">IF(NOTA[[#This Row],[ID_H]]="","",IF(NOTA[[#This Row],[FAKTUR]]="",INDIRECT(ADDRESS(ROW()-1,COLUMN())),NOTA[[#This Row],[FAKTUR]]))</f>
        <v/>
      </c>
      <c r="AN732" s="25" t="str">
        <f ca="1">IF(NOTA[[#This Row],[ID]]="","",COUNTIF(NOTA[ID_H],NOTA[[#This Row],[ID_H]]))</f>
        <v/>
      </c>
      <c r="AO732" s="25" t="str">
        <f ca="1">IF(NOTA[[#This Row],[TGL.NOTA]]="",IF(NOTA[[#This Row],[SUPPLIER_H]]="","",AO731),MONTH(NOTA[[#This Row],[TGL.NOTA]]))</f>
        <v/>
      </c>
      <c r="AP7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2" s="25"/>
      <c r="AU732" s="25" t="str">
        <f>IF(NOTA[[#This Row],[CONCAT1]]="","",MATCH(NOTA[[#This Row],[CONCAT1]],[3]!db[NB NOTA_C],0))</f>
        <v/>
      </c>
      <c r="AV732" s="25" t="str">
        <f>IF(NOTA[[#This Row],[QTY/ CTN]]="","",TRUE)</f>
        <v/>
      </c>
      <c r="AW732" s="25" t="str">
        <f ca="1">IF(NOTA[[#This Row],[ID_H]]="","",IF(NOTA[[#This Row],[Column3]]=TRUE,NOTA[[#This Row],[QTY/ CTN]],INDEX([3]!db[QTY/ CTN],NOTA[[#This Row],[//DB]])))</f>
        <v/>
      </c>
      <c r="AX7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2" s="25" t="str">
        <f ca="1">IF(NOTA[[#This Row],[ID_H]]="","",MATCH(NOTA[[#This Row],[NB NOTA_C_QTY]],[3]!db[NB NOTA_C_QTY+F],0))</f>
        <v/>
      </c>
      <c r="AZ732" s="38" t="str">
        <f ca="1">IF(NOTA[[#This Row],[NB NOTA_C_QTY]]="","",ROW()-2)</f>
        <v/>
      </c>
    </row>
    <row r="733" spans="1:52" ht="20.100000000000001" customHeight="1">
      <c r="A7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3" s="25" t="str">
        <f ca="1">IF(NOTA[[#This Row],[NAMA BARANG]]="","",INDEX(NOTA[ID],MATCH(,INDIRECT(ADDRESS(ROW(NOTA[ID]),COLUMN(NOTA[ID]))&amp;":"&amp;ADDRESS(ROW(),COLUMN(NOTA[ID]))),-1)))</f>
        <v/>
      </c>
      <c r="E733" s="33"/>
      <c r="H733" s="34"/>
      <c r="Q733" s="29"/>
      <c r="R733" s="35"/>
      <c r="S733" s="36"/>
      <c r="V733" s="37"/>
      <c r="W733" s="32"/>
      <c r="X733" s="37" t="str">
        <f>IF(NOTA[[#This Row],[HARGA/ CTN]]="",NOTA[[#This Row],[JUMLAH_H]],NOTA[[#This Row],[HARGA/ CTN]]*IF(NOTA[[#This Row],[C]]="",0,NOTA[[#This Row],[C]]))</f>
        <v/>
      </c>
      <c r="Y733" s="37" t="str">
        <f>IF(NOTA[[#This Row],[JUMLAH]]="","",NOTA[[#This Row],[JUMLAH]]*NOTA[[#This Row],[DISC 1]])</f>
        <v/>
      </c>
      <c r="Z733" s="37" t="str">
        <f>IF(NOTA[[#This Row],[JUMLAH]]="","",(NOTA[[#This Row],[JUMLAH]]-NOTA[[#This Row],[DISC 1-]])*NOTA[[#This Row],[DISC 2]])</f>
        <v/>
      </c>
      <c r="AA733" s="37" t="str">
        <f>IF(NOTA[[#This Row],[JUMLAH]]="","",(NOTA[[#This Row],[JUMLAH]]-NOTA[[#This Row],[DISC 1-]]-NOTA[[#This Row],[DISC 2-]])*NOTA[[#This Row],[DISC 3]])</f>
        <v/>
      </c>
      <c r="AB733" s="37" t="str">
        <f>IF(NOTA[[#This Row],[JUMLAH]]="","",NOTA[[#This Row],[DISC 1-]]+NOTA[[#This Row],[DISC 2-]]+NOTA[[#This Row],[DISC 3-]])</f>
        <v/>
      </c>
      <c r="AC733" s="37" t="str">
        <f>IF(NOTA[[#This Row],[JUMLAH]]="","",NOTA[[#This Row],[JUMLAH]]-NOTA[[#This Row],[DISC]])</f>
        <v/>
      </c>
      <c r="AD733" s="37"/>
      <c r="AE7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3" s="37" t="str">
        <f>IF(OR(NOTA[[#This Row],[QTY]]="",NOTA[[#This Row],[HARGA SATUAN]]="",),"",NOTA[[#This Row],[QTY]]*NOTA[[#This Row],[HARGA SATUAN]])</f>
        <v/>
      </c>
      <c r="AI733" s="26" t="str">
        <f ca="1">IF(NOTA[[#This Row],[ID_H]]="","",INDEX(NOTA[TANGGAL],MATCH(,INDIRECT(ADDRESS(ROW(NOTA[TANGGAL]),COLUMN(NOTA[TANGGAL]))&amp;":"&amp;ADDRESS(ROW(),COLUMN(NOTA[TANGGAL]))),-1)))</f>
        <v/>
      </c>
      <c r="AJ733" s="26" t="str">
        <f ca="1">IF(NOTA[[#This Row],[ID_H]]="","",INDEX(NOTA[TGL.NOTA],MATCH(,INDIRECT(ADDRESS(ROW(NOTA[TGL.NOTA]),COLUMN(NOTA[TGL.NOTA]))&amp;":"&amp;ADDRESS(ROW(),COLUMN(NOTA[TGL.NOTA]))),-1)))</f>
        <v/>
      </c>
      <c r="AK733" s="26" t="str">
        <f ca="1">IF(NOTA[[#This Row],[ID_H]]="","",INDEX(NOTA[NO.NOTA],MATCH(NOTA[[#This Row],[ID_H]],NOTA[ID_H],0)))</f>
        <v/>
      </c>
      <c r="AL733" s="28" t="str">
        <f ca="1">IF(NOTA[[#This Row],[NAMA BARANG]]="","",INDEX(NOTA[SUPPLIER],MATCH(,INDIRECT(ADDRESS(ROW(NOTA[ID]),COLUMN(NOTA[ID]))&amp;":"&amp;ADDRESS(ROW(),COLUMN(NOTA[ID]))),-1)))</f>
        <v/>
      </c>
      <c r="AM733" s="28" t="str">
        <f ca="1">IF(NOTA[[#This Row],[ID_H]]="","",IF(NOTA[[#This Row],[FAKTUR]]="",INDIRECT(ADDRESS(ROW()-1,COLUMN())),NOTA[[#This Row],[FAKTUR]]))</f>
        <v/>
      </c>
      <c r="AN733" s="25" t="str">
        <f ca="1">IF(NOTA[[#This Row],[ID]]="","",COUNTIF(NOTA[ID_H],NOTA[[#This Row],[ID_H]]))</f>
        <v/>
      </c>
      <c r="AO733" s="25" t="str">
        <f ca="1">IF(NOTA[[#This Row],[TGL.NOTA]]="",IF(NOTA[[#This Row],[SUPPLIER_H]]="","",AO732),MONTH(NOTA[[#This Row],[TGL.NOTA]]))</f>
        <v/>
      </c>
      <c r="AP7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3" s="25"/>
      <c r="AU733" s="25" t="str">
        <f>IF(NOTA[[#This Row],[CONCAT1]]="","",MATCH(NOTA[[#This Row],[CONCAT1]],[3]!db[NB NOTA_C],0))</f>
        <v/>
      </c>
      <c r="AV733" s="25" t="str">
        <f>IF(NOTA[[#This Row],[QTY/ CTN]]="","",TRUE)</f>
        <v/>
      </c>
      <c r="AW733" s="25" t="str">
        <f ca="1">IF(NOTA[[#This Row],[ID_H]]="","",IF(NOTA[[#This Row],[Column3]]=TRUE,NOTA[[#This Row],[QTY/ CTN]],INDEX([3]!db[QTY/ CTN],NOTA[[#This Row],[//DB]])))</f>
        <v/>
      </c>
      <c r="AX7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3" s="25" t="str">
        <f ca="1">IF(NOTA[[#This Row],[ID_H]]="","",MATCH(NOTA[[#This Row],[NB NOTA_C_QTY]],[3]!db[NB NOTA_C_QTY+F],0))</f>
        <v/>
      </c>
      <c r="AZ733" s="38" t="str">
        <f ca="1">IF(NOTA[[#This Row],[NB NOTA_C_QTY]]="","",ROW()-2)</f>
        <v/>
      </c>
    </row>
    <row r="734" spans="1:52" ht="20.100000000000001" customHeight="1">
      <c r="A7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4" s="25" t="str">
        <f ca="1">IF(NOTA[[#This Row],[NAMA BARANG]]="","",INDEX(NOTA[ID],MATCH(,INDIRECT(ADDRESS(ROW(NOTA[ID]),COLUMN(NOTA[ID]))&amp;":"&amp;ADDRESS(ROW(),COLUMN(NOTA[ID]))),-1)))</f>
        <v/>
      </c>
      <c r="E734" s="33"/>
      <c r="H734" s="34"/>
      <c r="Q734" s="29"/>
      <c r="R734" s="35"/>
      <c r="S734" s="36"/>
      <c r="V734" s="37"/>
      <c r="W734" s="32"/>
      <c r="X734" s="37" t="str">
        <f>IF(NOTA[[#This Row],[HARGA/ CTN]]="",NOTA[[#This Row],[JUMLAH_H]],NOTA[[#This Row],[HARGA/ CTN]]*IF(NOTA[[#This Row],[C]]="",0,NOTA[[#This Row],[C]]))</f>
        <v/>
      </c>
      <c r="Y734" s="37" t="str">
        <f>IF(NOTA[[#This Row],[JUMLAH]]="","",NOTA[[#This Row],[JUMLAH]]*NOTA[[#This Row],[DISC 1]])</f>
        <v/>
      </c>
      <c r="Z734" s="37" t="str">
        <f>IF(NOTA[[#This Row],[JUMLAH]]="","",(NOTA[[#This Row],[JUMLAH]]-NOTA[[#This Row],[DISC 1-]])*NOTA[[#This Row],[DISC 2]])</f>
        <v/>
      </c>
      <c r="AA734" s="37" t="str">
        <f>IF(NOTA[[#This Row],[JUMLAH]]="","",(NOTA[[#This Row],[JUMLAH]]-NOTA[[#This Row],[DISC 1-]]-NOTA[[#This Row],[DISC 2-]])*NOTA[[#This Row],[DISC 3]])</f>
        <v/>
      </c>
      <c r="AB734" s="37" t="str">
        <f>IF(NOTA[[#This Row],[JUMLAH]]="","",NOTA[[#This Row],[DISC 1-]]+NOTA[[#This Row],[DISC 2-]]+NOTA[[#This Row],[DISC 3-]])</f>
        <v/>
      </c>
      <c r="AC734" s="37" t="str">
        <f>IF(NOTA[[#This Row],[JUMLAH]]="","",NOTA[[#This Row],[JUMLAH]]-NOTA[[#This Row],[DISC]])</f>
        <v/>
      </c>
      <c r="AD734" s="37"/>
      <c r="AE7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4" s="37" t="str">
        <f>IF(OR(NOTA[[#This Row],[QTY]]="",NOTA[[#This Row],[HARGA SATUAN]]="",),"",NOTA[[#This Row],[QTY]]*NOTA[[#This Row],[HARGA SATUAN]])</f>
        <v/>
      </c>
      <c r="AI734" s="26" t="str">
        <f ca="1">IF(NOTA[[#This Row],[ID_H]]="","",INDEX(NOTA[TANGGAL],MATCH(,INDIRECT(ADDRESS(ROW(NOTA[TANGGAL]),COLUMN(NOTA[TANGGAL]))&amp;":"&amp;ADDRESS(ROW(),COLUMN(NOTA[TANGGAL]))),-1)))</f>
        <v/>
      </c>
      <c r="AJ734" s="26" t="str">
        <f ca="1">IF(NOTA[[#This Row],[ID_H]]="","",INDEX(NOTA[TGL.NOTA],MATCH(,INDIRECT(ADDRESS(ROW(NOTA[TGL.NOTA]),COLUMN(NOTA[TGL.NOTA]))&amp;":"&amp;ADDRESS(ROW(),COLUMN(NOTA[TGL.NOTA]))),-1)))</f>
        <v/>
      </c>
      <c r="AK734" s="26" t="str">
        <f ca="1">IF(NOTA[[#This Row],[ID_H]]="","",INDEX(NOTA[NO.NOTA],MATCH(NOTA[[#This Row],[ID_H]],NOTA[ID_H],0)))</f>
        <v/>
      </c>
      <c r="AL734" s="28" t="str">
        <f ca="1">IF(NOTA[[#This Row],[NAMA BARANG]]="","",INDEX(NOTA[SUPPLIER],MATCH(,INDIRECT(ADDRESS(ROW(NOTA[ID]),COLUMN(NOTA[ID]))&amp;":"&amp;ADDRESS(ROW(),COLUMN(NOTA[ID]))),-1)))</f>
        <v/>
      </c>
      <c r="AM734" s="28" t="str">
        <f ca="1">IF(NOTA[[#This Row],[ID_H]]="","",IF(NOTA[[#This Row],[FAKTUR]]="",INDIRECT(ADDRESS(ROW()-1,COLUMN())),NOTA[[#This Row],[FAKTUR]]))</f>
        <v/>
      </c>
      <c r="AN734" s="25" t="str">
        <f ca="1">IF(NOTA[[#This Row],[ID]]="","",COUNTIF(NOTA[ID_H],NOTA[[#This Row],[ID_H]]))</f>
        <v/>
      </c>
      <c r="AO734" s="25" t="str">
        <f ca="1">IF(NOTA[[#This Row],[TGL.NOTA]]="",IF(NOTA[[#This Row],[SUPPLIER_H]]="","",AO733),MONTH(NOTA[[#This Row],[TGL.NOTA]]))</f>
        <v/>
      </c>
      <c r="AP7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4" s="25"/>
      <c r="AU734" s="25" t="str">
        <f>IF(NOTA[[#This Row],[CONCAT1]]="","",MATCH(NOTA[[#This Row],[CONCAT1]],[3]!db[NB NOTA_C],0))</f>
        <v/>
      </c>
      <c r="AV734" s="25" t="str">
        <f>IF(NOTA[[#This Row],[QTY/ CTN]]="","",TRUE)</f>
        <v/>
      </c>
      <c r="AW734" s="25" t="str">
        <f ca="1">IF(NOTA[[#This Row],[ID_H]]="","",IF(NOTA[[#This Row],[Column3]]=TRUE,NOTA[[#This Row],[QTY/ CTN]],INDEX([3]!db[QTY/ CTN],NOTA[[#This Row],[//DB]])))</f>
        <v/>
      </c>
      <c r="AX7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4" s="25" t="str">
        <f ca="1">IF(NOTA[[#This Row],[ID_H]]="","",MATCH(NOTA[[#This Row],[NB NOTA_C_QTY]],[3]!db[NB NOTA_C_QTY+F],0))</f>
        <v/>
      </c>
      <c r="AZ734" s="38" t="str">
        <f ca="1">IF(NOTA[[#This Row],[NB NOTA_C_QTY]]="","",ROW()-2)</f>
        <v/>
      </c>
    </row>
    <row r="735" spans="1:52" ht="20.100000000000001" customHeight="1">
      <c r="A7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5" s="25" t="str">
        <f ca="1">IF(NOTA[[#This Row],[NAMA BARANG]]="","",INDEX(NOTA[ID],MATCH(,INDIRECT(ADDRESS(ROW(NOTA[ID]),COLUMN(NOTA[ID]))&amp;":"&amp;ADDRESS(ROW(),COLUMN(NOTA[ID]))),-1)))</f>
        <v/>
      </c>
      <c r="E735" s="33"/>
      <c r="H735" s="34"/>
      <c r="Q735" s="29"/>
      <c r="R735" s="35"/>
      <c r="S735" s="36"/>
      <c r="V735" s="37"/>
      <c r="W735" s="32"/>
      <c r="X735" s="37" t="str">
        <f>IF(NOTA[[#This Row],[HARGA/ CTN]]="",NOTA[[#This Row],[JUMLAH_H]],NOTA[[#This Row],[HARGA/ CTN]]*IF(NOTA[[#This Row],[C]]="",0,NOTA[[#This Row],[C]]))</f>
        <v/>
      </c>
      <c r="Y735" s="37" t="str">
        <f>IF(NOTA[[#This Row],[JUMLAH]]="","",NOTA[[#This Row],[JUMLAH]]*NOTA[[#This Row],[DISC 1]])</f>
        <v/>
      </c>
      <c r="Z735" s="37" t="str">
        <f>IF(NOTA[[#This Row],[JUMLAH]]="","",(NOTA[[#This Row],[JUMLAH]]-NOTA[[#This Row],[DISC 1-]])*NOTA[[#This Row],[DISC 2]])</f>
        <v/>
      </c>
      <c r="AA735" s="37" t="str">
        <f>IF(NOTA[[#This Row],[JUMLAH]]="","",(NOTA[[#This Row],[JUMLAH]]-NOTA[[#This Row],[DISC 1-]]-NOTA[[#This Row],[DISC 2-]])*NOTA[[#This Row],[DISC 3]])</f>
        <v/>
      </c>
      <c r="AB735" s="37" t="str">
        <f>IF(NOTA[[#This Row],[JUMLAH]]="","",NOTA[[#This Row],[DISC 1-]]+NOTA[[#This Row],[DISC 2-]]+NOTA[[#This Row],[DISC 3-]])</f>
        <v/>
      </c>
      <c r="AC735" s="37" t="str">
        <f>IF(NOTA[[#This Row],[JUMLAH]]="","",NOTA[[#This Row],[JUMLAH]]-NOTA[[#This Row],[DISC]])</f>
        <v/>
      </c>
      <c r="AD735" s="37"/>
      <c r="AE7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5" s="37" t="str">
        <f>IF(OR(NOTA[[#This Row],[QTY]]="",NOTA[[#This Row],[HARGA SATUAN]]="",),"",NOTA[[#This Row],[QTY]]*NOTA[[#This Row],[HARGA SATUAN]])</f>
        <v/>
      </c>
      <c r="AI735" s="26" t="str">
        <f ca="1">IF(NOTA[[#This Row],[ID_H]]="","",INDEX(NOTA[TANGGAL],MATCH(,INDIRECT(ADDRESS(ROW(NOTA[TANGGAL]),COLUMN(NOTA[TANGGAL]))&amp;":"&amp;ADDRESS(ROW(),COLUMN(NOTA[TANGGAL]))),-1)))</f>
        <v/>
      </c>
      <c r="AJ735" s="26" t="str">
        <f ca="1">IF(NOTA[[#This Row],[ID_H]]="","",INDEX(NOTA[TGL.NOTA],MATCH(,INDIRECT(ADDRESS(ROW(NOTA[TGL.NOTA]),COLUMN(NOTA[TGL.NOTA]))&amp;":"&amp;ADDRESS(ROW(),COLUMN(NOTA[TGL.NOTA]))),-1)))</f>
        <v/>
      </c>
      <c r="AK735" s="26" t="str">
        <f ca="1">IF(NOTA[[#This Row],[ID_H]]="","",INDEX(NOTA[NO.NOTA],MATCH(NOTA[[#This Row],[ID_H]],NOTA[ID_H],0)))</f>
        <v/>
      </c>
      <c r="AL735" s="28" t="str">
        <f ca="1">IF(NOTA[[#This Row],[NAMA BARANG]]="","",INDEX(NOTA[SUPPLIER],MATCH(,INDIRECT(ADDRESS(ROW(NOTA[ID]),COLUMN(NOTA[ID]))&amp;":"&amp;ADDRESS(ROW(),COLUMN(NOTA[ID]))),-1)))</f>
        <v/>
      </c>
      <c r="AM735" s="28" t="str">
        <f ca="1">IF(NOTA[[#This Row],[ID_H]]="","",IF(NOTA[[#This Row],[FAKTUR]]="",INDIRECT(ADDRESS(ROW()-1,COLUMN())),NOTA[[#This Row],[FAKTUR]]))</f>
        <v/>
      </c>
      <c r="AN735" s="25" t="str">
        <f ca="1">IF(NOTA[[#This Row],[ID]]="","",COUNTIF(NOTA[ID_H],NOTA[[#This Row],[ID_H]]))</f>
        <v/>
      </c>
      <c r="AO735" s="25" t="str">
        <f ca="1">IF(NOTA[[#This Row],[TGL.NOTA]]="",IF(NOTA[[#This Row],[SUPPLIER_H]]="","",AO734),MONTH(NOTA[[#This Row],[TGL.NOTA]]))</f>
        <v/>
      </c>
      <c r="AP7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5" s="25"/>
      <c r="AU735" s="25" t="str">
        <f>IF(NOTA[[#This Row],[CONCAT1]]="","",MATCH(NOTA[[#This Row],[CONCAT1]],[3]!db[NB NOTA_C],0))</f>
        <v/>
      </c>
      <c r="AV735" s="25" t="str">
        <f>IF(NOTA[[#This Row],[QTY/ CTN]]="","",TRUE)</f>
        <v/>
      </c>
      <c r="AW735" s="25" t="str">
        <f ca="1">IF(NOTA[[#This Row],[ID_H]]="","",IF(NOTA[[#This Row],[Column3]]=TRUE,NOTA[[#This Row],[QTY/ CTN]],INDEX([3]!db[QTY/ CTN],NOTA[[#This Row],[//DB]])))</f>
        <v/>
      </c>
      <c r="AX7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5" s="25" t="str">
        <f ca="1">IF(NOTA[[#This Row],[ID_H]]="","",MATCH(NOTA[[#This Row],[NB NOTA_C_QTY]],[3]!db[NB NOTA_C_QTY+F],0))</f>
        <v/>
      </c>
      <c r="AZ735" s="38" t="str">
        <f ca="1">IF(NOTA[[#This Row],[NB NOTA_C_QTY]]="","",ROW()-2)</f>
        <v/>
      </c>
    </row>
    <row r="736" spans="1:52" ht="20.100000000000001" customHeight="1">
      <c r="A7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6" s="25" t="str">
        <f ca="1">IF(NOTA[[#This Row],[NAMA BARANG]]="","",INDEX(NOTA[ID],MATCH(,INDIRECT(ADDRESS(ROW(NOTA[ID]),COLUMN(NOTA[ID]))&amp;":"&amp;ADDRESS(ROW(),COLUMN(NOTA[ID]))),-1)))</f>
        <v/>
      </c>
      <c r="E736" s="33"/>
      <c r="H736" s="34"/>
      <c r="Q736" s="29"/>
      <c r="R736" s="35"/>
      <c r="S736" s="36"/>
      <c r="V736" s="37"/>
      <c r="W736" s="32"/>
      <c r="X736" s="37" t="str">
        <f>IF(NOTA[[#This Row],[HARGA/ CTN]]="",NOTA[[#This Row],[JUMLAH_H]],NOTA[[#This Row],[HARGA/ CTN]]*IF(NOTA[[#This Row],[C]]="",0,NOTA[[#This Row],[C]]))</f>
        <v/>
      </c>
      <c r="Y736" s="37" t="str">
        <f>IF(NOTA[[#This Row],[JUMLAH]]="","",NOTA[[#This Row],[JUMLAH]]*NOTA[[#This Row],[DISC 1]])</f>
        <v/>
      </c>
      <c r="Z736" s="37" t="str">
        <f>IF(NOTA[[#This Row],[JUMLAH]]="","",(NOTA[[#This Row],[JUMLAH]]-NOTA[[#This Row],[DISC 1-]])*NOTA[[#This Row],[DISC 2]])</f>
        <v/>
      </c>
      <c r="AA736" s="37" t="str">
        <f>IF(NOTA[[#This Row],[JUMLAH]]="","",(NOTA[[#This Row],[JUMLAH]]-NOTA[[#This Row],[DISC 1-]]-NOTA[[#This Row],[DISC 2-]])*NOTA[[#This Row],[DISC 3]])</f>
        <v/>
      </c>
      <c r="AB736" s="37" t="str">
        <f>IF(NOTA[[#This Row],[JUMLAH]]="","",NOTA[[#This Row],[DISC 1-]]+NOTA[[#This Row],[DISC 2-]]+NOTA[[#This Row],[DISC 3-]])</f>
        <v/>
      </c>
      <c r="AC736" s="37" t="str">
        <f>IF(NOTA[[#This Row],[JUMLAH]]="","",NOTA[[#This Row],[JUMLAH]]-NOTA[[#This Row],[DISC]])</f>
        <v/>
      </c>
      <c r="AD736" s="37"/>
      <c r="AE7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6" s="37" t="str">
        <f>IF(OR(NOTA[[#This Row],[QTY]]="",NOTA[[#This Row],[HARGA SATUAN]]="",),"",NOTA[[#This Row],[QTY]]*NOTA[[#This Row],[HARGA SATUAN]])</f>
        <v/>
      </c>
      <c r="AI736" s="26" t="str">
        <f ca="1">IF(NOTA[[#This Row],[ID_H]]="","",INDEX(NOTA[TANGGAL],MATCH(,INDIRECT(ADDRESS(ROW(NOTA[TANGGAL]),COLUMN(NOTA[TANGGAL]))&amp;":"&amp;ADDRESS(ROW(),COLUMN(NOTA[TANGGAL]))),-1)))</f>
        <v/>
      </c>
      <c r="AJ736" s="26" t="str">
        <f ca="1">IF(NOTA[[#This Row],[ID_H]]="","",INDEX(NOTA[TGL.NOTA],MATCH(,INDIRECT(ADDRESS(ROW(NOTA[TGL.NOTA]),COLUMN(NOTA[TGL.NOTA]))&amp;":"&amp;ADDRESS(ROW(),COLUMN(NOTA[TGL.NOTA]))),-1)))</f>
        <v/>
      </c>
      <c r="AK736" s="26" t="str">
        <f ca="1">IF(NOTA[[#This Row],[ID_H]]="","",INDEX(NOTA[NO.NOTA],MATCH(NOTA[[#This Row],[ID_H]],NOTA[ID_H],0)))</f>
        <v/>
      </c>
      <c r="AL736" s="28" t="str">
        <f ca="1">IF(NOTA[[#This Row],[NAMA BARANG]]="","",INDEX(NOTA[SUPPLIER],MATCH(,INDIRECT(ADDRESS(ROW(NOTA[ID]),COLUMN(NOTA[ID]))&amp;":"&amp;ADDRESS(ROW(),COLUMN(NOTA[ID]))),-1)))</f>
        <v/>
      </c>
      <c r="AM736" s="28" t="str">
        <f ca="1">IF(NOTA[[#This Row],[ID_H]]="","",IF(NOTA[[#This Row],[FAKTUR]]="",INDIRECT(ADDRESS(ROW()-1,COLUMN())),NOTA[[#This Row],[FAKTUR]]))</f>
        <v/>
      </c>
      <c r="AN736" s="25" t="str">
        <f ca="1">IF(NOTA[[#This Row],[ID]]="","",COUNTIF(NOTA[ID_H],NOTA[[#This Row],[ID_H]]))</f>
        <v/>
      </c>
      <c r="AO736" s="25" t="str">
        <f ca="1">IF(NOTA[[#This Row],[TGL.NOTA]]="",IF(NOTA[[#This Row],[SUPPLIER_H]]="","",AO735),MONTH(NOTA[[#This Row],[TGL.NOTA]]))</f>
        <v/>
      </c>
      <c r="AP7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6" s="25"/>
      <c r="AU736" s="25" t="str">
        <f>IF(NOTA[[#This Row],[CONCAT1]]="","",MATCH(NOTA[[#This Row],[CONCAT1]],[3]!db[NB NOTA_C],0))</f>
        <v/>
      </c>
      <c r="AV736" s="25" t="str">
        <f>IF(NOTA[[#This Row],[QTY/ CTN]]="","",TRUE)</f>
        <v/>
      </c>
      <c r="AW736" s="25" t="str">
        <f ca="1">IF(NOTA[[#This Row],[ID_H]]="","",IF(NOTA[[#This Row],[Column3]]=TRUE,NOTA[[#This Row],[QTY/ CTN]],INDEX([3]!db[QTY/ CTN],NOTA[[#This Row],[//DB]])))</f>
        <v/>
      </c>
      <c r="AX7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6" s="25" t="str">
        <f ca="1">IF(NOTA[[#This Row],[ID_H]]="","",MATCH(NOTA[[#This Row],[NB NOTA_C_QTY]],[3]!db[NB NOTA_C_QTY+F],0))</f>
        <v/>
      </c>
      <c r="AZ736" s="38" t="str">
        <f ca="1">IF(NOTA[[#This Row],[NB NOTA_C_QTY]]="","",ROW()-2)</f>
        <v/>
      </c>
    </row>
    <row r="737" spans="1:52" ht="20.100000000000001" customHeight="1">
      <c r="A7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7" s="25" t="str">
        <f ca="1">IF(NOTA[[#This Row],[NAMA BARANG]]="","",INDEX(NOTA[ID],MATCH(,INDIRECT(ADDRESS(ROW(NOTA[ID]),COLUMN(NOTA[ID]))&amp;":"&amp;ADDRESS(ROW(),COLUMN(NOTA[ID]))),-1)))</f>
        <v/>
      </c>
      <c r="E737" s="33"/>
      <c r="H737" s="34"/>
      <c r="Q737" s="29"/>
      <c r="R737" s="35"/>
      <c r="S737" s="36"/>
      <c r="V737" s="37"/>
      <c r="W737" s="32"/>
      <c r="X737" s="37" t="str">
        <f>IF(NOTA[[#This Row],[HARGA/ CTN]]="",NOTA[[#This Row],[JUMLAH_H]],NOTA[[#This Row],[HARGA/ CTN]]*IF(NOTA[[#This Row],[C]]="",0,NOTA[[#This Row],[C]]))</f>
        <v/>
      </c>
      <c r="Y737" s="37" t="str">
        <f>IF(NOTA[[#This Row],[JUMLAH]]="","",NOTA[[#This Row],[JUMLAH]]*NOTA[[#This Row],[DISC 1]])</f>
        <v/>
      </c>
      <c r="Z737" s="37" t="str">
        <f>IF(NOTA[[#This Row],[JUMLAH]]="","",(NOTA[[#This Row],[JUMLAH]]-NOTA[[#This Row],[DISC 1-]])*NOTA[[#This Row],[DISC 2]])</f>
        <v/>
      </c>
      <c r="AA737" s="37" t="str">
        <f>IF(NOTA[[#This Row],[JUMLAH]]="","",(NOTA[[#This Row],[JUMLAH]]-NOTA[[#This Row],[DISC 1-]]-NOTA[[#This Row],[DISC 2-]])*NOTA[[#This Row],[DISC 3]])</f>
        <v/>
      </c>
      <c r="AB737" s="37" t="str">
        <f>IF(NOTA[[#This Row],[JUMLAH]]="","",NOTA[[#This Row],[DISC 1-]]+NOTA[[#This Row],[DISC 2-]]+NOTA[[#This Row],[DISC 3-]])</f>
        <v/>
      </c>
      <c r="AC737" s="37" t="str">
        <f>IF(NOTA[[#This Row],[JUMLAH]]="","",NOTA[[#This Row],[JUMLAH]]-NOTA[[#This Row],[DISC]])</f>
        <v/>
      </c>
      <c r="AD737" s="37"/>
      <c r="AE7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7" s="37" t="str">
        <f>IF(OR(NOTA[[#This Row],[QTY]]="",NOTA[[#This Row],[HARGA SATUAN]]="",),"",NOTA[[#This Row],[QTY]]*NOTA[[#This Row],[HARGA SATUAN]])</f>
        <v/>
      </c>
      <c r="AI737" s="26" t="str">
        <f ca="1">IF(NOTA[[#This Row],[ID_H]]="","",INDEX(NOTA[TANGGAL],MATCH(,INDIRECT(ADDRESS(ROW(NOTA[TANGGAL]),COLUMN(NOTA[TANGGAL]))&amp;":"&amp;ADDRESS(ROW(),COLUMN(NOTA[TANGGAL]))),-1)))</f>
        <v/>
      </c>
      <c r="AJ737" s="26" t="str">
        <f ca="1">IF(NOTA[[#This Row],[ID_H]]="","",INDEX(NOTA[TGL.NOTA],MATCH(,INDIRECT(ADDRESS(ROW(NOTA[TGL.NOTA]),COLUMN(NOTA[TGL.NOTA]))&amp;":"&amp;ADDRESS(ROW(),COLUMN(NOTA[TGL.NOTA]))),-1)))</f>
        <v/>
      </c>
      <c r="AK737" s="26" t="str">
        <f ca="1">IF(NOTA[[#This Row],[ID_H]]="","",INDEX(NOTA[NO.NOTA],MATCH(NOTA[[#This Row],[ID_H]],NOTA[ID_H],0)))</f>
        <v/>
      </c>
      <c r="AL737" s="28" t="str">
        <f ca="1">IF(NOTA[[#This Row],[NAMA BARANG]]="","",INDEX(NOTA[SUPPLIER],MATCH(,INDIRECT(ADDRESS(ROW(NOTA[ID]),COLUMN(NOTA[ID]))&amp;":"&amp;ADDRESS(ROW(),COLUMN(NOTA[ID]))),-1)))</f>
        <v/>
      </c>
      <c r="AM737" s="28" t="str">
        <f ca="1">IF(NOTA[[#This Row],[ID_H]]="","",IF(NOTA[[#This Row],[FAKTUR]]="",INDIRECT(ADDRESS(ROW()-1,COLUMN())),NOTA[[#This Row],[FAKTUR]]))</f>
        <v/>
      </c>
      <c r="AN737" s="25" t="str">
        <f ca="1">IF(NOTA[[#This Row],[ID]]="","",COUNTIF(NOTA[ID_H],NOTA[[#This Row],[ID_H]]))</f>
        <v/>
      </c>
      <c r="AO737" s="25" t="str">
        <f ca="1">IF(NOTA[[#This Row],[TGL.NOTA]]="",IF(NOTA[[#This Row],[SUPPLIER_H]]="","",AO736),MONTH(NOTA[[#This Row],[TGL.NOTA]]))</f>
        <v/>
      </c>
      <c r="AP7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7" s="25"/>
      <c r="AU737" s="25" t="str">
        <f>IF(NOTA[[#This Row],[CONCAT1]]="","",MATCH(NOTA[[#This Row],[CONCAT1]],[3]!db[NB NOTA_C],0))</f>
        <v/>
      </c>
      <c r="AV737" s="25" t="str">
        <f>IF(NOTA[[#This Row],[QTY/ CTN]]="","",TRUE)</f>
        <v/>
      </c>
      <c r="AW737" s="25" t="str">
        <f ca="1">IF(NOTA[[#This Row],[ID_H]]="","",IF(NOTA[[#This Row],[Column3]]=TRUE,NOTA[[#This Row],[QTY/ CTN]],INDEX([3]!db[QTY/ CTN],NOTA[[#This Row],[//DB]])))</f>
        <v/>
      </c>
      <c r="AX7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7" s="25" t="str">
        <f ca="1">IF(NOTA[[#This Row],[ID_H]]="","",MATCH(NOTA[[#This Row],[NB NOTA_C_QTY]],[3]!db[NB NOTA_C_QTY+F],0))</f>
        <v/>
      </c>
      <c r="AZ737" s="38" t="str">
        <f ca="1">IF(NOTA[[#This Row],[NB NOTA_C_QTY]]="","",ROW()-2)</f>
        <v/>
      </c>
    </row>
    <row r="738" spans="1:52" ht="20.100000000000001" customHeight="1">
      <c r="A7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8" s="25" t="str">
        <f ca="1">IF(NOTA[[#This Row],[NAMA BARANG]]="","",INDEX(NOTA[ID],MATCH(,INDIRECT(ADDRESS(ROW(NOTA[ID]),COLUMN(NOTA[ID]))&amp;":"&amp;ADDRESS(ROW(),COLUMN(NOTA[ID]))),-1)))</f>
        <v/>
      </c>
      <c r="E738" s="33"/>
      <c r="H738" s="34"/>
      <c r="Q738" s="29"/>
      <c r="R738" s="35"/>
      <c r="S738" s="36"/>
      <c r="V738" s="37"/>
      <c r="W738" s="32"/>
      <c r="X738" s="37" t="str">
        <f>IF(NOTA[[#This Row],[HARGA/ CTN]]="",NOTA[[#This Row],[JUMLAH_H]],NOTA[[#This Row],[HARGA/ CTN]]*IF(NOTA[[#This Row],[C]]="",0,NOTA[[#This Row],[C]]))</f>
        <v/>
      </c>
      <c r="Y738" s="37" t="str">
        <f>IF(NOTA[[#This Row],[JUMLAH]]="","",NOTA[[#This Row],[JUMLAH]]*NOTA[[#This Row],[DISC 1]])</f>
        <v/>
      </c>
      <c r="Z738" s="37" t="str">
        <f>IF(NOTA[[#This Row],[JUMLAH]]="","",(NOTA[[#This Row],[JUMLAH]]-NOTA[[#This Row],[DISC 1-]])*NOTA[[#This Row],[DISC 2]])</f>
        <v/>
      </c>
      <c r="AA738" s="37" t="str">
        <f>IF(NOTA[[#This Row],[JUMLAH]]="","",(NOTA[[#This Row],[JUMLAH]]-NOTA[[#This Row],[DISC 1-]]-NOTA[[#This Row],[DISC 2-]])*NOTA[[#This Row],[DISC 3]])</f>
        <v/>
      </c>
      <c r="AB738" s="37" t="str">
        <f>IF(NOTA[[#This Row],[JUMLAH]]="","",NOTA[[#This Row],[DISC 1-]]+NOTA[[#This Row],[DISC 2-]]+NOTA[[#This Row],[DISC 3-]])</f>
        <v/>
      </c>
      <c r="AC738" s="37" t="str">
        <f>IF(NOTA[[#This Row],[JUMLAH]]="","",NOTA[[#This Row],[JUMLAH]]-NOTA[[#This Row],[DISC]])</f>
        <v/>
      </c>
      <c r="AD738" s="37"/>
      <c r="AE7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8" s="37" t="str">
        <f>IF(OR(NOTA[[#This Row],[QTY]]="",NOTA[[#This Row],[HARGA SATUAN]]="",),"",NOTA[[#This Row],[QTY]]*NOTA[[#This Row],[HARGA SATUAN]])</f>
        <v/>
      </c>
      <c r="AI738" s="26" t="str">
        <f ca="1">IF(NOTA[[#This Row],[ID_H]]="","",INDEX(NOTA[TANGGAL],MATCH(,INDIRECT(ADDRESS(ROW(NOTA[TANGGAL]),COLUMN(NOTA[TANGGAL]))&amp;":"&amp;ADDRESS(ROW(),COLUMN(NOTA[TANGGAL]))),-1)))</f>
        <v/>
      </c>
      <c r="AJ738" s="26" t="str">
        <f ca="1">IF(NOTA[[#This Row],[ID_H]]="","",INDEX(NOTA[TGL.NOTA],MATCH(,INDIRECT(ADDRESS(ROW(NOTA[TGL.NOTA]),COLUMN(NOTA[TGL.NOTA]))&amp;":"&amp;ADDRESS(ROW(),COLUMN(NOTA[TGL.NOTA]))),-1)))</f>
        <v/>
      </c>
      <c r="AK738" s="26" t="str">
        <f ca="1">IF(NOTA[[#This Row],[ID_H]]="","",INDEX(NOTA[NO.NOTA],MATCH(NOTA[[#This Row],[ID_H]],NOTA[ID_H],0)))</f>
        <v/>
      </c>
      <c r="AL738" s="28" t="str">
        <f ca="1">IF(NOTA[[#This Row],[NAMA BARANG]]="","",INDEX(NOTA[SUPPLIER],MATCH(,INDIRECT(ADDRESS(ROW(NOTA[ID]),COLUMN(NOTA[ID]))&amp;":"&amp;ADDRESS(ROW(),COLUMN(NOTA[ID]))),-1)))</f>
        <v/>
      </c>
      <c r="AM738" s="28" t="str">
        <f ca="1">IF(NOTA[[#This Row],[ID_H]]="","",IF(NOTA[[#This Row],[FAKTUR]]="",INDIRECT(ADDRESS(ROW()-1,COLUMN())),NOTA[[#This Row],[FAKTUR]]))</f>
        <v/>
      </c>
      <c r="AN738" s="25" t="str">
        <f ca="1">IF(NOTA[[#This Row],[ID]]="","",COUNTIF(NOTA[ID_H],NOTA[[#This Row],[ID_H]]))</f>
        <v/>
      </c>
      <c r="AO738" s="25" t="str">
        <f ca="1">IF(NOTA[[#This Row],[TGL.NOTA]]="",IF(NOTA[[#This Row],[SUPPLIER_H]]="","",AO737),MONTH(NOTA[[#This Row],[TGL.NOTA]]))</f>
        <v/>
      </c>
      <c r="AP7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8" s="25"/>
      <c r="AU738" s="25" t="str">
        <f>IF(NOTA[[#This Row],[CONCAT1]]="","",MATCH(NOTA[[#This Row],[CONCAT1]],[3]!db[NB NOTA_C],0))</f>
        <v/>
      </c>
      <c r="AV738" s="25" t="str">
        <f>IF(NOTA[[#This Row],[QTY/ CTN]]="","",TRUE)</f>
        <v/>
      </c>
      <c r="AW738" s="25" t="str">
        <f ca="1">IF(NOTA[[#This Row],[ID_H]]="","",IF(NOTA[[#This Row],[Column3]]=TRUE,NOTA[[#This Row],[QTY/ CTN]],INDEX([3]!db[QTY/ CTN],NOTA[[#This Row],[//DB]])))</f>
        <v/>
      </c>
      <c r="AX7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8" s="25" t="str">
        <f ca="1">IF(NOTA[[#This Row],[ID_H]]="","",MATCH(NOTA[[#This Row],[NB NOTA_C_QTY]],[3]!db[NB NOTA_C_QTY+F],0))</f>
        <v/>
      </c>
      <c r="AZ738" s="38" t="str">
        <f ca="1">IF(NOTA[[#This Row],[NB NOTA_C_QTY]]="","",ROW()-2)</f>
        <v/>
      </c>
    </row>
    <row r="739" spans="1:52" ht="20.100000000000001" customHeight="1">
      <c r="A7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9" s="25" t="str">
        <f ca="1">IF(NOTA[[#This Row],[NAMA BARANG]]="","",INDEX(NOTA[ID],MATCH(,INDIRECT(ADDRESS(ROW(NOTA[ID]),COLUMN(NOTA[ID]))&amp;":"&amp;ADDRESS(ROW(),COLUMN(NOTA[ID]))),-1)))</f>
        <v/>
      </c>
      <c r="E739" s="33"/>
      <c r="H739" s="34"/>
      <c r="Q739" s="29"/>
      <c r="R739" s="35"/>
      <c r="S739" s="36"/>
      <c r="V739" s="37"/>
      <c r="W739" s="32"/>
      <c r="X739" s="37" t="str">
        <f>IF(NOTA[[#This Row],[HARGA/ CTN]]="",NOTA[[#This Row],[JUMLAH_H]],NOTA[[#This Row],[HARGA/ CTN]]*IF(NOTA[[#This Row],[C]]="",0,NOTA[[#This Row],[C]]))</f>
        <v/>
      </c>
      <c r="Y739" s="37" t="str">
        <f>IF(NOTA[[#This Row],[JUMLAH]]="","",NOTA[[#This Row],[JUMLAH]]*NOTA[[#This Row],[DISC 1]])</f>
        <v/>
      </c>
      <c r="Z739" s="37" t="str">
        <f>IF(NOTA[[#This Row],[JUMLAH]]="","",(NOTA[[#This Row],[JUMLAH]]-NOTA[[#This Row],[DISC 1-]])*NOTA[[#This Row],[DISC 2]])</f>
        <v/>
      </c>
      <c r="AA739" s="37" t="str">
        <f>IF(NOTA[[#This Row],[JUMLAH]]="","",(NOTA[[#This Row],[JUMLAH]]-NOTA[[#This Row],[DISC 1-]]-NOTA[[#This Row],[DISC 2-]])*NOTA[[#This Row],[DISC 3]])</f>
        <v/>
      </c>
      <c r="AB739" s="37" t="str">
        <f>IF(NOTA[[#This Row],[JUMLAH]]="","",NOTA[[#This Row],[DISC 1-]]+NOTA[[#This Row],[DISC 2-]]+NOTA[[#This Row],[DISC 3-]])</f>
        <v/>
      </c>
      <c r="AC739" s="37" t="str">
        <f>IF(NOTA[[#This Row],[JUMLAH]]="","",NOTA[[#This Row],[JUMLAH]]-NOTA[[#This Row],[DISC]])</f>
        <v/>
      </c>
      <c r="AD739" s="37"/>
      <c r="AE7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9" s="37" t="str">
        <f>IF(OR(NOTA[[#This Row],[QTY]]="",NOTA[[#This Row],[HARGA SATUAN]]="",),"",NOTA[[#This Row],[QTY]]*NOTA[[#This Row],[HARGA SATUAN]])</f>
        <v/>
      </c>
      <c r="AI739" s="26" t="str">
        <f ca="1">IF(NOTA[[#This Row],[ID_H]]="","",INDEX(NOTA[TANGGAL],MATCH(,INDIRECT(ADDRESS(ROW(NOTA[TANGGAL]),COLUMN(NOTA[TANGGAL]))&amp;":"&amp;ADDRESS(ROW(),COLUMN(NOTA[TANGGAL]))),-1)))</f>
        <v/>
      </c>
      <c r="AJ739" s="26" t="str">
        <f ca="1">IF(NOTA[[#This Row],[ID_H]]="","",INDEX(NOTA[TGL.NOTA],MATCH(,INDIRECT(ADDRESS(ROW(NOTA[TGL.NOTA]),COLUMN(NOTA[TGL.NOTA]))&amp;":"&amp;ADDRESS(ROW(),COLUMN(NOTA[TGL.NOTA]))),-1)))</f>
        <v/>
      </c>
      <c r="AK739" s="26" t="str">
        <f ca="1">IF(NOTA[[#This Row],[ID_H]]="","",INDEX(NOTA[NO.NOTA],MATCH(NOTA[[#This Row],[ID_H]],NOTA[ID_H],0)))</f>
        <v/>
      </c>
      <c r="AL739" s="28" t="str">
        <f ca="1">IF(NOTA[[#This Row],[NAMA BARANG]]="","",INDEX(NOTA[SUPPLIER],MATCH(,INDIRECT(ADDRESS(ROW(NOTA[ID]),COLUMN(NOTA[ID]))&amp;":"&amp;ADDRESS(ROW(),COLUMN(NOTA[ID]))),-1)))</f>
        <v/>
      </c>
      <c r="AM739" s="28" t="str">
        <f ca="1">IF(NOTA[[#This Row],[ID_H]]="","",IF(NOTA[[#This Row],[FAKTUR]]="",INDIRECT(ADDRESS(ROW()-1,COLUMN())),NOTA[[#This Row],[FAKTUR]]))</f>
        <v/>
      </c>
      <c r="AN739" s="25" t="str">
        <f ca="1">IF(NOTA[[#This Row],[ID]]="","",COUNTIF(NOTA[ID_H],NOTA[[#This Row],[ID_H]]))</f>
        <v/>
      </c>
      <c r="AO739" s="25" t="str">
        <f ca="1">IF(NOTA[[#This Row],[TGL.NOTA]]="",IF(NOTA[[#This Row],[SUPPLIER_H]]="","",AO738),MONTH(NOTA[[#This Row],[TGL.NOTA]]))</f>
        <v/>
      </c>
      <c r="AP7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9" s="25"/>
      <c r="AU739" s="25" t="str">
        <f>IF(NOTA[[#This Row],[CONCAT1]]="","",MATCH(NOTA[[#This Row],[CONCAT1]],[3]!db[NB NOTA_C],0))</f>
        <v/>
      </c>
      <c r="AV739" s="25" t="str">
        <f>IF(NOTA[[#This Row],[QTY/ CTN]]="","",TRUE)</f>
        <v/>
      </c>
      <c r="AW739" s="25" t="str">
        <f ca="1">IF(NOTA[[#This Row],[ID_H]]="","",IF(NOTA[[#This Row],[Column3]]=TRUE,NOTA[[#This Row],[QTY/ CTN]],INDEX([3]!db[QTY/ CTN],NOTA[[#This Row],[//DB]])))</f>
        <v/>
      </c>
      <c r="AX7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9" s="25" t="str">
        <f ca="1">IF(NOTA[[#This Row],[ID_H]]="","",MATCH(NOTA[[#This Row],[NB NOTA_C_QTY]],[3]!db[NB NOTA_C_QTY+F],0))</f>
        <v/>
      </c>
      <c r="AZ739" s="38" t="str">
        <f ca="1">IF(NOTA[[#This Row],[NB NOTA_C_QTY]]="","",ROW()-2)</f>
        <v/>
      </c>
    </row>
    <row r="740" spans="1:52" ht="20.100000000000001" customHeight="1">
      <c r="A7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0" s="25" t="str">
        <f ca="1">IF(NOTA[[#This Row],[NAMA BARANG]]="","",INDEX(NOTA[ID],MATCH(,INDIRECT(ADDRESS(ROW(NOTA[ID]),COLUMN(NOTA[ID]))&amp;":"&amp;ADDRESS(ROW(),COLUMN(NOTA[ID]))),-1)))</f>
        <v/>
      </c>
      <c r="E740" s="33"/>
      <c r="H740" s="34"/>
      <c r="Q740" s="29"/>
      <c r="R740" s="35"/>
      <c r="S740" s="36"/>
      <c r="V740" s="37"/>
      <c r="W740" s="32"/>
      <c r="X740" s="37" t="str">
        <f>IF(NOTA[[#This Row],[HARGA/ CTN]]="",NOTA[[#This Row],[JUMLAH_H]],NOTA[[#This Row],[HARGA/ CTN]]*IF(NOTA[[#This Row],[C]]="",0,NOTA[[#This Row],[C]]))</f>
        <v/>
      </c>
      <c r="Y740" s="37" t="str">
        <f>IF(NOTA[[#This Row],[JUMLAH]]="","",NOTA[[#This Row],[JUMLAH]]*NOTA[[#This Row],[DISC 1]])</f>
        <v/>
      </c>
      <c r="Z740" s="37" t="str">
        <f>IF(NOTA[[#This Row],[JUMLAH]]="","",(NOTA[[#This Row],[JUMLAH]]-NOTA[[#This Row],[DISC 1-]])*NOTA[[#This Row],[DISC 2]])</f>
        <v/>
      </c>
      <c r="AA740" s="37" t="str">
        <f>IF(NOTA[[#This Row],[JUMLAH]]="","",(NOTA[[#This Row],[JUMLAH]]-NOTA[[#This Row],[DISC 1-]]-NOTA[[#This Row],[DISC 2-]])*NOTA[[#This Row],[DISC 3]])</f>
        <v/>
      </c>
      <c r="AB740" s="37" t="str">
        <f>IF(NOTA[[#This Row],[JUMLAH]]="","",NOTA[[#This Row],[DISC 1-]]+NOTA[[#This Row],[DISC 2-]]+NOTA[[#This Row],[DISC 3-]])</f>
        <v/>
      </c>
      <c r="AC740" s="37" t="str">
        <f>IF(NOTA[[#This Row],[JUMLAH]]="","",NOTA[[#This Row],[JUMLAH]]-NOTA[[#This Row],[DISC]])</f>
        <v/>
      </c>
      <c r="AD740" s="37"/>
      <c r="AE7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0" s="37" t="str">
        <f>IF(OR(NOTA[[#This Row],[QTY]]="",NOTA[[#This Row],[HARGA SATUAN]]="",),"",NOTA[[#This Row],[QTY]]*NOTA[[#This Row],[HARGA SATUAN]])</f>
        <v/>
      </c>
      <c r="AI740" s="26" t="str">
        <f ca="1">IF(NOTA[[#This Row],[ID_H]]="","",INDEX(NOTA[TANGGAL],MATCH(,INDIRECT(ADDRESS(ROW(NOTA[TANGGAL]),COLUMN(NOTA[TANGGAL]))&amp;":"&amp;ADDRESS(ROW(),COLUMN(NOTA[TANGGAL]))),-1)))</f>
        <v/>
      </c>
      <c r="AJ740" s="26" t="str">
        <f ca="1">IF(NOTA[[#This Row],[ID_H]]="","",INDEX(NOTA[TGL.NOTA],MATCH(,INDIRECT(ADDRESS(ROW(NOTA[TGL.NOTA]),COLUMN(NOTA[TGL.NOTA]))&amp;":"&amp;ADDRESS(ROW(),COLUMN(NOTA[TGL.NOTA]))),-1)))</f>
        <v/>
      </c>
      <c r="AK740" s="26" t="str">
        <f ca="1">IF(NOTA[[#This Row],[ID_H]]="","",INDEX(NOTA[NO.NOTA],MATCH(NOTA[[#This Row],[ID_H]],NOTA[ID_H],0)))</f>
        <v/>
      </c>
      <c r="AL740" s="28" t="str">
        <f ca="1">IF(NOTA[[#This Row],[NAMA BARANG]]="","",INDEX(NOTA[SUPPLIER],MATCH(,INDIRECT(ADDRESS(ROW(NOTA[ID]),COLUMN(NOTA[ID]))&amp;":"&amp;ADDRESS(ROW(),COLUMN(NOTA[ID]))),-1)))</f>
        <v/>
      </c>
      <c r="AM740" s="28" t="str">
        <f ca="1">IF(NOTA[[#This Row],[ID_H]]="","",IF(NOTA[[#This Row],[FAKTUR]]="",INDIRECT(ADDRESS(ROW()-1,COLUMN())),NOTA[[#This Row],[FAKTUR]]))</f>
        <v/>
      </c>
      <c r="AN740" s="25" t="str">
        <f ca="1">IF(NOTA[[#This Row],[ID]]="","",COUNTIF(NOTA[ID_H],NOTA[[#This Row],[ID_H]]))</f>
        <v/>
      </c>
      <c r="AO740" s="25" t="str">
        <f ca="1">IF(NOTA[[#This Row],[TGL.NOTA]]="",IF(NOTA[[#This Row],[SUPPLIER_H]]="","",AO739),MONTH(NOTA[[#This Row],[TGL.NOTA]]))</f>
        <v/>
      </c>
      <c r="AP7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0" s="25"/>
      <c r="AU740" s="25" t="str">
        <f>IF(NOTA[[#This Row],[CONCAT1]]="","",MATCH(NOTA[[#This Row],[CONCAT1]],[3]!db[NB NOTA_C],0))</f>
        <v/>
      </c>
      <c r="AV740" s="25" t="str">
        <f>IF(NOTA[[#This Row],[QTY/ CTN]]="","",TRUE)</f>
        <v/>
      </c>
      <c r="AW740" s="25" t="str">
        <f ca="1">IF(NOTA[[#This Row],[ID_H]]="","",IF(NOTA[[#This Row],[Column3]]=TRUE,NOTA[[#This Row],[QTY/ CTN]],INDEX([3]!db[QTY/ CTN],NOTA[[#This Row],[//DB]])))</f>
        <v/>
      </c>
      <c r="AX7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0" s="25" t="str">
        <f ca="1">IF(NOTA[[#This Row],[ID_H]]="","",MATCH(NOTA[[#This Row],[NB NOTA_C_QTY]],[3]!db[NB NOTA_C_QTY+F],0))</f>
        <v/>
      </c>
      <c r="AZ740" s="38" t="str">
        <f ca="1">IF(NOTA[[#This Row],[NB NOTA_C_QTY]]="","",ROW()-2)</f>
        <v/>
      </c>
    </row>
    <row r="741" spans="1:52" ht="20.100000000000001" customHeight="1">
      <c r="A7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1" s="25" t="str">
        <f ca="1">IF(NOTA[[#This Row],[NAMA BARANG]]="","",INDEX(NOTA[ID],MATCH(,INDIRECT(ADDRESS(ROW(NOTA[ID]),COLUMN(NOTA[ID]))&amp;":"&amp;ADDRESS(ROW(),COLUMN(NOTA[ID]))),-1)))</f>
        <v/>
      </c>
      <c r="E741" s="33"/>
      <c r="H741" s="34"/>
      <c r="Q741" s="29"/>
      <c r="R741" s="35"/>
      <c r="S741" s="36"/>
      <c r="V741" s="37"/>
      <c r="W741" s="32"/>
      <c r="X741" s="37" t="str">
        <f>IF(NOTA[[#This Row],[HARGA/ CTN]]="",NOTA[[#This Row],[JUMLAH_H]],NOTA[[#This Row],[HARGA/ CTN]]*IF(NOTA[[#This Row],[C]]="",0,NOTA[[#This Row],[C]]))</f>
        <v/>
      </c>
      <c r="Y741" s="37" t="str">
        <f>IF(NOTA[[#This Row],[JUMLAH]]="","",NOTA[[#This Row],[JUMLAH]]*NOTA[[#This Row],[DISC 1]])</f>
        <v/>
      </c>
      <c r="Z741" s="37" t="str">
        <f>IF(NOTA[[#This Row],[JUMLAH]]="","",(NOTA[[#This Row],[JUMLAH]]-NOTA[[#This Row],[DISC 1-]])*NOTA[[#This Row],[DISC 2]])</f>
        <v/>
      </c>
      <c r="AA741" s="37" t="str">
        <f>IF(NOTA[[#This Row],[JUMLAH]]="","",(NOTA[[#This Row],[JUMLAH]]-NOTA[[#This Row],[DISC 1-]]-NOTA[[#This Row],[DISC 2-]])*NOTA[[#This Row],[DISC 3]])</f>
        <v/>
      </c>
      <c r="AB741" s="37" t="str">
        <f>IF(NOTA[[#This Row],[JUMLAH]]="","",NOTA[[#This Row],[DISC 1-]]+NOTA[[#This Row],[DISC 2-]]+NOTA[[#This Row],[DISC 3-]])</f>
        <v/>
      </c>
      <c r="AC741" s="37" t="str">
        <f>IF(NOTA[[#This Row],[JUMLAH]]="","",NOTA[[#This Row],[JUMLAH]]-NOTA[[#This Row],[DISC]])</f>
        <v/>
      </c>
      <c r="AD741" s="37"/>
      <c r="AE7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1" s="37" t="str">
        <f>IF(OR(NOTA[[#This Row],[QTY]]="",NOTA[[#This Row],[HARGA SATUAN]]="",),"",NOTA[[#This Row],[QTY]]*NOTA[[#This Row],[HARGA SATUAN]])</f>
        <v/>
      </c>
      <c r="AI741" s="26" t="str">
        <f ca="1">IF(NOTA[[#This Row],[ID_H]]="","",INDEX(NOTA[TANGGAL],MATCH(,INDIRECT(ADDRESS(ROW(NOTA[TANGGAL]),COLUMN(NOTA[TANGGAL]))&amp;":"&amp;ADDRESS(ROW(),COLUMN(NOTA[TANGGAL]))),-1)))</f>
        <v/>
      </c>
      <c r="AJ741" s="26" t="str">
        <f ca="1">IF(NOTA[[#This Row],[ID_H]]="","",INDEX(NOTA[TGL.NOTA],MATCH(,INDIRECT(ADDRESS(ROW(NOTA[TGL.NOTA]),COLUMN(NOTA[TGL.NOTA]))&amp;":"&amp;ADDRESS(ROW(),COLUMN(NOTA[TGL.NOTA]))),-1)))</f>
        <v/>
      </c>
      <c r="AK741" s="26" t="str">
        <f ca="1">IF(NOTA[[#This Row],[ID_H]]="","",INDEX(NOTA[NO.NOTA],MATCH(NOTA[[#This Row],[ID_H]],NOTA[ID_H],0)))</f>
        <v/>
      </c>
      <c r="AL741" s="28" t="str">
        <f ca="1">IF(NOTA[[#This Row],[NAMA BARANG]]="","",INDEX(NOTA[SUPPLIER],MATCH(,INDIRECT(ADDRESS(ROW(NOTA[ID]),COLUMN(NOTA[ID]))&amp;":"&amp;ADDRESS(ROW(),COLUMN(NOTA[ID]))),-1)))</f>
        <v/>
      </c>
      <c r="AM741" s="28" t="str">
        <f ca="1">IF(NOTA[[#This Row],[ID_H]]="","",IF(NOTA[[#This Row],[FAKTUR]]="",INDIRECT(ADDRESS(ROW()-1,COLUMN())),NOTA[[#This Row],[FAKTUR]]))</f>
        <v/>
      </c>
      <c r="AN741" s="25" t="str">
        <f ca="1">IF(NOTA[[#This Row],[ID]]="","",COUNTIF(NOTA[ID_H],NOTA[[#This Row],[ID_H]]))</f>
        <v/>
      </c>
      <c r="AO741" s="25" t="str">
        <f ca="1">IF(NOTA[[#This Row],[TGL.NOTA]]="",IF(NOTA[[#This Row],[SUPPLIER_H]]="","",AO740),MONTH(NOTA[[#This Row],[TGL.NOTA]]))</f>
        <v/>
      </c>
      <c r="AP7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1" s="25"/>
      <c r="AU741" s="25" t="str">
        <f>IF(NOTA[[#This Row],[CONCAT1]]="","",MATCH(NOTA[[#This Row],[CONCAT1]],[3]!db[NB NOTA_C],0))</f>
        <v/>
      </c>
      <c r="AV741" s="25" t="str">
        <f>IF(NOTA[[#This Row],[QTY/ CTN]]="","",TRUE)</f>
        <v/>
      </c>
      <c r="AW741" s="25" t="str">
        <f ca="1">IF(NOTA[[#This Row],[ID_H]]="","",IF(NOTA[[#This Row],[Column3]]=TRUE,NOTA[[#This Row],[QTY/ CTN]],INDEX([3]!db[QTY/ CTN],NOTA[[#This Row],[//DB]])))</f>
        <v/>
      </c>
      <c r="AX7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1" s="25" t="str">
        <f ca="1">IF(NOTA[[#This Row],[ID_H]]="","",MATCH(NOTA[[#This Row],[NB NOTA_C_QTY]],[3]!db[NB NOTA_C_QTY+F],0))</f>
        <v/>
      </c>
      <c r="AZ741" s="38" t="str">
        <f ca="1">IF(NOTA[[#This Row],[NB NOTA_C_QTY]]="","",ROW()-2)</f>
        <v/>
      </c>
    </row>
    <row r="742" spans="1:52" ht="20.100000000000001" customHeight="1">
      <c r="A7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2" s="25" t="str">
        <f ca="1">IF(NOTA[[#This Row],[NAMA BARANG]]="","",INDEX(NOTA[ID],MATCH(,INDIRECT(ADDRESS(ROW(NOTA[ID]),COLUMN(NOTA[ID]))&amp;":"&amp;ADDRESS(ROW(),COLUMN(NOTA[ID]))),-1)))</f>
        <v/>
      </c>
      <c r="E742" s="33"/>
      <c r="H742" s="34"/>
      <c r="Q742" s="29"/>
      <c r="R742" s="35"/>
      <c r="S742" s="36"/>
      <c r="V742" s="37"/>
      <c r="W742" s="32"/>
      <c r="X742" s="37" t="str">
        <f>IF(NOTA[[#This Row],[HARGA/ CTN]]="",NOTA[[#This Row],[JUMLAH_H]],NOTA[[#This Row],[HARGA/ CTN]]*IF(NOTA[[#This Row],[C]]="",0,NOTA[[#This Row],[C]]))</f>
        <v/>
      </c>
      <c r="Y742" s="37" t="str">
        <f>IF(NOTA[[#This Row],[JUMLAH]]="","",NOTA[[#This Row],[JUMLAH]]*NOTA[[#This Row],[DISC 1]])</f>
        <v/>
      </c>
      <c r="Z742" s="37" t="str">
        <f>IF(NOTA[[#This Row],[JUMLAH]]="","",(NOTA[[#This Row],[JUMLAH]]-NOTA[[#This Row],[DISC 1-]])*NOTA[[#This Row],[DISC 2]])</f>
        <v/>
      </c>
      <c r="AA742" s="37" t="str">
        <f>IF(NOTA[[#This Row],[JUMLAH]]="","",(NOTA[[#This Row],[JUMLAH]]-NOTA[[#This Row],[DISC 1-]]-NOTA[[#This Row],[DISC 2-]])*NOTA[[#This Row],[DISC 3]])</f>
        <v/>
      </c>
      <c r="AB742" s="37" t="str">
        <f>IF(NOTA[[#This Row],[JUMLAH]]="","",NOTA[[#This Row],[DISC 1-]]+NOTA[[#This Row],[DISC 2-]]+NOTA[[#This Row],[DISC 3-]])</f>
        <v/>
      </c>
      <c r="AC742" s="37" t="str">
        <f>IF(NOTA[[#This Row],[JUMLAH]]="","",NOTA[[#This Row],[JUMLAH]]-NOTA[[#This Row],[DISC]])</f>
        <v/>
      </c>
      <c r="AD742" s="37"/>
      <c r="AE7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2" s="37" t="str">
        <f>IF(OR(NOTA[[#This Row],[QTY]]="",NOTA[[#This Row],[HARGA SATUAN]]="",),"",NOTA[[#This Row],[QTY]]*NOTA[[#This Row],[HARGA SATUAN]])</f>
        <v/>
      </c>
      <c r="AI742" s="26" t="str">
        <f ca="1">IF(NOTA[[#This Row],[ID_H]]="","",INDEX(NOTA[TANGGAL],MATCH(,INDIRECT(ADDRESS(ROW(NOTA[TANGGAL]),COLUMN(NOTA[TANGGAL]))&amp;":"&amp;ADDRESS(ROW(),COLUMN(NOTA[TANGGAL]))),-1)))</f>
        <v/>
      </c>
      <c r="AJ742" s="26" t="str">
        <f ca="1">IF(NOTA[[#This Row],[ID_H]]="","",INDEX(NOTA[TGL.NOTA],MATCH(,INDIRECT(ADDRESS(ROW(NOTA[TGL.NOTA]),COLUMN(NOTA[TGL.NOTA]))&amp;":"&amp;ADDRESS(ROW(),COLUMN(NOTA[TGL.NOTA]))),-1)))</f>
        <v/>
      </c>
      <c r="AK742" s="26" t="str">
        <f ca="1">IF(NOTA[[#This Row],[ID_H]]="","",INDEX(NOTA[NO.NOTA],MATCH(NOTA[[#This Row],[ID_H]],NOTA[ID_H],0)))</f>
        <v/>
      </c>
      <c r="AL742" s="28" t="str">
        <f ca="1">IF(NOTA[[#This Row],[NAMA BARANG]]="","",INDEX(NOTA[SUPPLIER],MATCH(,INDIRECT(ADDRESS(ROW(NOTA[ID]),COLUMN(NOTA[ID]))&amp;":"&amp;ADDRESS(ROW(),COLUMN(NOTA[ID]))),-1)))</f>
        <v/>
      </c>
      <c r="AM742" s="28" t="str">
        <f ca="1">IF(NOTA[[#This Row],[ID_H]]="","",IF(NOTA[[#This Row],[FAKTUR]]="",INDIRECT(ADDRESS(ROW()-1,COLUMN())),NOTA[[#This Row],[FAKTUR]]))</f>
        <v/>
      </c>
      <c r="AN742" s="25" t="str">
        <f ca="1">IF(NOTA[[#This Row],[ID]]="","",COUNTIF(NOTA[ID_H],NOTA[[#This Row],[ID_H]]))</f>
        <v/>
      </c>
      <c r="AO742" s="25" t="str">
        <f ca="1">IF(NOTA[[#This Row],[TGL.NOTA]]="",IF(NOTA[[#This Row],[SUPPLIER_H]]="","",AO741),MONTH(NOTA[[#This Row],[TGL.NOTA]]))</f>
        <v/>
      </c>
      <c r="AP7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2" s="25"/>
      <c r="AU742" s="25" t="str">
        <f>IF(NOTA[[#This Row],[CONCAT1]]="","",MATCH(NOTA[[#This Row],[CONCAT1]],[3]!db[NB NOTA_C],0))</f>
        <v/>
      </c>
      <c r="AV742" s="25" t="str">
        <f>IF(NOTA[[#This Row],[QTY/ CTN]]="","",TRUE)</f>
        <v/>
      </c>
      <c r="AW742" s="25" t="str">
        <f ca="1">IF(NOTA[[#This Row],[ID_H]]="","",IF(NOTA[[#This Row],[Column3]]=TRUE,NOTA[[#This Row],[QTY/ CTN]],INDEX([3]!db[QTY/ CTN],NOTA[[#This Row],[//DB]])))</f>
        <v/>
      </c>
      <c r="AX7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2" s="25" t="str">
        <f ca="1">IF(NOTA[[#This Row],[ID_H]]="","",MATCH(NOTA[[#This Row],[NB NOTA_C_QTY]],[3]!db[NB NOTA_C_QTY+F],0))</f>
        <v/>
      </c>
      <c r="AZ742" s="38" t="str">
        <f ca="1">IF(NOTA[[#This Row],[NB NOTA_C_QTY]]="","",ROW()-2)</f>
        <v/>
      </c>
    </row>
    <row r="743" spans="1:52" ht="20.100000000000001" customHeight="1">
      <c r="A7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3" s="25" t="str">
        <f ca="1">IF(NOTA[[#This Row],[NAMA BARANG]]="","",INDEX(NOTA[ID],MATCH(,INDIRECT(ADDRESS(ROW(NOTA[ID]),COLUMN(NOTA[ID]))&amp;":"&amp;ADDRESS(ROW(),COLUMN(NOTA[ID]))),-1)))</f>
        <v/>
      </c>
      <c r="E743" s="33"/>
      <c r="H743" s="34"/>
      <c r="Q743" s="29"/>
      <c r="R743" s="35"/>
      <c r="S743" s="36"/>
      <c r="V743" s="37"/>
      <c r="W743" s="32"/>
      <c r="X743" s="37" t="str">
        <f>IF(NOTA[[#This Row],[HARGA/ CTN]]="",NOTA[[#This Row],[JUMLAH_H]],NOTA[[#This Row],[HARGA/ CTN]]*IF(NOTA[[#This Row],[C]]="",0,NOTA[[#This Row],[C]]))</f>
        <v/>
      </c>
      <c r="Y743" s="37" t="str">
        <f>IF(NOTA[[#This Row],[JUMLAH]]="","",NOTA[[#This Row],[JUMLAH]]*NOTA[[#This Row],[DISC 1]])</f>
        <v/>
      </c>
      <c r="Z743" s="37" t="str">
        <f>IF(NOTA[[#This Row],[JUMLAH]]="","",(NOTA[[#This Row],[JUMLAH]]-NOTA[[#This Row],[DISC 1-]])*NOTA[[#This Row],[DISC 2]])</f>
        <v/>
      </c>
      <c r="AA743" s="37" t="str">
        <f>IF(NOTA[[#This Row],[JUMLAH]]="","",(NOTA[[#This Row],[JUMLAH]]-NOTA[[#This Row],[DISC 1-]]-NOTA[[#This Row],[DISC 2-]])*NOTA[[#This Row],[DISC 3]])</f>
        <v/>
      </c>
      <c r="AB743" s="37" t="str">
        <f>IF(NOTA[[#This Row],[JUMLAH]]="","",NOTA[[#This Row],[DISC 1-]]+NOTA[[#This Row],[DISC 2-]]+NOTA[[#This Row],[DISC 3-]])</f>
        <v/>
      </c>
      <c r="AC743" s="37" t="str">
        <f>IF(NOTA[[#This Row],[JUMLAH]]="","",NOTA[[#This Row],[JUMLAH]]-NOTA[[#This Row],[DISC]])</f>
        <v/>
      </c>
      <c r="AD743" s="37"/>
      <c r="AE7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3" s="37" t="str">
        <f>IF(OR(NOTA[[#This Row],[QTY]]="",NOTA[[#This Row],[HARGA SATUAN]]="",),"",NOTA[[#This Row],[QTY]]*NOTA[[#This Row],[HARGA SATUAN]])</f>
        <v/>
      </c>
      <c r="AI743" s="26" t="str">
        <f ca="1">IF(NOTA[[#This Row],[ID_H]]="","",INDEX(NOTA[TANGGAL],MATCH(,INDIRECT(ADDRESS(ROW(NOTA[TANGGAL]),COLUMN(NOTA[TANGGAL]))&amp;":"&amp;ADDRESS(ROW(),COLUMN(NOTA[TANGGAL]))),-1)))</f>
        <v/>
      </c>
      <c r="AJ743" s="26" t="str">
        <f ca="1">IF(NOTA[[#This Row],[ID_H]]="","",INDEX(NOTA[TGL.NOTA],MATCH(,INDIRECT(ADDRESS(ROW(NOTA[TGL.NOTA]),COLUMN(NOTA[TGL.NOTA]))&amp;":"&amp;ADDRESS(ROW(),COLUMN(NOTA[TGL.NOTA]))),-1)))</f>
        <v/>
      </c>
      <c r="AK743" s="26" t="str">
        <f ca="1">IF(NOTA[[#This Row],[ID_H]]="","",INDEX(NOTA[NO.NOTA],MATCH(NOTA[[#This Row],[ID_H]],NOTA[ID_H],0)))</f>
        <v/>
      </c>
      <c r="AL743" s="28" t="str">
        <f ca="1">IF(NOTA[[#This Row],[NAMA BARANG]]="","",INDEX(NOTA[SUPPLIER],MATCH(,INDIRECT(ADDRESS(ROW(NOTA[ID]),COLUMN(NOTA[ID]))&amp;":"&amp;ADDRESS(ROW(),COLUMN(NOTA[ID]))),-1)))</f>
        <v/>
      </c>
      <c r="AM743" s="28" t="str">
        <f ca="1">IF(NOTA[[#This Row],[ID_H]]="","",IF(NOTA[[#This Row],[FAKTUR]]="",INDIRECT(ADDRESS(ROW()-1,COLUMN())),NOTA[[#This Row],[FAKTUR]]))</f>
        <v/>
      </c>
      <c r="AN743" s="25" t="str">
        <f ca="1">IF(NOTA[[#This Row],[ID]]="","",COUNTIF(NOTA[ID_H],NOTA[[#This Row],[ID_H]]))</f>
        <v/>
      </c>
      <c r="AO743" s="25" t="str">
        <f ca="1">IF(NOTA[[#This Row],[TGL.NOTA]]="",IF(NOTA[[#This Row],[SUPPLIER_H]]="","",AO742),MONTH(NOTA[[#This Row],[TGL.NOTA]]))</f>
        <v/>
      </c>
      <c r="AP7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3" s="25"/>
      <c r="AU743" s="25" t="str">
        <f>IF(NOTA[[#This Row],[CONCAT1]]="","",MATCH(NOTA[[#This Row],[CONCAT1]],[3]!db[NB NOTA_C],0))</f>
        <v/>
      </c>
      <c r="AV743" s="25" t="str">
        <f>IF(NOTA[[#This Row],[QTY/ CTN]]="","",TRUE)</f>
        <v/>
      </c>
      <c r="AW743" s="25" t="str">
        <f ca="1">IF(NOTA[[#This Row],[ID_H]]="","",IF(NOTA[[#This Row],[Column3]]=TRUE,NOTA[[#This Row],[QTY/ CTN]],INDEX([3]!db[QTY/ CTN],NOTA[[#This Row],[//DB]])))</f>
        <v/>
      </c>
      <c r="AX7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3" s="25" t="str">
        <f ca="1">IF(NOTA[[#This Row],[ID_H]]="","",MATCH(NOTA[[#This Row],[NB NOTA_C_QTY]],[3]!db[NB NOTA_C_QTY+F],0))</f>
        <v/>
      </c>
      <c r="AZ743" s="38" t="str">
        <f ca="1">IF(NOTA[[#This Row],[NB NOTA_C_QTY]]="","",ROW()-2)</f>
        <v/>
      </c>
    </row>
    <row r="744" spans="1:52" ht="20.100000000000001" customHeight="1">
      <c r="A7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4" s="25" t="str">
        <f ca="1">IF(NOTA[[#This Row],[NAMA BARANG]]="","",INDEX(NOTA[ID],MATCH(,INDIRECT(ADDRESS(ROW(NOTA[ID]),COLUMN(NOTA[ID]))&amp;":"&amp;ADDRESS(ROW(),COLUMN(NOTA[ID]))),-1)))</f>
        <v/>
      </c>
      <c r="E744" s="33"/>
      <c r="H744" s="34"/>
      <c r="Q744" s="29"/>
      <c r="R744" s="35"/>
      <c r="S744" s="36"/>
      <c r="V744" s="37"/>
      <c r="W744" s="32"/>
      <c r="X744" s="37" t="str">
        <f>IF(NOTA[[#This Row],[HARGA/ CTN]]="",NOTA[[#This Row],[JUMLAH_H]],NOTA[[#This Row],[HARGA/ CTN]]*IF(NOTA[[#This Row],[C]]="",0,NOTA[[#This Row],[C]]))</f>
        <v/>
      </c>
      <c r="Y744" s="37" t="str">
        <f>IF(NOTA[[#This Row],[JUMLAH]]="","",NOTA[[#This Row],[JUMLAH]]*NOTA[[#This Row],[DISC 1]])</f>
        <v/>
      </c>
      <c r="Z744" s="37" t="str">
        <f>IF(NOTA[[#This Row],[JUMLAH]]="","",(NOTA[[#This Row],[JUMLAH]]-NOTA[[#This Row],[DISC 1-]])*NOTA[[#This Row],[DISC 2]])</f>
        <v/>
      </c>
      <c r="AA744" s="37" t="str">
        <f>IF(NOTA[[#This Row],[JUMLAH]]="","",(NOTA[[#This Row],[JUMLAH]]-NOTA[[#This Row],[DISC 1-]]-NOTA[[#This Row],[DISC 2-]])*NOTA[[#This Row],[DISC 3]])</f>
        <v/>
      </c>
      <c r="AB744" s="37" t="str">
        <f>IF(NOTA[[#This Row],[JUMLAH]]="","",NOTA[[#This Row],[DISC 1-]]+NOTA[[#This Row],[DISC 2-]]+NOTA[[#This Row],[DISC 3-]])</f>
        <v/>
      </c>
      <c r="AC744" s="37" t="str">
        <f>IF(NOTA[[#This Row],[JUMLAH]]="","",NOTA[[#This Row],[JUMLAH]]-NOTA[[#This Row],[DISC]])</f>
        <v/>
      </c>
      <c r="AD744" s="37"/>
      <c r="AE7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4" s="37" t="str">
        <f>IF(OR(NOTA[[#This Row],[QTY]]="",NOTA[[#This Row],[HARGA SATUAN]]="",),"",NOTA[[#This Row],[QTY]]*NOTA[[#This Row],[HARGA SATUAN]])</f>
        <v/>
      </c>
      <c r="AI744" s="26" t="str">
        <f ca="1">IF(NOTA[[#This Row],[ID_H]]="","",INDEX(NOTA[TANGGAL],MATCH(,INDIRECT(ADDRESS(ROW(NOTA[TANGGAL]),COLUMN(NOTA[TANGGAL]))&amp;":"&amp;ADDRESS(ROW(),COLUMN(NOTA[TANGGAL]))),-1)))</f>
        <v/>
      </c>
      <c r="AJ744" s="26" t="str">
        <f ca="1">IF(NOTA[[#This Row],[ID_H]]="","",INDEX(NOTA[TGL.NOTA],MATCH(,INDIRECT(ADDRESS(ROW(NOTA[TGL.NOTA]),COLUMN(NOTA[TGL.NOTA]))&amp;":"&amp;ADDRESS(ROW(),COLUMN(NOTA[TGL.NOTA]))),-1)))</f>
        <v/>
      </c>
      <c r="AK744" s="26" t="str">
        <f ca="1">IF(NOTA[[#This Row],[ID_H]]="","",INDEX(NOTA[NO.NOTA],MATCH(NOTA[[#This Row],[ID_H]],NOTA[ID_H],0)))</f>
        <v/>
      </c>
      <c r="AL744" s="28" t="str">
        <f ca="1">IF(NOTA[[#This Row],[NAMA BARANG]]="","",INDEX(NOTA[SUPPLIER],MATCH(,INDIRECT(ADDRESS(ROW(NOTA[ID]),COLUMN(NOTA[ID]))&amp;":"&amp;ADDRESS(ROW(),COLUMN(NOTA[ID]))),-1)))</f>
        <v/>
      </c>
      <c r="AM744" s="28" t="str">
        <f ca="1">IF(NOTA[[#This Row],[ID_H]]="","",IF(NOTA[[#This Row],[FAKTUR]]="",INDIRECT(ADDRESS(ROW()-1,COLUMN())),NOTA[[#This Row],[FAKTUR]]))</f>
        <v/>
      </c>
      <c r="AN744" s="25" t="str">
        <f ca="1">IF(NOTA[[#This Row],[ID]]="","",COUNTIF(NOTA[ID_H],NOTA[[#This Row],[ID_H]]))</f>
        <v/>
      </c>
      <c r="AO744" s="25" t="str">
        <f ca="1">IF(NOTA[[#This Row],[TGL.NOTA]]="",IF(NOTA[[#This Row],[SUPPLIER_H]]="","",AO743),MONTH(NOTA[[#This Row],[TGL.NOTA]]))</f>
        <v/>
      </c>
      <c r="AP7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4" s="25"/>
      <c r="AU744" s="25" t="str">
        <f>IF(NOTA[[#This Row],[CONCAT1]]="","",MATCH(NOTA[[#This Row],[CONCAT1]],[3]!db[NB NOTA_C],0))</f>
        <v/>
      </c>
      <c r="AV744" s="25" t="str">
        <f>IF(NOTA[[#This Row],[QTY/ CTN]]="","",TRUE)</f>
        <v/>
      </c>
      <c r="AW744" s="25" t="str">
        <f ca="1">IF(NOTA[[#This Row],[ID_H]]="","",IF(NOTA[[#This Row],[Column3]]=TRUE,NOTA[[#This Row],[QTY/ CTN]],INDEX([3]!db[QTY/ CTN],NOTA[[#This Row],[//DB]])))</f>
        <v/>
      </c>
      <c r="AX7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4" s="25" t="str">
        <f ca="1">IF(NOTA[[#This Row],[ID_H]]="","",MATCH(NOTA[[#This Row],[NB NOTA_C_QTY]],[3]!db[NB NOTA_C_QTY+F],0))</f>
        <v/>
      </c>
      <c r="AZ744" s="38" t="str">
        <f ca="1">IF(NOTA[[#This Row],[NB NOTA_C_QTY]]="","",ROW()-2)</f>
        <v/>
      </c>
    </row>
    <row r="745" spans="1:52" ht="20.100000000000001" customHeight="1">
      <c r="A7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5" s="25" t="str">
        <f ca="1">IF(NOTA[[#This Row],[NAMA BARANG]]="","",INDEX(NOTA[ID],MATCH(,INDIRECT(ADDRESS(ROW(NOTA[ID]),COLUMN(NOTA[ID]))&amp;":"&amp;ADDRESS(ROW(),COLUMN(NOTA[ID]))),-1)))</f>
        <v/>
      </c>
      <c r="E745" s="33"/>
      <c r="H745" s="34"/>
      <c r="Q745" s="29"/>
      <c r="R745" s="35"/>
      <c r="S745" s="36"/>
      <c r="V745" s="37"/>
      <c r="W745" s="32"/>
      <c r="X745" s="37" t="str">
        <f>IF(NOTA[[#This Row],[HARGA/ CTN]]="",NOTA[[#This Row],[JUMLAH_H]],NOTA[[#This Row],[HARGA/ CTN]]*IF(NOTA[[#This Row],[C]]="",0,NOTA[[#This Row],[C]]))</f>
        <v/>
      </c>
      <c r="Y745" s="37" t="str">
        <f>IF(NOTA[[#This Row],[JUMLAH]]="","",NOTA[[#This Row],[JUMLAH]]*NOTA[[#This Row],[DISC 1]])</f>
        <v/>
      </c>
      <c r="Z745" s="37" t="str">
        <f>IF(NOTA[[#This Row],[JUMLAH]]="","",(NOTA[[#This Row],[JUMLAH]]-NOTA[[#This Row],[DISC 1-]])*NOTA[[#This Row],[DISC 2]])</f>
        <v/>
      </c>
      <c r="AA745" s="37" t="str">
        <f>IF(NOTA[[#This Row],[JUMLAH]]="","",(NOTA[[#This Row],[JUMLAH]]-NOTA[[#This Row],[DISC 1-]]-NOTA[[#This Row],[DISC 2-]])*NOTA[[#This Row],[DISC 3]])</f>
        <v/>
      </c>
      <c r="AB745" s="37" t="str">
        <f>IF(NOTA[[#This Row],[JUMLAH]]="","",NOTA[[#This Row],[DISC 1-]]+NOTA[[#This Row],[DISC 2-]]+NOTA[[#This Row],[DISC 3-]])</f>
        <v/>
      </c>
      <c r="AC745" s="37" t="str">
        <f>IF(NOTA[[#This Row],[JUMLAH]]="","",NOTA[[#This Row],[JUMLAH]]-NOTA[[#This Row],[DISC]])</f>
        <v/>
      </c>
      <c r="AD745" s="37"/>
      <c r="AE7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5" s="37" t="str">
        <f>IF(OR(NOTA[[#This Row],[QTY]]="",NOTA[[#This Row],[HARGA SATUAN]]="",),"",NOTA[[#This Row],[QTY]]*NOTA[[#This Row],[HARGA SATUAN]])</f>
        <v/>
      </c>
      <c r="AI745" s="26" t="str">
        <f ca="1">IF(NOTA[[#This Row],[ID_H]]="","",INDEX(NOTA[TANGGAL],MATCH(,INDIRECT(ADDRESS(ROW(NOTA[TANGGAL]),COLUMN(NOTA[TANGGAL]))&amp;":"&amp;ADDRESS(ROW(),COLUMN(NOTA[TANGGAL]))),-1)))</f>
        <v/>
      </c>
      <c r="AJ745" s="26" t="str">
        <f ca="1">IF(NOTA[[#This Row],[ID_H]]="","",INDEX(NOTA[TGL.NOTA],MATCH(,INDIRECT(ADDRESS(ROW(NOTA[TGL.NOTA]),COLUMN(NOTA[TGL.NOTA]))&amp;":"&amp;ADDRESS(ROW(),COLUMN(NOTA[TGL.NOTA]))),-1)))</f>
        <v/>
      </c>
      <c r="AK745" s="26" t="str">
        <f ca="1">IF(NOTA[[#This Row],[ID_H]]="","",INDEX(NOTA[NO.NOTA],MATCH(NOTA[[#This Row],[ID_H]],NOTA[ID_H],0)))</f>
        <v/>
      </c>
      <c r="AL745" s="28" t="str">
        <f ca="1">IF(NOTA[[#This Row],[NAMA BARANG]]="","",INDEX(NOTA[SUPPLIER],MATCH(,INDIRECT(ADDRESS(ROW(NOTA[ID]),COLUMN(NOTA[ID]))&amp;":"&amp;ADDRESS(ROW(),COLUMN(NOTA[ID]))),-1)))</f>
        <v/>
      </c>
      <c r="AM745" s="28" t="str">
        <f ca="1">IF(NOTA[[#This Row],[ID_H]]="","",IF(NOTA[[#This Row],[FAKTUR]]="",INDIRECT(ADDRESS(ROW()-1,COLUMN())),NOTA[[#This Row],[FAKTUR]]))</f>
        <v/>
      </c>
      <c r="AN745" s="25" t="str">
        <f ca="1">IF(NOTA[[#This Row],[ID]]="","",COUNTIF(NOTA[ID_H],NOTA[[#This Row],[ID_H]]))</f>
        <v/>
      </c>
      <c r="AO745" s="25" t="str">
        <f ca="1">IF(NOTA[[#This Row],[TGL.NOTA]]="",IF(NOTA[[#This Row],[SUPPLIER_H]]="","",AO744),MONTH(NOTA[[#This Row],[TGL.NOTA]]))</f>
        <v/>
      </c>
      <c r="AP7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5" s="25"/>
      <c r="AU745" s="25" t="str">
        <f>IF(NOTA[[#This Row],[CONCAT1]]="","",MATCH(NOTA[[#This Row],[CONCAT1]],[3]!db[NB NOTA_C],0))</f>
        <v/>
      </c>
      <c r="AV745" s="25" t="str">
        <f>IF(NOTA[[#This Row],[QTY/ CTN]]="","",TRUE)</f>
        <v/>
      </c>
      <c r="AW745" s="25" t="str">
        <f ca="1">IF(NOTA[[#This Row],[ID_H]]="","",IF(NOTA[[#This Row],[Column3]]=TRUE,NOTA[[#This Row],[QTY/ CTN]],INDEX([3]!db[QTY/ CTN],NOTA[[#This Row],[//DB]])))</f>
        <v/>
      </c>
      <c r="AX7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5" s="25" t="str">
        <f ca="1">IF(NOTA[[#This Row],[ID_H]]="","",MATCH(NOTA[[#This Row],[NB NOTA_C_QTY]],[3]!db[NB NOTA_C_QTY+F],0))</f>
        <v/>
      </c>
      <c r="AZ745" s="38" t="str">
        <f ca="1">IF(NOTA[[#This Row],[NB NOTA_C_QTY]]="","",ROW()-2)</f>
        <v/>
      </c>
    </row>
    <row r="746" spans="1:52" ht="20.100000000000001" customHeight="1">
      <c r="A7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6" s="25" t="str">
        <f ca="1">IF(NOTA[[#This Row],[NAMA BARANG]]="","",INDEX(NOTA[ID],MATCH(,INDIRECT(ADDRESS(ROW(NOTA[ID]),COLUMN(NOTA[ID]))&amp;":"&amp;ADDRESS(ROW(),COLUMN(NOTA[ID]))),-1)))</f>
        <v/>
      </c>
      <c r="E746" s="33"/>
      <c r="H746" s="34"/>
      <c r="Q746" s="29"/>
      <c r="R746" s="35"/>
      <c r="S746" s="36"/>
      <c r="V746" s="37"/>
      <c r="W746" s="32"/>
      <c r="X746" s="37" t="str">
        <f>IF(NOTA[[#This Row],[HARGA/ CTN]]="",NOTA[[#This Row],[JUMLAH_H]],NOTA[[#This Row],[HARGA/ CTN]]*IF(NOTA[[#This Row],[C]]="",0,NOTA[[#This Row],[C]]))</f>
        <v/>
      </c>
      <c r="Y746" s="37" t="str">
        <f>IF(NOTA[[#This Row],[JUMLAH]]="","",NOTA[[#This Row],[JUMLAH]]*NOTA[[#This Row],[DISC 1]])</f>
        <v/>
      </c>
      <c r="Z746" s="37" t="str">
        <f>IF(NOTA[[#This Row],[JUMLAH]]="","",(NOTA[[#This Row],[JUMLAH]]-NOTA[[#This Row],[DISC 1-]])*NOTA[[#This Row],[DISC 2]])</f>
        <v/>
      </c>
      <c r="AA746" s="37" t="str">
        <f>IF(NOTA[[#This Row],[JUMLAH]]="","",(NOTA[[#This Row],[JUMLAH]]-NOTA[[#This Row],[DISC 1-]]-NOTA[[#This Row],[DISC 2-]])*NOTA[[#This Row],[DISC 3]])</f>
        <v/>
      </c>
      <c r="AB746" s="37" t="str">
        <f>IF(NOTA[[#This Row],[JUMLAH]]="","",NOTA[[#This Row],[DISC 1-]]+NOTA[[#This Row],[DISC 2-]]+NOTA[[#This Row],[DISC 3-]])</f>
        <v/>
      </c>
      <c r="AC746" s="37" t="str">
        <f>IF(NOTA[[#This Row],[JUMLAH]]="","",NOTA[[#This Row],[JUMLAH]]-NOTA[[#This Row],[DISC]])</f>
        <v/>
      </c>
      <c r="AD746" s="37"/>
      <c r="AE7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6" s="37" t="str">
        <f>IF(OR(NOTA[[#This Row],[QTY]]="",NOTA[[#This Row],[HARGA SATUAN]]="",),"",NOTA[[#This Row],[QTY]]*NOTA[[#This Row],[HARGA SATUAN]])</f>
        <v/>
      </c>
      <c r="AI746" s="26" t="str">
        <f ca="1">IF(NOTA[[#This Row],[ID_H]]="","",INDEX(NOTA[TANGGAL],MATCH(,INDIRECT(ADDRESS(ROW(NOTA[TANGGAL]),COLUMN(NOTA[TANGGAL]))&amp;":"&amp;ADDRESS(ROW(),COLUMN(NOTA[TANGGAL]))),-1)))</f>
        <v/>
      </c>
      <c r="AJ746" s="26" t="str">
        <f ca="1">IF(NOTA[[#This Row],[ID_H]]="","",INDEX(NOTA[TGL.NOTA],MATCH(,INDIRECT(ADDRESS(ROW(NOTA[TGL.NOTA]),COLUMN(NOTA[TGL.NOTA]))&amp;":"&amp;ADDRESS(ROW(),COLUMN(NOTA[TGL.NOTA]))),-1)))</f>
        <v/>
      </c>
      <c r="AK746" s="26" t="str">
        <f ca="1">IF(NOTA[[#This Row],[ID_H]]="","",INDEX(NOTA[NO.NOTA],MATCH(NOTA[[#This Row],[ID_H]],NOTA[ID_H],0)))</f>
        <v/>
      </c>
      <c r="AL746" s="28" t="str">
        <f ca="1">IF(NOTA[[#This Row],[NAMA BARANG]]="","",INDEX(NOTA[SUPPLIER],MATCH(,INDIRECT(ADDRESS(ROW(NOTA[ID]),COLUMN(NOTA[ID]))&amp;":"&amp;ADDRESS(ROW(),COLUMN(NOTA[ID]))),-1)))</f>
        <v/>
      </c>
      <c r="AM746" s="28" t="str">
        <f ca="1">IF(NOTA[[#This Row],[ID_H]]="","",IF(NOTA[[#This Row],[FAKTUR]]="",INDIRECT(ADDRESS(ROW()-1,COLUMN())),NOTA[[#This Row],[FAKTUR]]))</f>
        <v/>
      </c>
      <c r="AN746" s="25" t="str">
        <f ca="1">IF(NOTA[[#This Row],[ID]]="","",COUNTIF(NOTA[ID_H],NOTA[[#This Row],[ID_H]]))</f>
        <v/>
      </c>
      <c r="AO746" s="25" t="str">
        <f ca="1">IF(NOTA[[#This Row],[TGL.NOTA]]="",IF(NOTA[[#This Row],[SUPPLIER_H]]="","",AO745),MONTH(NOTA[[#This Row],[TGL.NOTA]]))</f>
        <v/>
      </c>
      <c r="AP7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6" s="25"/>
      <c r="AU746" s="25" t="str">
        <f>IF(NOTA[[#This Row],[CONCAT1]]="","",MATCH(NOTA[[#This Row],[CONCAT1]],[3]!db[NB NOTA_C],0))</f>
        <v/>
      </c>
      <c r="AV746" s="25" t="str">
        <f>IF(NOTA[[#This Row],[QTY/ CTN]]="","",TRUE)</f>
        <v/>
      </c>
      <c r="AW746" s="25" t="str">
        <f ca="1">IF(NOTA[[#This Row],[ID_H]]="","",IF(NOTA[[#This Row],[Column3]]=TRUE,NOTA[[#This Row],[QTY/ CTN]],INDEX([3]!db[QTY/ CTN],NOTA[[#This Row],[//DB]])))</f>
        <v/>
      </c>
      <c r="AX7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6" s="25" t="str">
        <f ca="1">IF(NOTA[[#This Row],[ID_H]]="","",MATCH(NOTA[[#This Row],[NB NOTA_C_QTY]],[3]!db[NB NOTA_C_QTY+F],0))</f>
        <v/>
      </c>
      <c r="AZ746" s="38" t="str">
        <f ca="1">IF(NOTA[[#This Row],[NB NOTA_C_QTY]]="","",ROW()-2)</f>
        <v/>
      </c>
    </row>
    <row r="747" spans="1:52" ht="20.100000000000001" customHeight="1">
      <c r="A7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7" s="25" t="str">
        <f ca="1">IF(NOTA[[#This Row],[NAMA BARANG]]="","",INDEX(NOTA[ID],MATCH(,INDIRECT(ADDRESS(ROW(NOTA[ID]),COLUMN(NOTA[ID]))&amp;":"&amp;ADDRESS(ROW(),COLUMN(NOTA[ID]))),-1)))</f>
        <v/>
      </c>
      <c r="E747" s="33"/>
      <c r="H747" s="34"/>
      <c r="Q747" s="29"/>
      <c r="R747" s="35"/>
      <c r="S747" s="36"/>
      <c r="V747" s="37"/>
      <c r="W747" s="32"/>
      <c r="X747" s="37" t="str">
        <f>IF(NOTA[[#This Row],[HARGA/ CTN]]="",NOTA[[#This Row],[JUMLAH_H]],NOTA[[#This Row],[HARGA/ CTN]]*IF(NOTA[[#This Row],[C]]="",0,NOTA[[#This Row],[C]]))</f>
        <v/>
      </c>
      <c r="Y747" s="37" t="str">
        <f>IF(NOTA[[#This Row],[JUMLAH]]="","",NOTA[[#This Row],[JUMLAH]]*NOTA[[#This Row],[DISC 1]])</f>
        <v/>
      </c>
      <c r="Z747" s="37" t="str">
        <f>IF(NOTA[[#This Row],[JUMLAH]]="","",(NOTA[[#This Row],[JUMLAH]]-NOTA[[#This Row],[DISC 1-]])*NOTA[[#This Row],[DISC 2]])</f>
        <v/>
      </c>
      <c r="AA747" s="37" t="str">
        <f>IF(NOTA[[#This Row],[JUMLAH]]="","",(NOTA[[#This Row],[JUMLAH]]-NOTA[[#This Row],[DISC 1-]]-NOTA[[#This Row],[DISC 2-]])*NOTA[[#This Row],[DISC 3]])</f>
        <v/>
      </c>
      <c r="AB747" s="37" t="str">
        <f>IF(NOTA[[#This Row],[JUMLAH]]="","",NOTA[[#This Row],[DISC 1-]]+NOTA[[#This Row],[DISC 2-]]+NOTA[[#This Row],[DISC 3-]])</f>
        <v/>
      </c>
      <c r="AC747" s="37" t="str">
        <f>IF(NOTA[[#This Row],[JUMLAH]]="","",NOTA[[#This Row],[JUMLAH]]-NOTA[[#This Row],[DISC]])</f>
        <v/>
      </c>
      <c r="AD747" s="37"/>
      <c r="AE7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7" s="37" t="str">
        <f>IF(OR(NOTA[[#This Row],[QTY]]="",NOTA[[#This Row],[HARGA SATUAN]]="",),"",NOTA[[#This Row],[QTY]]*NOTA[[#This Row],[HARGA SATUAN]])</f>
        <v/>
      </c>
      <c r="AI747" s="26" t="str">
        <f ca="1">IF(NOTA[[#This Row],[ID_H]]="","",INDEX(NOTA[TANGGAL],MATCH(,INDIRECT(ADDRESS(ROW(NOTA[TANGGAL]),COLUMN(NOTA[TANGGAL]))&amp;":"&amp;ADDRESS(ROW(),COLUMN(NOTA[TANGGAL]))),-1)))</f>
        <v/>
      </c>
      <c r="AJ747" s="26" t="str">
        <f ca="1">IF(NOTA[[#This Row],[ID_H]]="","",INDEX(NOTA[TGL.NOTA],MATCH(,INDIRECT(ADDRESS(ROW(NOTA[TGL.NOTA]),COLUMN(NOTA[TGL.NOTA]))&amp;":"&amp;ADDRESS(ROW(),COLUMN(NOTA[TGL.NOTA]))),-1)))</f>
        <v/>
      </c>
      <c r="AK747" s="26" t="str">
        <f ca="1">IF(NOTA[[#This Row],[ID_H]]="","",INDEX(NOTA[NO.NOTA],MATCH(NOTA[[#This Row],[ID_H]],NOTA[ID_H],0)))</f>
        <v/>
      </c>
      <c r="AL747" s="28" t="str">
        <f ca="1">IF(NOTA[[#This Row],[NAMA BARANG]]="","",INDEX(NOTA[SUPPLIER],MATCH(,INDIRECT(ADDRESS(ROW(NOTA[ID]),COLUMN(NOTA[ID]))&amp;":"&amp;ADDRESS(ROW(),COLUMN(NOTA[ID]))),-1)))</f>
        <v/>
      </c>
      <c r="AM747" s="28" t="str">
        <f ca="1">IF(NOTA[[#This Row],[ID_H]]="","",IF(NOTA[[#This Row],[FAKTUR]]="",INDIRECT(ADDRESS(ROW()-1,COLUMN())),NOTA[[#This Row],[FAKTUR]]))</f>
        <v/>
      </c>
      <c r="AN747" s="25" t="str">
        <f ca="1">IF(NOTA[[#This Row],[ID]]="","",COUNTIF(NOTA[ID_H],NOTA[[#This Row],[ID_H]]))</f>
        <v/>
      </c>
      <c r="AO747" s="25" t="str">
        <f ca="1">IF(NOTA[[#This Row],[TGL.NOTA]]="",IF(NOTA[[#This Row],[SUPPLIER_H]]="","",AO746),MONTH(NOTA[[#This Row],[TGL.NOTA]]))</f>
        <v/>
      </c>
      <c r="AP7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7" s="25"/>
      <c r="AU747" s="25" t="str">
        <f>IF(NOTA[[#This Row],[CONCAT1]]="","",MATCH(NOTA[[#This Row],[CONCAT1]],[3]!db[NB NOTA_C],0))</f>
        <v/>
      </c>
      <c r="AV747" s="25" t="str">
        <f>IF(NOTA[[#This Row],[QTY/ CTN]]="","",TRUE)</f>
        <v/>
      </c>
      <c r="AW747" s="25" t="str">
        <f ca="1">IF(NOTA[[#This Row],[ID_H]]="","",IF(NOTA[[#This Row],[Column3]]=TRUE,NOTA[[#This Row],[QTY/ CTN]],INDEX([3]!db[QTY/ CTN],NOTA[[#This Row],[//DB]])))</f>
        <v/>
      </c>
      <c r="AX7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7" s="25" t="str">
        <f ca="1">IF(NOTA[[#This Row],[ID_H]]="","",MATCH(NOTA[[#This Row],[NB NOTA_C_QTY]],[3]!db[NB NOTA_C_QTY+F],0))</f>
        <v/>
      </c>
      <c r="AZ747" s="38" t="str">
        <f ca="1">IF(NOTA[[#This Row],[NB NOTA_C_QTY]]="","",ROW()-2)</f>
        <v/>
      </c>
    </row>
    <row r="748" spans="1:52" ht="20.100000000000001" customHeight="1">
      <c r="A7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8" s="25" t="str">
        <f ca="1">IF(NOTA[[#This Row],[NAMA BARANG]]="","",INDEX(NOTA[ID],MATCH(,INDIRECT(ADDRESS(ROW(NOTA[ID]),COLUMN(NOTA[ID]))&amp;":"&amp;ADDRESS(ROW(),COLUMN(NOTA[ID]))),-1)))</f>
        <v/>
      </c>
      <c r="E748" s="33"/>
      <c r="H748" s="34"/>
      <c r="Q748" s="29"/>
      <c r="R748" s="35"/>
      <c r="S748" s="36"/>
      <c r="V748" s="37"/>
      <c r="W748" s="32"/>
      <c r="X748" s="37" t="str">
        <f>IF(NOTA[[#This Row],[HARGA/ CTN]]="",NOTA[[#This Row],[JUMLAH_H]],NOTA[[#This Row],[HARGA/ CTN]]*IF(NOTA[[#This Row],[C]]="",0,NOTA[[#This Row],[C]]))</f>
        <v/>
      </c>
      <c r="Y748" s="37" t="str">
        <f>IF(NOTA[[#This Row],[JUMLAH]]="","",NOTA[[#This Row],[JUMLAH]]*NOTA[[#This Row],[DISC 1]])</f>
        <v/>
      </c>
      <c r="Z748" s="37" t="str">
        <f>IF(NOTA[[#This Row],[JUMLAH]]="","",(NOTA[[#This Row],[JUMLAH]]-NOTA[[#This Row],[DISC 1-]])*NOTA[[#This Row],[DISC 2]])</f>
        <v/>
      </c>
      <c r="AA748" s="37" t="str">
        <f>IF(NOTA[[#This Row],[JUMLAH]]="","",(NOTA[[#This Row],[JUMLAH]]-NOTA[[#This Row],[DISC 1-]]-NOTA[[#This Row],[DISC 2-]])*NOTA[[#This Row],[DISC 3]])</f>
        <v/>
      </c>
      <c r="AB748" s="37" t="str">
        <f>IF(NOTA[[#This Row],[JUMLAH]]="","",NOTA[[#This Row],[DISC 1-]]+NOTA[[#This Row],[DISC 2-]]+NOTA[[#This Row],[DISC 3-]])</f>
        <v/>
      </c>
      <c r="AC748" s="37" t="str">
        <f>IF(NOTA[[#This Row],[JUMLAH]]="","",NOTA[[#This Row],[JUMLAH]]-NOTA[[#This Row],[DISC]])</f>
        <v/>
      </c>
      <c r="AD748" s="37"/>
      <c r="AE7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8" s="37" t="str">
        <f>IF(OR(NOTA[[#This Row],[QTY]]="",NOTA[[#This Row],[HARGA SATUAN]]="",),"",NOTA[[#This Row],[QTY]]*NOTA[[#This Row],[HARGA SATUAN]])</f>
        <v/>
      </c>
      <c r="AI748" s="26" t="str">
        <f ca="1">IF(NOTA[[#This Row],[ID_H]]="","",INDEX(NOTA[TANGGAL],MATCH(,INDIRECT(ADDRESS(ROW(NOTA[TANGGAL]),COLUMN(NOTA[TANGGAL]))&amp;":"&amp;ADDRESS(ROW(),COLUMN(NOTA[TANGGAL]))),-1)))</f>
        <v/>
      </c>
      <c r="AJ748" s="26" t="str">
        <f ca="1">IF(NOTA[[#This Row],[ID_H]]="","",INDEX(NOTA[TGL.NOTA],MATCH(,INDIRECT(ADDRESS(ROW(NOTA[TGL.NOTA]),COLUMN(NOTA[TGL.NOTA]))&amp;":"&amp;ADDRESS(ROW(),COLUMN(NOTA[TGL.NOTA]))),-1)))</f>
        <v/>
      </c>
      <c r="AK748" s="26" t="str">
        <f ca="1">IF(NOTA[[#This Row],[ID_H]]="","",INDEX(NOTA[NO.NOTA],MATCH(NOTA[[#This Row],[ID_H]],NOTA[ID_H],0)))</f>
        <v/>
      </c>
      <c r="AL748" s="28" t="str">
        <f ca="1">IF(NOTA[[#This Row],[NAMA BARANG]]="","",INDEX(NOTA[SUPPLIER],MATCH(,INDIRECT(ADDRESS(ROW(NOTA[ID]),COLUMN(NOTA[ID]))&amp;":"&amp;ADDRESS(ROW(),COLUMN(NOTA[ID]))),-1)))</f>
        <v/>
      </c>
      <c r="AM748" s="28" t="str">
        <f ca="1">IF(NOTA[[#This Row],[ID_H]]="","",IF(NOTA[[#This Row],[FAKTUR]]="",INDIRECT(ADDRESS(ROW()-1,COLUMN())),NOTA[[#This Row],[FAKTUR]]))</f>
        <v/>
      </c>
      <c r="AN748" s="25" t="str">
        <f ca="1">IF(NOTA[[#This Row],[ID]]="","",COUNTIF(NOTA[ID_H],NOTA[[#This Row],[ID_H]]))</f>
        <v/>
      </c>
      <c r="AO748" s="25" t="str">
        <f ca="1">IF(NOTA[[#This Row],[TGL.NOTA]]="",IF(NOTA[[#This Row],[SUPPLIER_H]]="","",AO747),MONTH(NOTA[[#This Row],[TGL.NOTA]]))</f>
        <v/>
      </c>
      <c r="AP7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8" s="25"/>
      <c r="AU748" s="25" t="str">
        <f>IF(NOTA[[#This Row],[CONCAT1]]="","",MATCH(NOTA[[#This Row],[CONCAT1]],[3]!db[NB NOTA_C],0))</f>
        <v/>
      </c>
      <c r="AV748" s="25" t="str">
        <f>IF(NOTA[[#This Row],[QTY/ CTN]]="","",TRUE)</f>
        <v/>
      </c>
      <c r="AW748" s="25" t="str">
        <f ca="1">IF(NOTA[[#This Row],[ID_H]]="","",IF(NOTA[[#This Row],[Column3]]=TRUE,NOTA[[#This Row],[QTY/ CTN]],INDEX([3]!db[QTY/ CTN],NOTA[[#This Row],[//DB]])))</f>
        <v/>
      </c>
      <c r="AX7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8" s="25" t="str">
        <f ca="1">IF(NOTA[[#This Row],[ID_H]]="","",MATCH(NOTA[[#This Row],[NB NOTA_C_QTY]],[3]!db[NB NOTA_C_QTY+F],0))</f>
        <v/>
      </c>
      <c r="AZ748" s="38" t="str">
        <f ca="1">IF(NOTA[[#This Row],[NB NOTA_C_QTY]]="","",ROW()-2)</f>
        <v/>
      </c>
    </row>
    <row r="749" spans="1:52" ht="20.100000000000001" customHeight="1">
      <c r="A7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9" s="25" t="str">
        <f ca="1">IF(NOTA[[#This Row],[NAMA BARANG]]="","",INDEX(NOTA[ID],MATCH(,INDIRECT(ADDRESS(ROW(NOTA[ID]),COLUMN(NOTA[ID]))&amp;":"&amp;ADDRESS(ROW(),COLUMN(NOTA[ID]))),-1)))</f>
        <v/>
      </c>
      <c r="E749" s="33"/>
      <c r="H749" s="34"/>
      <c r="Q749" s="29"/>
      <c r="R749" s="35"/>
      <c r="S749" s="36"/>
      <c r="V749" s="37"/>
      <c r="W749" s="32"/>
      <c r="X749" s="37" t="str">
        <f>IF(NOTA[[#This Row],[HARGA/ CTN]]="",NOTA[[#This Row],[JUMLAH_H]],NOTA[[#This Row],[HARGA/ CTN]]*IF(NOTA[[#This Row],[C]]="",0,NOTA[[#This Row],[C]]))</f>
        <v/>
      </c>
      <c r="Y749" s="37" t="str">
        <f>IF(NOTA[[#This Row],[JUMLAH]]="","",NOTA[[#This Row],[JUMLAH]]*NOTA[[#This Row],[DISC 1]])</f>
        <v/>
      </c>
      <c r="Z749" s="37" t="str">
        <f>IF(NOTA[[#This Row],[JUMLAH]]="","",(NOTA[[#This Row],[JUMLAH]]-NOTA[[#This Row],[DISC 1-]])*NOTA[[#This Row],[DISC 2]])</f>
        <v/>
      </c>
      <c r="AA749" s="37" t="str">
        <f>IF(NOTA[[#This Row],[JUMLAH]]="","",(NOTA[[#This Row],[JUMLAH]]-NOTA[[#This Row],[DISC 1-]]-NOTA[[#This Row],[DISC 2-]])*NOTA[[#This Row],[DISC 3]])</f>
        <v/>
      </c>
      <c r="AB749" s="37" t="str">
        <f>IF(NOTA[[#This Row],[JUMLAH]]="","",NOTA[[#This Row],[DISC 1-]]+NOTA[[#This Row],[DISC 2-]]+NOTA[[#This Row],[DISC 3-]])</f>
        <v/>
      </c>
      <c r="AC749" s="37" t="str">
        <f>IF(NOTA[[#This Row],[JUMLAH]]="","",NOTA[[#This Row],[JUMLAH]]-NOTA[[#This Row],[DISC]])</f>
        <v/>
      </c>
      <c r="AD749" s="37"/>
      <c r="AE7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9" s="37" t="str">
        <f>IF(OR(NOTA[[#This Row],[QTY]]="",NOTA[[#This Row],[HARGA SATUAN]]="",),"",NOTA[[#This Row],[QTY]]*NOTA[[#This Row],[HARGA SATUAN]])</f>
        <v/>
      </c>
      <c r="AI749" s="26" t="str">
        <f ca="1">IF(NOTA[[#This Row],[ID_H]]="","",INDEX(NOTA[TANGGAL],MATCH(,INDIRECT(ADDRESS(ROW(NOTA[TANGGAL]),COLUMN(NOTA[TANGGAL]))&amp;":"&amp;ADDRESS(ROW(),COLUMN(NOTA[TANGGAL]))),-1)))</f>
        <v/>
      </c>
      <c r="AJ749" s="26" t="str">
        <f ca="1">IF(NOTA[[#This Row],[ID_H]]="","",INDEX(NOTA[TGL.NOTA],MATCH(,INDIRECT(ADDRESS(ROW(NOTA[TGL.NOTA]),COLUMN(NOTA[TGL.NOTA]))&amp;":"&amp;ADDRESS(ROW(),COLUMN(NOTA[TGL.NOTA]))),-1)))</f>
        <v/>
      </c>
      <c r="AK749" s="26" t="str">
        <f ca="1">IF(NOTA[[#This Row],[ID_H]]="","",INDEX(NOTA[NO.NOTA],MATCH(NOTA[[#This Row],[ID_H]],NOTA[ID_H],0)))</f>
        <v/>
      </c>
      <c r="AL749" s="28" t="str">
        <f ca="1">IF(NOTA[[#This Row],[NAMA BARANG]]="","",INDEX(NOTA[SUPPLIER],MATCH(,INDIRECT(ADDRESS(ROW(NOTA[ID]),COLUMN(NOTA[ID]))&amp;":"&amp;ADDRESS(ROW(),COLUMN(NOTA[ID]))),-1)))</f>
        <v/>
      </c>
      <c r="AM749" s="28" t="str">
        <f ca="1">IF(NOTA[[#This Row],[ID_H]]="","",IF(NOTA[[#This Row],[FAKTUR]]="",INDIRECT(ADDRESS(ROW()-1,COLUMN())),NOTA[[#This Row],[FAKTUR]]))</f>
        <v/>
      </c>
      <c r="AN749" s="25" t="str">
        <f ca="1">IF(NOTA[[#This Row],[ID]]="","",COUNTIF(NOTA[ID_H],NOTA[[#This Row],[ID_H]]))</f>
        <v/>
      </c>
      <c r="AO749" s="25" t="str">
        <f ca="1">IF(NOTA[[#This Row],[TGL.NOTA]]="",IF(NOTA[[#This Row],[SUPPLIER_H]]="","",AO748),MONTH(NOTA[[#This Row],[TGL.NOTA]]))</f>
        <v/>
      </c>
      <c r="AP7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9" s="25"/>
      <c r="AU749" s="25" t="str">
        <f>IF(NOTA[[#This Row],[CONCAT1]]="","",MATCH(NOTA[[#This Row],[CONCAT1]],[3]!db[NB NOTA_C],0))</f>
        <v/>
      </c>
      <c r="AV749" s="25" t="str">
        <f>IF(NOTA[[#This Row],[QTY/ CTN]]="","",TRUE)</f>
        <v/>
      </c>
      <c r="AW749" s="25" t="str">
        <f ca="1">IF(NOTA[[#This Row],[ID_H]]="","",IF(NOTA[[#This Row],[Column3]]=TRUE,NOTA[[#This Row],[QTY/ CTN]],INDEX([3]!db[QTY/ CTN],NOTA[[#This Row],[//DB]])))</f>
        <v/>
      </c>
      <c r="AX7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9" s="25" t="str">
        <f ca="1">IF(NOTA[[#This Row],[ID_H]]="","",MATCH(NOTA[[#This Row],[NB NOTA_C_QTY]],[3]!db[NB NOTA_C_QTY+F],0))</f>
        <v/>
      </c>
      <c r="AZ749" s="38" t="str">
        <f ca="1">IF(NOTA[[#This Row],[NB NOTA_C_QTY]]="","",ROW()-2)</f>
        <v/>
      </c>
    </row>
    <row r="750" spans="1:52" ht="20.100000000000001" customHeight="1">
      <c r="A7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0" s="25" t="str">
        <f ca="1">IF(NOTA[[#This Row],[NAMA BARANG]]="","",INDEX(NOTA[ID],MATCH(,INDIRECT(ADDRESS(ROW(NOTA[ID]),COLUMN(NOTA[ID]))&amp;":"&amp;ADDRESS(ROW(),COLUMN(NOTA[ID]))),-1)))</f>
        <v/>
      </c>
      <c r="E750" s="33"/>
      <c r="H750" s="34"/>
      <c r="Q750" s="29"/>
      <c r="R750" s="35"/>
      <c r="S750" s="36"/>
      <c r="V750" s="37"/>
      <c r="W750" s="32"/>
      <c r="X750" s="37" t="str">
        <f>IF(NOTA[[#This Row],[HARGA/ CTN]]="",NOTA[[#This Row],[JUMLAH_H]],NOTA[[#This Row],[HARGA/ CTN]]*IF(NOTA[[#This Row],[C]]="",0,NOTA[[#This Row],[C]]))</f>
        <v/>
      </c>
      <c r="Y750" s="37" t="str">
        <f>IF(NOTA[[#This Row],[JUMLAH]]="","",NOTA[[#This Row],[JUMLAH]]*NOTA[[#This Row],[DISC 1]])</f>
        <v/>
      </c>
      <c r="Z750" s="37" t="str">
        <f>IF(NOTA[[#This Row],[JUMLAH]]="","",(NOTA[[#This Row],[JUMLAH]]-NOTA[[#This Row],[DISC 1-]])*NOTA[[#This Row],[DISC 2]])</f>
        <v/>
      </c>
      <c r="AA750" s="37" t="str">
        <f>IF(NOTA[[#This Row],[JUMLAH]]="","",(NOTA[[#This Row],[JUMLAH]]-NOTA[[#This Row],[DISC 1-]]-NOTA[[#This Row],[DISC 2-]])*NOTA[[#This Row],[DISC 3]])</f>
        <v/>
      </c>
      <c r="AB750" s="37" t="str">
        <f>IF(NOTA[[#This Row],[JUMLAH]]="","",NOTA[[#This Row],[DISC 1-]]+NOTA[[#This Row],[DISC 2-]]+NOTA[[#This Row],[DISC 3-]])</f>
        <v/>
      </c>
      <c r="AC750" s="37" t="str">
        <f>IF(NOTA[[#This Row],[JUMLAH]]="","",NOTA[[#This Row],[JUMLAH]]-NOTA[[#This Row],[DISC]])</f>
        <v/>
      </c>
      <c r="AD750" s="37"/>
      <c r="AE7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0" s="37" t="str">
        <f>IF(OR(NOTA[[#This Row],[QTY]]="",NOTA[[#This Row],[HARGA SATUAN]]="",),"",NOTA[[#This Row],[QTY]]*NOTA[[#This Row],[HARGA SATUAN]])</f>
        <v/>
      </c>
      <c r="AI750" s="26" t="str">
        <f ca="1">IF(NOTA[[#This Row],[ID_H]]="","",INDEX(NOTA[TANGGAL],MATCH(,INDIRECT(ADDRESS(ROW(NOTA[TANGGAL]),COLUMN(NOTA[TANGGAL]))&amp;":"&amp;ADDRESS(ROW(),COLUMN(NOTA[TANGGAL]))),-1)))</f>
        <v/>
      </c>
      <c r="AJ750" s="26" t="str">
        <f ca="1">IF(NOTA[[#This Row],[ID_H]]="","",INDEX(NOTA[TGL.NOTA],MATCH(,INDIRECT(ADDRESS(ROW(NOTA[TGL.NOTA]),COLUMN(NOTA[TGL.NOTA]))&amp;":"&amp;ADDRESS(ROW(),COLUMN(NOTA[TGL.NOTA]))),-1)))</f>
        <v/>
      </c>
      <c r="AK750" s="26" t="str">
        <f ca="1">IF(NOTA[[#This Row],[ID_H]]="","",INDEX(NOTA[NO.NOTA],MATCH(NOTA[[#This Row],[ID_H]],NOTA[ID_H],0)))</f>
        <v/>
      </c>
      <c r="AL750" s="28" t="str">
        <f ca="1">IF(NOTA[[#This Row],[NAMA BARANG]]="","",INDEX(NOTA[SUPPLIER],MATCH(,INDIRECT(ADDRESS(ROW(NOTA[ID]),COLUMN(NOTA[ID]))&amp;":"&amp;ADDRESS(ROW(),COLUMN(NOTA[ID]))),-1)))</f>
        <v/>
      </c>
      <c r="AM750" s="28" t="str">
        <f ca="1">IF(NOTA[[#This Row],[ID_H]]="","",IF(NOTA[[#This Row],[FAKTUR]]="",INDIRECT(ADDRESS(ROW()-1,COLUMN())),NOTA[[#This Row],[FAKTUR]]))</f>
        <v/>
      </c>
      <c r="AN750" s="25" t="str">
        <f ca="1">IF(NOTA[[#This Row],[ID]]="","",COUNTIF(NOTA[ID_H],NOTA[[#This Row],[ID_H]]))</f>
        <v/>
      </c>
      <c r="AO750" s="25" t="str">
        <f ca="1">IF(NOTA[[#This Row],[TGL.NOTA]]="",IF(NOTA[[#This Row],[SUPPLIER_H]]="","",AO749),MONTH(NOTA[[#This Row],[TGL.NOTA]]))</f>
        <v/>
      </c>
      <c r="AP7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0" s="25"/>
      <c r="AU750" s="25" t="str">
        <f>IF(NOTA[[#This Row],[CONCAT1]]="","",MATCH(NOTA[[#This Row],[CONCAT1]],[3]!db[NB NOTA_C],0))</f>
        <v/>
      </c>
      <c r="AV750" s="25" t="str">
        <f>IF(NOTA[[#This Row],[QTY/ CTN]]="","",TRUE)</f>
        <v/>
      </c>
      <c r="AW750" s="25" t="str">
        <f ca="1">IF(NOTA[[#This Row],[ID_H]]="","",IF(NOTA[[#This Row],[Column3]]=TRUE,NOTA[[#This Row],[QTY/ CTN]],INDEX([3]!db[QTY/ CTN],NOTA[[#This Row],[//DB]])))</f>
        <v/>
      </c>
      <c r="AX7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0" s="25" t="str">
        <f ca="1">IF(NOTA[[#This Row],[ID_H]]="","",MATCH(NOTA[[#This Row],[NB NOTA_C_QTY]],[3]!db[NB NOTA_C_QTY+F],0))</f>
        <v/>
      </c>
      <c r="AZ750" s="38" t="str">
        <f ca="1">IF(NOTA[[#This Row],[NB NOTA_C_QTY]]="","",ROW()-2)</f>
        <v/>
      </c>
    </row>
    <row r="751" spans="1:52" ht="20.100000000000001" customHeight="1">
      <c r="A7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1" s="25" t="str">
        <f ca="1">IF(NOTA[[#This Row],[NAMA BARANG]]="","",INDEX(NOTA[ID],MATCH(,INDIRECT(ADDRESS(ROW(NOTA[ID]),COLUMN(NOTA[ID]))&amp;":"&amp;ADDRESS(ROW(),COLUMN(NOTA[ID]))),-1)))</f>
        <v/>
      </c>
      <c r="E751" s="33"/>
      <c r="H751" s="34"/>
      <c r="Q751" s="29"/>
      <c r="R751" s="35"/>
      <c r="S751" s="36"/>
      <c r="V751" s="37"/>
      <c r="W751" s="32"/>
      <c r="X751" s="37" t="str">
        <f>IF(NOTA[[#This Row],[HARGA/ CTN]]="",NOTA[[#This Row],[JUMLAH_H]],NOTA[[#This Row],[HARGA/ CTN]]*IF(NOTA[[#This Row],[C]]="",0,NOTA[[#This Row],[C]]))</f>
        <v/>
      </c>
      <c r="Y751" s="37" t="str">
        <f>IF(NOTA[[#This Row],[JUMLAH]]="","",NOTA[[#This Row],[JUMLAH]]*NOTA[[#This Row],[DISC 1]])</f>
        <v/>
      </c>
      <c r="Z751" s="37" t="str">
        <f>IF(NOTA[[#This Row],[JUMLAH]]="","",(NOTA[[#This Row],[JUMLAH]]-NOTA[[#This Row],[DISC 1-]])*NOTA[[#This Row],[DISC 2]])</f>
        <v/>
      </c>
      <c r="AA751" s="37" t="str">
        <f>IF(NOTA[[#This Row],[JUMLAH]]="","",(NOTA[[#This Row],[JUMLAH]]-NOTA[[#This Row],[DISC 1-]]-NOTA[[#This Row],[DISC 2-]])*NOTA[[#This Row],[DISC 3]])</f>
        <v/>
      </c>
      <c r="AB751" s="37" t="str">
        <f>IF(NOTA[[#This Row],[JUMLAH]]="","",NOTA[[#This Row],[DISC 1-]]+NOTA[[#This Row],[DISC 2-]]+NOTA[[#This Row],[DISC 3-]])</f>
        <v/>
      </c>
      <c r="AC751" s="37" t="str">
        <f>IF(NOTA[[#This Row],[JUMLAH]]="","",NOTA[[#This Row],[JUMLAH]]-NOTA[[#This Row],[DISC]])</f>
        <v/>
      </c>
      <c r="AD751" s="37"/>
      <c r="AE7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1" s="37" t="str">
        <f>IF(OR(NOTA[[#This Row],[QTY]]="",NOTA[[#This Row],[HARGA SATUAN]]="",),"",NOTA[[#This Row],[QTY]]*NOTA[[#This Row],[HARGA SATUAN]])</f>
        <v/>
      </c>
      <c r="AI751" s="26" t="str">
        <f ca="1">IF(NOTA[[#This Row],[ID_H]]="","",INDEX(NOTA[TANGGAL],MATCH(,INDIRECT(ADDRESS(ROW(NOTA[TANGGAL]),COLUMN(NOTA[TANGGAL]))&amp;":"&amp;ADDRESS(ROW(),COLUMN(NOTA[TANGGAL]))),-1)))</f>
        <v/>
      </c>
      <c r="AJ751" s="26" t="str">
        <f ca="1">IF(NOTA[[#This Row],[ID_H]]="","",INDEX(NOTA[TGL.NOTA],MATCH(,INDIRECT(ADDRESS(ROW(NOTA[TGL.NOTA]),COLUMN(NOTA[TGL.NOTA]))&amp;":"&amp;ADDRESS(ROW(),COLUMN(NOTA[TGL.NOTA]))),-1)))</f>
        <v/>
      </c>
      <c r="AK751" s="26" t="str">
        <f ca="1">IF(NOTA[[#This Row],[ID_H]]="","",INDEX(NOTA[NO.NOTA],MATCH(NOTA[[#This Row],[ID_H]],NOTA[ID_H],0)))</f>
        <v/>
      </c>
      <c r="AL751" s="28" t="str">
        <f ca="1">IF(NOTA[[#This Row],[NAMA BARANG]]="","",INDEX(NOTA[SUPPLIER],MATCH(,INDIRECT(ADDRESS(ROW(NOTA[ID]),COLUMN(NOTA[ID]))&amp;":"&amp;ADDRESS(ROW(),COLUMN(NOTA[ID]))),-1)))</f>
        <v/>
      </c>
      <c r="AM751" s="28" t="str">
        <f ca="1">IF(NOTA[[#This Row],[ID_H]]="","",IF(NOTA[[#This Row],[FAKTUR]]="",INDIRECT(ADDRESS(ROW()-1,COLUMN())),NOTA[[#This Row],[FAKTUR]]))</f>
        <v/>
      </c>
      <c r="AN751" s="25" t="str">
        <f ca="1">IF(NOTA[[#This Row],[ID]]="","",COUNTIF(NOTA[ID_H],NOTA[[#This Row],[ID_H]]))</f>
        <v/>
      </c>
      <c r="AO751" s="25" t="str">
        <f ca="1">IF(NOTA[[#This Row],[TGL.NOTA]]="",IF(NOTA[[#This Row],[SUPPLIER_H]]="","",AO750),MONTH(NOTA[[#This Row],[TGL.NOTA]]))</f>
        <v/>
      </c>
      <c r="AP7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1" s="25"/>
      <c r="AU751" s="25" t="str">
        <f>IF(NOTA[[#This Row],[CONCAT1]]="","",MATCH(NOTA[[#This Row],[CONCAT1]],[3]!db[NB NOTA_C],0))</f>
        <v/>
      </c>
      <c r="AV751" s="25" t="str">
        <f>IF(NOTA[[#This Row],[QTY/ CTN]]="","",TRUE)</f>
        <v/>
      </c>
      <c r="AW751" s="25" t="str">
        <f ca="1">IF(NOTA[[#This Row],[ID_H]]="","",IF(NOTA[[#This Row],[Column3]]=TRUE,NOTA[[#This Row],[QTY/ CTN]],INDEX([3]!db[QTY/ CTN],NOTA[[#This Row],[//DB]])))</f>
        <v/>
      </c>
      <c r="AX7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1" s="25" t="str">
        <f ca="1">IF(NOTA[[#This Row],[ID_H]]="","",MATCH(NOTA[[#This Row],[NB NOTA_C_QTY]],[3]!db[NB NOTA_C_QTY+F],0))</f>
        <v/>
      </c>
      <c r="AZ751" s="38" t="str">
        <f ca="1">IF(NOTA[[#This Row],[NB NOTA_C_QTY]]="","",ROW()-2)</f>
        <v/>
      </c>
    </row>
    <row r="752" spans="1:52" ht="20.100000000000001" customHeight="1">
      <c r="A7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2" s="25" t="str">
        <f ca="1">IF(NOTA[[#This Row],[NAMA BARANG]]="","",INDEX(NOTA[ID],MATCH(,INDIRECT(ADDRESS(ROW(NOTA[ID]),COLUMN(NOTA[ID]))&amp;":"&amp;ADDRESS(ROW(),COLUMN(NOTA[ID]))),-1)))</f>
        <v/>
      </c>
      <c r="E752" s="33"/>
      <c r="H752" s="34"/>
      <c r="Q752" s="29"/>
      <c r="R752" s="35"/>
      <c r="S752" s="36"/>
      <c r="V752" s="37"/>
      <c r="W752" s="32"/>
      <c r="X752" s="37" t="str">
        <f>IF(NOTA[[#This Row],[HARGA/ CTN]]="",NOTA[[#This Row],[JUMLAH_H]],NOTA[[#This Row],[HARGA/ CTN]]*IF(NOTA[[#This Row],[C]]="",0,NOTA[[#This Row],[C]]))</f>
        <v/>
      </c>
      <c r="Y752" s="37" t="str">
        <f>IF(NOTA[[#This Row],[JUMLAH]]="","",NOTA[[#This Row],[JUMLAH]]*NOTA[[#This Row],[DISC 1]])</f>
        <v/>
      </c>
      <c r="Z752" s="37" t="str">
        <f>IF(NOTA[[#This Row],[JUMLAH]]="","",(NOTA[[#This Row],[JUMLAH]]-NOTA[[#This Row],[DISC 1-]])*NOTA[[#This Row],[DISC 2]])</f>
        <v/>
      </c>
      <c r="AA752" s="37" t="str">
        <f>IF(NOTA[[#This Row],[JUMLAH]]="","",(NOTA[[#This Row],[JUMLAH]]-NOTA[[#This Row],[DISC 1-]]-NOTA[[#This Row],[DISC 2-]])*NOTA[[#This Row],[DISC 3]])</f>
        <v/>
      </c>
      <c r="AB752" s="37" t="str">
        <f>IF(NOTA[[#This Row],[JUMLAH]]="","",NOTA[[#This Row],[DISC 1-]]+NOTA[[#This Row],[DISC 2-]]+NOTA[[#This Row],[DISC 3-]])</f>
        <v/>
      </c>
      <c r="AC752" s="37" t="str">
        <f>IF(NOTA[[#This Row],[JUMLAH]]="","",NOTA[[#This Row],[JUMLAH]]-NOTA[[#This Row],[DISC]])</f>
        <v/>
      </c>
      <c r="AD752" s="37"/>
      <c r="AE7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2" s="37" t="str">
        <f>IF(OR(NOTA[[#This Row],[QTY]]="",NOTA[[#This Row],[HARGA SATUAN]]="",),"",NOTA[[#This Row],[QTY]]*NOTA[[#This Row],[HARGA SATUAN]])</f>
        <v/>
      </c>
      <c r="AI752" s="26" t="str">
        <f ca="1">IF(NOTA[[#This Row],[ID_H]]="","",INDEX(NOTA[TANGGAL],MATCH(,INDIRECT(ADDRESS(ROW(NOTA[TANGGAL]),COLUMN(NOTA[TANGGAL]))&amp;":"&amp;ADDRESS(ROW(),COLUMN(NOTA[TANGGAL]))),-1)))</f>
        <v/>
      </c>
      <c r="AJ752" s="26" t="str">
        <f ca="1">IF(NOTA[[#This Row],[ID_H]]="","",INDEX(NOTA[TGL.NOTA],MATCH(,INDIRECT(ADDRESS(ROW(NOTA[TGL.NOTA]),COLUMN(NOTA[TGL.NOTA]))&amp;":"&amp;ADDRESS(ROW(),COLUMN(NOTA[TGL.NOTA]))),-1)))</f>
        <v/>
      </c>
      <c r="AK752" s="26" t="str">
        <f ca="1">IF(NOTA[[#This Row],[ID_H]]="","",INDEX(NOTA[NO.NOTA],MATCH(NOTA[[#This Row],[ID_H]],NOTA[ID_H],0)))</f>
        <v/>
      </c>
      <c r="AL752" s="28" t="str">
        <f ca="1">IF(NOTA[[#This Row],[NAMA BARANG]]="","",INDEX(NOTA[SUPPLIER],MATCH(,INDIRECT(ADDRESS(ROW(NOTA[ID]),COLUMN(NOTA[ID]))&amp;":"&amp;ADDRESS(ROW(),COLUMN(NOTA[ID]))),-1)))</f>
        <v/>
      </c>
      <c r="AM752" s="28" t="str">
        <f ca="1">IF(NOTA[[#This Row],[ID_H]]="","",IF(NOTA[[#This Row],[FAKTUR]]="",INDIRECT(ADDRESS(ROW()-1,COLUMN())),NOTA[[#This Row],[FAKTUR]]))</f>
        <v/>
      </c>
      <c r="AN752" s="25" t="str">
        <f ca="1">IF(NOTA[[#This Row],[ID]]="","",COUNTIF(NOTA[ID_H],NOTA[[#This Row],[ID_H]]))</f>
        <v/>
      </c>
      <c r="AO752" s="25" t="str">
        <f ca="1">IF(NOTA[[#This Row],[TGL.NOTA]]="",IF(NOTA[[#This Row],[SUPPLIER_H]]="","",AO751),MONTH(NOTA[[#This Row],[TGL.NOTA]]))</f>
        <v/>
      </c>
      <c r="AP7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2" s="25"/>
      <c r="AU752" s="25" t="str">
        <f>IF(NOTA[[#This Row],[CONCAT1]]="","",MATCH(NOTA[[#This Row],[CONCAT1]],[3]!db[NB NOTA_C],0))</f>
        <v/>
      </c>
      <c r="AV752" s="25" t="str">
        <f>IF(NOTA[[#This Row],[QTY/ CTN]]="","",TRUE)</f>
        <v/>
      </c>
      <c r="AW752" s="25" t="str">
        <f ca="1">IF(NOTA[[#This Row],[ID_H]]="","",IF(NOTA[[#This Row],[Column3]]=TRUE,NOTA[[#This Row],[QTY/ CTN]],INDEX([3]!db[QTY/ CTN],NOTA[[#This Row],[//DB]])))</f>
        <v/>
      </c>
      <c r="AX7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2" s="25" t="str">
        <f ca="1">IF(NOTA[[#This Row],[ID_H]]="","",MATCH(NOTA[[#This Row],[NB NOTA_C_QTY]],[3]!db[NB NOTA_C_QTY+F],0))</f>
        <v/>
      </c>
      <c r="AZ752" s="38" t="str">
        <f ca="1">IF(NOTA[[#This Row],[NB NOTA_C_QTY]]="","",ROW()-2)</f>
        <v/>
      </c>
    </row>
    <row r="753" spans="1:52" ht="20.100000000000001" customHeight="1">
      <c r="A7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3" s="25" t="str">
        <f ca="1">IF(NOTA[[#This Row],[NAMA BARANG]]="","",INDEX(NOTA[ID],MATCH(,INDIRECT(ADDRESS(ROW(NOTA[ID]),COLUMN(NOTA[ID]))&amp;":"&amp;ADDRESS(ROW(),COLUMN(NOTA[ID]))),-1)))</f>
        <v/>
      </c>
      <c r="E753" s="33"/>
      <c r="H753" s="34"/>
      <c r="Q753" s="29"/>
      <c r="R753" s="35"/>
      <c r="S753" s="36"/>
      <c r="V753" s="37"/>
      <c r="W753" s="32"/>
      <c r="X753" s="37" t="str">
        <f>IF(NOTA[[#This Row],[HARGA/ CTN]]="",NOTA[[#This Row],[JUMLAH_H]],NOTA[[#This Row],[HARGA/ CTN]]*IF(NOTA[[#This Row],[C]]="",0,NOTA[[#This Row],[C]]))</f>
        <v/>
      </c>
      <c r="Y753" s="37" t="str">
        <f>IF(NOTA[[#This Row],[JUMLAH]]="","",NOTA[[#This Row],[JUMLAH]]*NOTA[[#This Row],[DISC 1]])</f>
        <v/>
      </c>
      <c r="Z753" s="37" t="str">
        <f>IF(NOTA[[#This Row],[JUMLAH]]="","",(NOTA[[#This Row],[JUMLAH]]-NOTA[[#This Row],[DISC 1-]])*NOTA[[#This Row],[DISC 2]])</f>
        <v/>
      </c>
      <c r="AA753" s="37" t="str">
        <f>IF(NOTA[[#This Row],[JUMLAH]]="","",(NOTA[[#This Row],[JUMLAH]]-NOTA[[#This Row],[DISC 1-]]-NOTA[[#This Row],[DISC 2-]])*NOTA[[#This Row],[DISC 3]])</f>
        <v/>
      </c>
      <c r="AB753" s="37" t="str">
        <f>IF(NOTA[[#This Row],[JUMLAH]]="","",NOTA[[#This Row],[DISC 1-]]+NOTA[[#This Row],[DISC 2-]]+NOTA[[#This Row],[DISC 3-]])</f>
        <v/>
      </c>
      <c r="AC753" s="37" t="str">
        <f>IF(NOTA[[#This Row],[JUMLAH]]="","",NOTA[[#This Row],[JUMLAH]]-NOTA[[#This Row],[DISC]])</f>
        <v/>
      </c>
      <c r="AD753" s="37"/>
      <c r="AE7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3" s="37" t="str">
        <f>IF(OR(NOTA[[#This Row],[QTY]]="",NOTA[[#This Row],[HARGA SATUAN]]="",),"",NOTA[[#This Row],[QTY]]*NOTA[[#This Row],[HARGA SATUAN]])</f>
        <v/>
      </c>
      <c r="AI753" s="26" t="str">
        <f ca="1">IF(NOTA[[#This Row],[ID_H]]="","",INDEX(NOTA[TANGGAL],MATCH(,INDIRECT(ADDRESS(ROW(NOTA[TANGGAL]),COLUMN(NOTA[TANGGAL]))&amp;":"&amp;ADDRESS(ROW(),COLUMN(NOTA[TANGGAL]))),-1)))</f>
        <v/>
      </c>
      <c r="AJ753" s="26" t="str">
        <f ca="1">IF(NOTA[[#This Row],[ID_H]]="","",INDEX(NOTA[TGL.NOTA],MATCH(,INDIRECT(ADDRESS(ROW(NOTA[TGL.NOTA]),COLUMN(NOTA[TGL.NOTA]))&amp;":"&amp;ADDRESS(ROW(),COLUMN(NOTA[TGL.NOTA]))),-1)))</f>
        <v/>
      </c>
      <c r="AK753" s="26" t="str">
        <f ca="1">IF(NOTA[[#This Row],[ID_H]]="","",INDEX(NOTA[NO.NOTA],MATCH(NOTA[[#This Row],[ID_H]],NOTA[ID_H],0)))</f>
        <v/>
      </c>
      <c r="AL753" s="28" t="str">
        <f ca="1">IF(NOTA[[#This Row],[NAMA BARANG]]="","",INDEX(NOTA[SUPPLIER],MATCH(,INDIRECT(ADDRESS(ROW(NOTA[ID]),COLUMN(NOTA[ID]))&amp;":"&amp;ADDRESS(ROW(),COLUMN(NOTA[ID]))),-1)))</f>
        <v/>
      </c>
      <c r="AM753" s="28" t="str">
        <f ca="1">IF(NOTA[[#This Row],[ID_H]]="","",IF(NOTA[[#This Row],[FAKTUR]]="",INDIRECT(ADDRESS(ROW()-1,COLUMN())),NOTA[[#This Row],[FAKTUR]]))</f>
        <v/>
      </c>
      <c r="AN753" s="25" t="str">
        <f ca="1">IF(NOTA[[#This Row],[ID]]="","",COUNTIF(NOTA[ID_H],NOTA[[#This Row],[ID_H]]))</f>
        <v/>
      </c>
      <c r="AO753" s="25" t="str">
        <f ca="1">IF(NOTA[[#This Row],[TGL.NOTA]]="",IF(NOTA[[#This Row],[SUPPLIER_H]]="","",AO752),MONTH(NOTA[[#This Row],[TGL.NOTA]]))</f>
        <v/>
      </c>
      <c r="AP7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3" s="25"/>
      <c r="AU753" s="25" t="str">
        <f>IF(NOTA[[#This Row],[CONCAT1]]="","",MATCH(NOTA[[#This Row],[CONCAT1]],[3]!db[NB NOTA_C],0))</f>
        <v/>
      </c>
      <c r="AV753" s="25" t="str">
        <f>IF(NOTA[[#This Row],[QTY/ CTN]]="","",TRUE)</f>
        <v/>
      </c>
      <c r="AW753" s="25" t="str">
        <f ca="1">IF(NOTA[[#This Row],[ID_H]]="","",IF(NOTA[[#This Row],[Column3]]=TRUE,NOTA[[#This Row],[QTY/ CTN]],INDEX([3]!db[QTY/ CTN],NOTA[[#This Row],[//DB]])))</f>
        <v/>
      </c>
      <c r="AX7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3" s="25" t="str">
        <f ca="1">IF(NOTA[[#This Row],[ID_H]]="","",MATCH(NOTA[[#This Row],[NB NOTA_C_QTY]],[3]!db[NB NOTA_C_QTY+F],0))</f>
        <v/>
      </c>
      <c r="AZ753" s="38" t="str">
        <f ca="1">IF(NOTA[[#This Row],[NB NOTA_C_QTY]]="","",ROW()-2)</f>
        <v/>
      </c>
    </row>
    <row r="754" spans="1:52" ht="20.100000000000001" customHeight="1">
      <c r="A7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4" s="25" t="str">
        <f ca="1">IF(NOTA[[#This Row],[NAMA BARANG]]="","",INDEX(NOTA[ID],MATCH(,INDIRECT(ADDRESS(ROW(NOTA[ID]),COLUMN(NOTA[ID]))&amp;":"&amp;ADDRESS(ROW(),COLUMN(NOTA[ID]))),-1)))</f>
        <v/>
      </c>
      <c r="E754" s="33"/>
      <c r="H754" s="34"/>
      <c r="Q754" s="29"/>
      <c r="R754" s="35"/>
      <c r="S754" s="36"/>
      <c r="V754" s="37"/>
      <c r="W754" s="32"/>
      <c r="X754" s="37" t="str">
        <f>IF(NOTA[[#This Row],[HARGA/ CTN]]="",NOTA[[#This Row],[JUMLAH_H]],NOTA[[#This Row],[HARGA/ CTN]]*IF(NOTA[[#This Row],[C]]="",0,NOTA[[#This Row],[C]]))</f>
        <v/>
      </c>
      <c r="Y754" s="37" t="str">
        <f>IF(NOTA[[#This Row],[JUMLAH]]="","",NOTA[[#This Row],[JUMLAH]]*NOTA[[#This Row],[DISC 1]])</f>
        <v/>
      </c>
      <c r="Z754" s="37" t="str">
        <f>IF(NOTA[[#This Row],[JUMLAH]]="","",(NOTA[[#This Row],[JUMLAH]]-NOTA[[#This Row],[DISC 1-]])*NOTA[[#This Row],[DISC 2]])</f>
        <v/>
      </c>
      <c r="AA754" s="37" t="str">
        <f>IF(NOTA[[#This Row],[JUMLAH]]="","",(NOTA[[#This Row],[JUMLAH]]-NOTA[[#This Row],[DISC 1-]]-NOTA[[#This Row],[DISC 2-]])*NOTA[[#This Row],[DISC 3]])</f>
        <v/>
      </c>
      <c r="AB754" s="37" t="str">
        <f>IF(NOTA[[#This Row],[JUMLAH]]="","",NOTA[[#This Row],[DISC 1-]]+NOTA[[#This Row],[DISC 2-]]+NOTA[[#This Row],[DISC 3-]])</f>
        <v/>
      </c>
      <c r="AC754" s="37" t="str">
        <f>IF(NOTA[[#This Row],[JUMLAH]]="","",NOTA[[#This Row],[JUMLAH]]-NOTA[[#This Row],[DISC]])</f>
        <v/>
      </c>
      <c r="AD754" s="37"/>
      <c r="AE7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4" s="37" t="str">
        <f>IF(OR(NOTA[[#This Row],[QTY]]="",NOTA[[#This Row],[HARGA SATUAN]]="",),"",NOTA[[#This Row],[QTY]]*NOTA[[#This Row],[HARGA SATUAN]])</f>
        <v/>
      </c>
      <c r="AI754" s="26" t="str">
        <f ca="1">IF(NOTA[[#This Row],[ID_H]]="","",INDEX(NOTA[TANGGAL],MATCH(,INDIRECT(ADDRESS(ROW(NOTA[TANGGAL]),COLUMN(NOTA[TANGGAL]))&amp;":"&amp;ADDRESS(ROW(),COLUMN(NOTA[TANGGAL]))),-1)))</f>
        <v/>
      </c>
      <c r="AJ754" s="26" t="str">
        <f ca="1">IF(NOTA[[#This Row],[ID_H]]="","",INDEX(NOTA[TGL.NOTA],MATCH(,INDIRECT(ADDRESS(ROW(NOTA[TGL.NOTA]),COLUMN(NOTA[TGL.NOTA]))&amp;":"&amp;ADDRESS(ROW(),COLUMN(NOTA[TGL.NOTA]))),-1)))</f>
        <v/>
      </c>
      <c r="AK754" s="26" t="str">
        <f ca="1">IF(NOTA[[#This Row],[ID_H]]="","",INDEX(NOTA[NO.NOTA],MATCH(NOTA[[#This Row],[ID_H]],NOTA[ID_H],0)))</f>
        <v/>
      </c>
      <c r="AL754" s="28" t="str">
        <f ca="1">IF(NOTA[[#This Row],[NAMA BARANG]]="","",INDEX(NOTA[SUPPLIER],MATCH(,INDIRECT(ADDRESS(ROW(NOTA[ID]),COLUMN(NOTA[ID]))&amp;":"&amp;ADDRESS(ROW(),COLUMN(NOTA[ID]))),-1)))</f>
        <v/>
      </c>
      <c r="AM754" s="28" t="str">
        <f ca="1">IF(NOTA[[#This Row],[ID_H]]="","",IF(NOTA[[#This Row],[FAKTUR]]="",INDIRECT(ADDRESS(ROW()-1,COLUMN())),NOTA[[#This Row],[FAKTUR]]))</f>
        <v/>
      </c>
      <c r="AN754" s="25" t="str">
        <f ca="1">IF(NOTA[[#This Row],[ID]]="","",COUNTIF(NOTA[ID_H],NOTA[[#This Row],[ID_H]]))</f>
        <v/>
      </c>
      <c r="AO754" s="25" t="str">
        <f ca="1">IF(NOTA[[#This Row],[TGL.NOTA]]="",IF(NOTA[[#This Row],[SUPPLIER_H]]="","",AO753),MONTH(NOTA[[#This Row],[TGL.NOTA]]))</f>
        <v/>
      </c>
      <c r="AP7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4" s="25"/>
      <c r="AU754" s="25" t="str">
        <f>IF(NOTA[[#This Row],[CONCAT1]]="","",MATCH(NOTA[[#This Row],[CONCAT1]],[3]!db[NB NOTA_C],0))</f>
        <v/>
      </c>
      <c r="AV754" s="25" t="str">
        <f>IF(NOTA[[#This Row],[QTY/ CTN]]="","",TRUE)</f>
        <v/>
      </c>
      <c r="AW754" s="25" t="str">
        <f ca="1">IF(NOTA[[#This Row],[ID_H]]="","",IF(NOTA[[#This Row],[Column3]]=TRUE,NOTA[[#This Row],[QTY/ CTN]],INDEX([3]!db[QTY/ CTN],NOTA[[#This Row],[//DB]])))</f>
        <v/>
      </c>
      <c r="AX7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4" s="25" t="str">
        <f ca="1">IF(NOTA[[#This Row],[ID_H]]="","",MATCH(NOTA[[#This Row],[NB NOTA_C_QTY]],[3]!db[NB NOTA_C_QTY+F],0))</f>
        <v/>
      </c>
      <c r="AZ754" s="38" t="str">
        <f ca="1">IF(NOTA[[#This Row],[NB NOTA_C_QTY]]="","",ROW()-2)</f>
        <v/>
      </c>
    </row>
    <row r="755" spans="1:52" ht="20.100000000000001" customHeight="1">
      <c r="A7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5" s="25" t="str">
        <f ca="1">IF(NOTA[[#This Row],[NAMA BARANG]]="","",INDEX(NOTA[ID],MATCH(,INDIRECT(ADDRESS(ROW(NOTA[ID]),COLUMN(NOTA[ID]))&amp;":"&amp;ADDRESS(ROW(),COLUMN(NOTA[ID]))),-1)))</f>
        <v/>
      </c>
      <c r="E755" s="33"/>
      <c r="H755" s="34"/>
      <c r="Q755" s="29"/>
      <c r="R755" s="35"/>
      <c r="S755" s="36"/>
      <c r="V755" s="37"/>
      <c r="W755" s="32"/>
      <c r="X755" s="37" t="str">
        <f>IF(NOTA[[#This Row],[HARGA/ CTN]]="",NOTA[[#This Row],[JUMLAH_H]],NOTA[[#This Row],[HARGA/ CTN]]*IF(NOTA[[#This Row],[C]]="",0,NOTA[[#This Row],[C]]))</f>
        <v/>
      </c>
      <c r="Y755" s="37" t="str">
        <f>IF(NOTA[[#This Row],[JUMLAH]]="","",NOTA[[#This Row],[JUMLAH]]*NOTA[[#This Row],[DISC 1]])</f>
        <v/>
      </c>
      <c r="Z755" s="37" t="str">
        <f>IF(NOTA[[#This Row],[JUMLAH]]="","",(NOTA[[#This Row],[JUMLAH]]-NOTA[[#This Row],[DISC 1-]])*NOTA[[#This Row],[DISC 2]])</f>
        <v/>
      </c>
      <c r="AA755" s="37" t="str">
        <f>IF(NOTA[[#This Row],[JUMLAH]]="","",(NOTA[[#This Row],[JUMLAH]]-NOTA[[#This Row],[DISC 1-]]-NOTA[[#This Row],[DISC 2-]])*NOTA[[#This Row],[DISC 3]])</f>
        <v/>
      </c>
      <c r="AB755" s="37" t="str">
        <f>IF(NOTA[[#This Row],[JUMLAH]]="","",NOTA[[#This Row],[DISC 1-]]+NOTA[[#This Row],[DISC 2-]]+NOTA[[#This Row],[DISC 3-]])</f>
        <v/>
      </c>
      <c r="AC755" s="37" t="str">
        <f>IF(NOTA[[#This Row],[JUMLAH]]="","",NOTA[[#This Row],[JUMLAH]]-NOTA[[#This Row],[DISC]])</f>
        <v/>
      </c>
      <c r="AD755" s="37"/>
      <c r="AE7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5" s="37" t="str">
        <f>IF(OR(NOTA[[#This Row],[QTY]]="",NOTA[[#This Row],[HARGA SATUAN]]="",),"",NOTA[[#This Row],[QTY]]*NOTA[[#This Row],[HARGA SATUAN]])</f>
        <v/>
      </c>
      <c r="AI755" s="26" t="str">
        <f ca="1">IF(NOTA[[#This Row],[ID_H]]="","",INDEX(NOTA[TANGGAL],MATCH(,INDIRECT(ADDRESS(ROW(NOTA[TANGGAL]),COLUMN(NOTA[TANGGAL]))&amp;":"&amp;ADDRESS(ROW(),COLUMN(NOTA[TANGGAL]))),-1)))</f>
        <v/>
      </c>
      <c r="AJ755" s="26" t="str">
        <f ca="1">IF(NOTA[[#This Row],[ID_H]]="","",INDEX(NOTA[TGL.NOTA],MATCH(,INDIRECT(ADDRESS(ROW(NOTA[TGL.NOTA]),COLUMN(NOTA[TGL.NOTA]))&amp;":"&amp;ADDRESS(ROW(),COLUMN(NOTA[TGL.NOTA]))),-1)))</f>
        <v/>
      </c>
      <c r="AK755" s="26" t="str">
        <f ca="1">IF(NOTA[[#This Row],[ID_H]]="","",INDEX(NOTA[NO.NOTA],MATCH(NOTA[[#This Row],[ID_H]],NOTA[ID_H],0)))</f>
        <v/>
      </c>
      <c r="AL755" s="28" t="str">
        <f ca="1">IF(NOTA[[#This Row],[NAMA BARANG]]="","",INDEX(NOTA[SUPPLIER],MATCH(,INDIRECT(ADDRESS(ROW(NOTA[ID]),COLUMN(NOTA[ID]))&amp;":"&amp;ADDRESS(ROW(),COLUMN(NOTA[ID]))),-1)))</f>
        <v/>
      </c>
      <c r="AM755" s="28" t="str">
        <f ca="1">IF(NOTA[[#This Row],[ID_H]]="","",IF(NOTA[[#This Row],[FAKTUR]]="",INDIRECT(ADDRESS(ROW()-1,COLUMN())),NOTA[[#This Row],[FAKTUR]]))</f>
        <v/>
      </c>
      <c r="AN755" s="25" t="str">
        <f ca="1">IF(NOTA[[#This Row],[ID]]="","",COUNTIF(NOTA[ID_H],NOTA[[#This Row],[ID_H]]))</f>
        <v/>
      </c>
      <c r="AO755" s="25" t="str">
        <f ca="1">IF(NOTA[[#This Row],[TGL.NOTA]]="",IF(NOTA[[#This Row],[SUPPLIER_H]]="","",AO754),MONTH(NOTA[[#This Row],[TGL.NOTA]]))</f>
        <v/>
      </c>
      <c r="AP7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5" s="25"/>
      <c r="AU755" s="25" t="str">
        <f>IF(NOTA[[#This Row],[CONCAT1]]="","",MATCH(NOTA[[#This Row],[CONCAT1]],[3]!db[NB NOTA_C],0))</f>
        <v/>
      </c>
      <c r="AV755" s="25" t="str">
        <f>IF(NOTA[[#This Row],[QTY/ CTN]]="","",TRUE)</f>
        <v/>
      </c>
      <c r="AW755" s="25" t="str">
        <f ca="1">IF(NOTA[[#This Row],[ID_H]]="","",IF(NOTA[[#This Row],[Column3]]=TRUE,NOTA[[#This Row],[QTY/ CTN]],INDEX([3]!db[QTY/ CTN],NOTA[[#This Row],[//DB]])))</f>
        <v/>
      </c>
      <c r="AX7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5" s="25" t="str">
        <f ca="1">IF(NOTA[[#This Row],[ID_H]]="","",MATCH(NOTA[[#This Row],[NB NOTA_C_QTY]],[3]!db[NB NOTA_C_QTY+F],0))</f>
        <v/>
      </c>
      <c r="AZ755" s="38" t="str">
        <f ca="1">IF(NOTA[[#This Row],[NB NOTA_C_QTY]]="","",ROW()-2)</f>
        <v/>
      </c>
    </row>
    <row r="756" spans="1:52" ht="20.100000000000001" customHeight="1">
      <c r="A7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6" s="25" t="str">
        <f ca="1">IF(NOTA[[#This Row],[NAMA BARANG]]="","",INDEX(NOTA[ID],MATCH(,INDIRECT(ADDRESS(ROW(NOTA[ID]),COLUMN(NOTA[ID]))&amp;":"&amp;ADDRESS(ROW(),COLUMN(NOTA[ID]))),-1)))</f>
        <v/>
      </c>
      <c r="E756" s="33"/>
      <c r="H756" s="34"/>
      <c r="Q756" s="29"/>
      <c r="R756" s="35"/>
      <c r="S756" s="36"/>
      <c r="V756" s="37"/>
      <c r="W756" s="32"/>
      <c r="X756" s="37" t="str">
        <f>IF(NOTA[[#This Row],[HARGA/ CTN]]="",NOTA[[#This Row],[JUMLAH_H]],NOTA[[#This Row],[HARGA/ CTN]]*IF(NOTA[[#This Row],[C]]="",0,NOTA[[#This Row],[C]]))</f>
        <v/>
      </c>
      <c r="Y756" s="37" t="str">
        <f>IF(NOTA[[#This Row],[JUMLAH]]="","",NOTA[[#This Row],[JUMLAH]]*NOTA[[#This Row],[DISC 1]])</f>
        <v/>
      </c>
      <c r="Z756" s="37" t="str">
        <f>IF(NOTA[[#This Row],[JUMLAH]]="","",(NOTA[[#This Row],[JUMLAH]]-NOTA[[#This Row],[DISC 1-]])*NOTA[[#This Row],[DISC 2]])</f>
        <v/>
      </c>
      <c r="AA756" s="37" t="str">
        <f>IF(NOTA[[#This Row],[JUMLAH]]="","",(NOTA[[#This Row],[JUMLAH]]-NOTA[[#This Row],[DISC 1-]]-NOTA[[#This Row],[DISC 2-]])*NOTA[[#This Row],[DISC 3]])</f>
        <v/>
      </c>
      <c r="AB756" s="37" t="str">
        <f>IF(NOTA[[#This Row],[JUMLAH]]="","",NOTA[[#This Row],[DISC 1-]]+NOTA[[#This Row],[DISC 2-]]+NOTA[[#This Row],[DISC 3-]])</f>
        <v/>
      </c>
      <c r="AC756" s="37" t="str">
        <f>IF(NOTA[[#This Row],[JUMLAH]]="","",NOTA[[#This Row],[JUMLAH]]-NOTA[[#This Row],[DISC]])</f>
        <v/>
      </c>
      <c r="AD756" s="37"/>
      <c r="AE7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6" s="37" t="str">
        <f>IF(OR(NOTA[[#This Row],[QTY]]="",NOTA[[#This Row],[HARGA SATUAN]]="",),"",NOTA[[#This Row],[QTY]]*NOTA[[#This Row],[HARGA SATUAN]])</f>
        <v/>
      </c>
      <c r="AI756" s="26" t="str">
        <f ca="1">IF(NOTA[[#This Row],[ID_H]]="","",INDEX(NOTA[TANGGAL],MATCH(,INDIRECT(ADDRESS(ROW(NOTA[TANGGAL]),COLUMN(NOTA[TANGGAL]))&amp;":"&amp;ADDRESS(ROW(),COLUMN(NOTA[TANGGAL]))),-1)))</f>
        <v/>
      </c>
      <c r="AJ756" s="26" t="str">
        <f ca="1">IF(NOTA[[#This Row],[ID_H]]="","",INDEX(NOTA[TGL.NOTA],MATCH(,INDIRECT(ADDRESS(ROW(NOTA[TGL.NOTA]),COLUMN(NOTA[TGL.NOTA]))&amp;":"&amp;ADDRESS(ROW(),COLUMN(NOTA[TGL.NOTA]))),-1)))</f>
        <v/>
      </c>
      <c r="AK756" s="26" t="str">
        <f ca="1">IF(NOTA[[#This Row],[ID_H]]="","",INDEX(NOTA[NO.NOTA],MATCH(NOTA[[#This Row],[ID_H]],NOTA[ID_H],0)))</f>
        <v/>
      </c>
      <c r="AL756" s="28" t="str">
        <f ca="1">IF(NOTA[[#This Row],[NAMA BARANG]]="","",INDEX(NOTA[SUPPLIER],MATCH(,INDIRECT(ADDRESS(ROW(NOTA[ID]),COLUMN(NOTA[ID]))&amp;":"&amp;ADDRESS(ROW(),COLUMN(NOTA[ID]))),-1)))</f>
        <v/>
      </c>
      <c r="AM756" s="28" t="str">
        <f ca="1">IF(NOTA[[#This Row],[ID_H]]="","",IF(NOTA[[#This Row],[FAKTUR]]="",INDIRECT(ADDRESS(ROW()-1,COLUMN())),NOTA[[#This Row],[FAKTUR]]))</f>
        <v/>
      </c>
      <c r="AN756" s="25" t="str">
        <f ca="1">IF(NOTA[[#This Row],[ID]]="","",COUNTIF(NOTA[ID_H],NOTA[[#This Row],[ID_H]]))</f>
        <v/>
      </c>
      <c r="AO756" s="25" t="str">
        <f ca="1">IF(NOTA[[#This Row],[TGL.NOTA]]="",IF(NOTA[[#This Row],[SUPPLIER_H]]="","",AO755),MONTH(NOTA[[#This Row],[TGL.NOTA]]))</f>
        <v/>
      </c>
      <c r="AP7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6" s="25"/>
      <c r="AU756" s="25" t="str">
        <f>IF(NOTA[[#This Row],[CONCAT1]]="","",MATCH(NOTA[[#This Row],[CONCAT1]],[3]!db[NB NOTA_C],0))</f>
        <v/>
      </c>
      <c r="AV756" s="25" t="str">
        <f>IF(NOTA[[#This Row],[QTY/ CTN]]="","",TRUE)</f>
        <v/>
      </c>
      <c r="AW756" s="25" t="str">
        <f ca="1">IF(NOTA[[#This Row],[ID_H]]="","",IF(NOTA[[#This Row],[Column3]]=TRUE,NOTA[[#This Row],[QTY/ CTN]],INDEX([3]!db[QTY/ CTN],NOTA[[#This Row],[//DB]])))</f>
        <v/>
      </c>
      <c r="AX7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6" s="25" t="str">
        <f ca="1">IF(NOTA[[#This Row],[ID_H]]="","",MATCH(NOTA[[#This Row],[NB NOTA_C_QTY]],[3]!db[NB NOTA_C_QTY+F],0))</f>
        <v/>
      </c>
      <c r="AZ756" s="38" t="str">
        <f ca="1">IF(NOTA[[#This Row],[NB NOTA_C_QTY]]="","",ROW()-2)</f>
        <v/>
      </c>
    </row>
    <row r="757" spans="1:52" ht="20.100000000000001" customHeight="1">
      <c r="A7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7" s="25" t="str">
        <f ca="1">IF(NOTA[[#This Row],[NAMA BARANG]]="","",INDEX(NOTA[ID],MATCH(,INDIRECT(ADDRESS(ROW(NOTA[ID]),COLUMN(NOTA[ID]))&amp;":"&amp;ADDRESS(ROW(),COLUMN(NOTA[ID]))),-1)))</f>
        <v/>
      </c>
      <c r="E757" s="33"/>
      <c r="H757" s="34"/>
      <c r="Q757" s="29"/>
      <c r="R757" s="35"/>
      <c r="S757" s="36"/>
      <c r="V757" s="37"/>
      <c r="W757" s="32"/>
      <c r="X757" s="37" t="str">
        <f>IF(NOTA[[#This Row],[HARGA/ CTN]]="",NOTA[[#This Row],[JUMLAH_H]],NOTA[[#This Row],[HARGA/ CTN]]*IF(NOTA[[#This Row],[C]]="",0,NOTA[[#This Row],[C]]))</f>
        <v/>
      </c>
      <c r="Y757" s="37" t="str">
        <f>IF(NOTA[[#This Row],[JUMLAH]]="","",NOTA[[#This Row],[JUMLAH]]*NOTA[[#This Row],[DISC 1]])</f>
        <v/>
      </c>
      <c r="Z757" s="37" t="str">
        <f>IF(NOTA[[#This Row],[JUMLAH]]="","",(NOTA[[#This Row],[JUMLAH]]-NOTA[[#This Row],[DISC 1-]])*NOTA[[#This Row],[DISC 2]])</f>
        <v/>
      </c>
      <c r="AA757" s="37" t="str">
        <f>IF(NOTA[[#This Row],[JUMLAH]]="","",(NOTA[[#This Row],[JUMLAH]]-NOTA[[#This Row],[DISC 1-]]-NOTA[[#This Row],[DISC 2-]])*NOTA[[#This Row],[DISC 3]])</f>
        <v/>
      </c>
      <c r="AB757" s="37" t="str">
        <f>IF(NOTA[[#This Row],[JUMLAH]]="","",NOTA[[#This Row],[DISC 1-]]+NOTA[[#This Row],[DISC 2-]]+NOTA[[#This Row],[DISC 3-]])</f>
        <v/>
      </c>
      <c r="AC757" s="37" t="str">
        <f>IF(NOTA[[#This Row],[JUMLAH]]="","",NOTA[[#This Row],[JUMLAH]]-NOTA[[#This Row],[DISC]])</f>
        <v/>
      </c>
      <c r="AD757" s="37"/>
      <c r="AE7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7" s="37" t="str">
        <f>IF(OR(NOTA[[#This Row],[QTY]]="",NOTA[[#This Row],[HARGA SATUAN]]="",),"",NOTA[[#This Row],[QTY]]*NOTA[[#This Row],[HARGA SATUAN]])</f>
        <v/>
      </c>
      <c r="AI757" s="26" t="str">
        <f ca="1">IF(NOTA[[#This Row],[ID_H]]="","",INDEX(NOTA[TANGGAL],MATCH(,INDIRECT(ADDRESS(ROW(NOTA[TANGGAL]),COLUMN(NOTA[TANGGAL]))&amp;":"&amp;ADDRESS(ROW(),COLUMN(NOTA[TANGGAL]))),-1)))</f>
        <v/>
      </c>
      <c r="AJ757" s="26" t="str">
        <f ca="1">IF(NOTA[[#This Row],[ID_H]]="","",INDEX(NOTA[TGL.NOTA],MATCH(,INDIRECT(ADDRESS(ROW(NOTA[TGL.NOTA]),COLUMN(NOTA[TGL.NOTA]))&amp;":"&amp;ADDRESS(ROW(),COLUMN(NOTA[TGL.NOTA]))),-1)))</f>
        <v/>
      </c>
      <c r="AK757" s="26" t="str">
        <f ca="1">IF(NOTA[[#This Row],[ID_H]]="","",INDEX(NOTA[NO.NOTA],MATCH(NOTA[[#This Row],[ID_H]],NOTA[ID_H],0)))</f>
        <v/>
      </c>
      <c r="AL757" s="28" t="str">
        <f ca="1">IF(NOTA[[#This Row],[NAMA BARANG]]="","",INDEX(NOTA[SUPPLIER],MATCH(,INDIRECT(ADDRESS(ROW(NOTA[ID]),COLUMN(NOTA[ID]))&amp;":"&amp;ADDRESS(ROW(),COLUMN(NOTA[ID]))),-1)))</f>
        <v/>
      </c>
      <c r="AM757" s="28" t="str">
        <f ca="1">IF(NOTA[[#This Row],[ID_H]]="","",IF(NOTA[[#This Row],[FAKTUR]]="",INDIRECT(ADDRESS(ROW()-1,COLUMN())),NOTA[[#This Row],[FAKTUR]]))</f>
        <v/>
      </c>
      <c r="AN757" s="25" t="str">
        <f ca="1">IF(NOTA[[#This Row],[ID]]="","",COUNTIF(NOTA[ID_H],NOTA[[#This Row],[ID_H]]))</f>
        <v/>
      </c>
      <c r="AO757" s="25" t="str">
        <f ca="1">IF(NOTA[[#This Row],[TGL.NOTA]]="",IF(NOTA[[#This Row],[SUPPLIER_H]]="","",AO756),MONTH(NOTA[[#This Row],[TGL.NOTA]]))</f>
        <v/>
      </c>
      <c r="AP7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7" s="25"/>
      <c r="AU757" s="25" t="str">
        <f>IF(NOTA[[#This Row],[CONCAT1]]="","",MATCH(NOTA[[#This Row],[CONCAT1]],[3]!db[NB NOTA_C],0))</f>
        <v/>
      </c>
      <c r="AV757" s="25" t="str">
        <f>IF(NOTA[[#This Row],[QTY/ CTN]]="","",TRUE)</f>
        <v/>
      </c>
      <c r="AW757" s="25" t="str">
        <f ca="1">IF(NOTA[[#This Row],[ID_H]]="","",IF(NOTA[[#This Row],[Column3]]=TRUE,NOTA[[#This Row],[QTY/ CTN]],INDEX([3]!db[QTY/ CTN],NOTA[[#This Row],[//DB]])))</f>
        <v/>
      </c>
      <c r="AX7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7" s="25" t="str">
        <f ca="1">IF(NOTA[[#This Row],[ID_H]]="","",MATCH(NOTA[[#This Row],[NB NOTA_C_QTY]],[3]!db[NB NOTA_C_QTY+F],0))</f>
        <v/>
      </c>
      <c r="AZ757" s="38" t="str">
        <f ca="1">IF(NOTA[[#This Row],[NB NOTA_C_QTY]]="","",ROW()-2)</f>
        <v/>
      </c>
    </row>
    <row r="758" spans="1:52" ht="20.100000000000001" customHeight="1">
      <c r="A7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8" s="25" t="str">
        <f ca="1">IF(NOTA[[#This Row],[NAMA BARANG]]="","",INDEX(NOTA[ID],MATCH(,INDIRECT(ADDRESS(ROW(NOTA[ID]),COLUMN(NOTA[ID]))&amp;":"&amp;ADDRESS(ROW(),COLUMN(NOTA[ID]))),-1)))</f>
        <v/>
      </c>
      <c r="E758" s="33"/>
      <c r="H758" s="34"/>
      <c r="Q758" s="29"/>
      <c r="R758" s="35"/>
      <c r="S758" s="36"/>
      <c r="V758" s="37"/>
      <c r="W758" s="32"/>
      <c r="X758" s="37" t="str">
        <f>IF(NOTA[[#This Row],[HARGA/ CTN]]="",NOTA[[#This Row],[JUMLAH_H]],NOTA[[#This Row],[HARGA/ CTN]]*IF(NOTA[[#This Row],[C]]="",0,NOTA[[#This Row],[C]]))</f>
        <v/>
      </c>
      <c r="Y758" s="37" t="str">
        <f>IF(NOTA[[#This Row],[JUMLAH]]="","",NOTA[[#This Row],[JUMLAH]]*NOTA[[#This Row],[DISC 1]])</f>
        <v/>
      </c>
      <c r="Z758" s="37" t="str">
        <f>IF(NOTA[[#This Row],[JUMLAH]]="","",(NOTA[[#This Row],[JUMLAH]]-NOTA[[#This Row],[DISC 1-]])*NOTA[[#This Row],[DISC 2]])</f>
        <v/>
      </c>
      <c r="AA758" s="37" t="str">
        <f>IF(NOTA[[#This Row],[JUMLAH]]="","",(NOTA[[#This Row],[JUMLAH]]-NOTA[[#This Row],[DISC 1-]]-NOTA[[#This Row],[DISC 2-]])*NOTA[[#This Row],[DISC 3]])</f>
        <v/>
      </c>
      <c r="AB758" s="37" t="str">
        <f>IF(NOTA[[#This Row],[JUMLAH]]="","",NOTA[[#This Row],[DISC 1-]]+NOTA[[#This Row],[DISC 2-]]+NOTA[[#This Row],[DISC 3-]])</f>
        <v/>
      </c>
      <c r="AC758" s="37" t="str">
        <f>IF(NOTA[[#This Row],[JUMLAH]]="","",NOTA[[#This Row],[JUMLAH]]-NOTA[[#This Row],[DISC]])</f>
        <v/>
      </c>
      <c r="AD758" s="37"/>
      <c r="AE7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8" s="37" t="str">
        <f>IF(OR(NOTA[[#This Row],[QTY]]="",NOTA[[#This Row],[HARGA SATUAN]]="",),"",NOTA[[#This Row],[QTY]]*NOTA[[#This Row],[HARGA SATUAN]])</f>
        <v/>
      </c>
      <c r="AI758" s="26" t="str">
        <f ca="1">IF(NOTA[[#This Row],[ID_H]]="","",INDEX(NOTA[TANGGAL],MATCH(,INDIRECT(ADDRESS(ROW(NOTA[TANGGAL]),COLUMN(NOTA[TANGGAL]))&amp;":"&amp;ADDRESS(ROW(),COLUMN(NOTA[TANGGAL]))),-1)))</f>
        <v/>
      </c>
      <c r="AJ758" s="26" t="str">
        <f ca="1">IF(NOTA[[#This Row],[ID_H]]="","",INDEX(NOTA[TGL.NOTA],MATCH(,INDIRECT(ADDRESS(ROW(NOTA[TGL.NOTA]),COLUMN(NOTA[TGL.NOTA]))&amp;":"&amp;ADDRESS(ROW(),COLUMN(NOTA[TGL.NOTA]))),-1)))</f>
        <v/>
      </c>
      <c r="AK758" s="26" t="str">
        <f ca="1">IF(NOTA[[#This Row],[ID_H]]="","",INDEX(NOTA[NO.NOTA],MATCH(NOTA[[#This Row],[ID_H]],NOTA[ID_H],0)))</f>
        <v/>
      </c>
      <c r="AL758" s="28" t="str">
        <f ca="1">IF(NOTA[[#This Row],[NAMA BARANG]]="","",INDEX(NOTA[SUPPLIER],MATCH(,INDIRECT(ADDRESS(ROW(NOTA[ID]),COLUMN(NOTA[ID]))&amp;":"&amp;ADDRESS(ROW(),COLUMN(NOTA[ID]))),-1)))</f>
        <v/>
      </c>
      <c r="AM758" s="28" t="str">
        <f ca="1">IF(NOTA[[#This Row],[ID_H]]="","",IF(NOTA[[#This Row],[FAKTUR]]="",INDIRECT(ADDRESS(ROW()-1,COLUMN())),NOTA[[#This Row],[FAKTUR]]))</f>
        <v/>
      </c>
      <c r="AN758" s="25" t="str">
        <f ca="1">IF(NOTA[[#This Row],[ID]]="","",COUNTIF(NOTA[ID_H],NOTA[[#This Row],[ID_H]]))</f>
        <v/>
      </c>
      <c r="AO758" s="25" t="str">
        <f ca="1">IF(NOTA[[#This Row],[TGL.NOTA]]="",IF(NOTA[[#This Row],[SUPPLIER_H]]="","",AO757),MONTH(NOTA[[#This Row],[TGL.NOTA]]))</f>
        <v/>
      </c>
      <c r="AP7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8" s="25"/>
      <c r="AU758" s="25" t="str">
        <f>IF(NOTA[[#This Row],[CONCAT1]]="","",MATCH(NOTA[[#This Row],[CONCAT1]],[3]!db[NB NOTA_C],0))</f>
        <v/>
      </c>
      <c r="AV758" s="25" t="str">
        <f>IF(NOTA[[#This Row],[QTY/ CTN]]="","",TRUE)</f>
        <v/>
      </c>
      <c r="AW758" s="25" t="str">
        <f ca="1">IF(NOTA[[#This Row],[ID_H]]="","",IF(NOTA[[#This Row],[Column3]]=TRUE,NOTA[[#This Row],[QTY/ CTN]],INDEX([3]!db[QTY/ CTN],NOTA[[#This Row],[//DB]])))</f>
        <v/>
      </c>
      <c r="AX7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8" s="25" t="str">
        <f ca="1">IF(NOTA[[#This Row],[ID_H]]="","",MATCH(NOTA[[#This Row],[NB NOTA_C_QTY]],[3]!db[NB NOTA_C_QTY+F],0))</f>
        <v/>
      </c>
      <c r="AZ758" s="38" t="str">
        <f ca="1">IF(NOTA[[#This Row],[NB NOTA_C_QTY]]="","",ROW()-2)</f>
        <v/>
      </c>
    </row>
    <row r="759" spans="1:52" ht="20.100000000000001" customHeight="1">
      <c r="A7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9" s="25" t="str">
        <f ca="1">IF(NOTA[[#This Row],[NAMA BARANG]]="","",INDEX(NOTA[ID],MATCH(,INDIRECT(ADDRESS(ROW(NOTA[ID]),COLUMN(NOTA[ID]))&amp;":"&amp;ADDRESS(ROW(),COLUMN(NOTA[ID]))),-1)))</f>
        <v/>
      </c>
      <c r="E759" s="33"/>
      <c r="H759" s="34"/>
      <c r="Q759" s="29"/>
      <c r="R759" s="35"/>
      <c r="S759" s="36"/>
      <c r="V759" s="37"/>
      <c r="W759" s="32"/>
      <c r="X759" s="37" t="str">
        <f>IF(NOTA[[#This Row],[HARGA/ CTN]]="",NOTA[[#This Row],[JUMLAH_H]],NOTA[[#This Row],[HARGA/ CTN]]*IF(NOTA[[#This Row],[C]]="",0,NOTA[[#This Row],[C]]))</f>
        <v/>
      </c>
      <c r="Y759" s="37" t="str">
        <f>IF(NOTA[[#This Row],[JUMLAH]]="","",NOTA[[#This Row],[JUMLAH]]*NOTA[[#This Row],[DISC 1]])</f>
        <v/>
      </c>
      <c r="Z759" s="37" t="str">
        <f>IF(NOTA[[#This Row],[JUMLAH]]="","",(NOTA[[#This Row],[JUMLAH]]-NOTA[[#This Row],[DISC 1-]])*NOTA[[#This Row],[DISC 2]])</f>
        <v/>
      </c>
      <c r="AA759" s="37" t="str">
        <f>IF(NOTA[[#This Row],[JUMLAH]]="","",(NOTA[[#This Row],[JUMLAH]]-NOTA[[#This Row],[DISC 1-]]-NOTA[[#This Row],[DISC 2-]])*NOTA[[#This Row],[DISC 3]])</f>
        <v/>
      </c>
      <c r="AB759" s="37" t="str">
        <f>IF(NOTA[[#This Row],[JUMLAH]]="","",NOTA[[#This Row],[DISC 1-]]+NOTA[[#This Row],[DISC 2-]]+NOTA[[#This Row],[DISC 3-]])</f>
        <v/>
      </c>
      <c r="AC759" s="37" t="str">
        <f>IF(NOTA[[#This Row],[JUMLAH]]="","",NOTA[[#This Row],[JUMLAH]]-NOTA[[#This Row],[DISC]])</f>
        <v/>
      </c>
      <c r="AD759" s="37"/>
      <c r="AE7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9" s="37" t="str">
        <f>IF(OR(NOTA[[#This Row],[QTY]]="",NOTA[[#This Row],[HARGA SATUAN]]="",),"",NOTA[[#This Row],[QTY]]*NOTA[[#This Row],[HARGA SATUAN]])</f>
        <v/>
      </c>
      <c r="AI759" s="26" t="str">
        <f ca="1">IF(NOTA[[#This Row],[ID_H]]="","",INDEX(NOTA[TANGGAL],MATCH(,INDIRECT(ADDRESS(ROW(NOTA[TANGGAL]),COLUMN(NOTA[TANGGAL]))&amp;":"&amp;ADDRESS(ROW(),COLUMN(NOTA[TANGGAL]))),-1)))</f>
        <v/>
      </c>
      <c r="AJ759" s="26" t="str">
        <f ca="1">IF(NOTA[[#This Row],[ID_H]]="","",INDEX(NOTA[TGL.NOTA],MATCH(,INDIRECT(ADDRESS(ROW(NOTA[TGL.NOTA]),COLUMN(NOTA[TGL.NOTA]))&amp;":"&amp;ADDRESS(ROW(),COLUMN(NOTA[TGL.NOTA]))),-1)))</f>
        <v/>
      </c>
      <c r="AK759" s="26" t="str">
        <f ca="1">IF(NOTA[[#This Row],[ID_H]]="","",INDEX(NOTA[NO.NOTA],MATCH(NOTA[[#This Row],[ID_H]],NOTA[ID_H],0)))</f>
        <v/>
      </c>
      <c r="AL759" s="28" t="str">
        <f ca="1">IF(NOTA[[#This Row],[NAMA BARANG]]="","",INDEX(NOTA[SUPPLIER],MATCH(,INDIRECT(ADDRESS(ROW(NOTA[ID]),COLUMN(NOTA[ID]))&amp;":"&amp;ADDRESS(ROW(),COLUMN(NOTA[ID]))),-1)))</f>
        <v/>
      </c>
      <c r="AM759" s="28" t="str">
        <f ca="1">IF(NOTA[[#This Row],[ID_H]]="","",IF(NOTA[[#This Row],[FAKTUR]]="",INDIRECT(ADDRESS(ROW()-1,COLUMN())),NOTA[[#This Row],[FAKTUR]]))</f>
        <v/>
      </c>
      <c r="AN759" s="25" t="str">
        <f ca="1">IF(NOTA[[#This Row],[ID]]="","",COUNTIF(NOTA[ID_H],NOTA[[#This Row],[ID_H]]))</f>
        <v/>
      </c>
      <c r="AO759" s="25" t="str">
        <f ca="1">IF(NOTA[[#This Row],[TGL.NOTA]]="",IF(NOTA[[#This Row],[SUPPLIER_H]]="","",AO758),MONTH(NOTA[[#This Row],[TGL.NOTA]]))</f>
        <v/>
      </c>
      <c r="AP7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9" s="25"/>
      <c r="AU759" s="25" t="str">
        <f>IF(NOTA[[#This Row],[CONCAT1]]="","",MATCH(NOTA[[#This Row],[CONCAT1]],[3]!db[NB NOTA_C],0))</f>
        <v/>
      </c>
      <c r="AV759" s="25" t="str">
        <f>IF(NOTA[[#This Row],[QTY/ CTN]]="","",TRUE)</f>
        <v/>
      </c>
      <c r="AW759" s="25" t="str">
        <f ca="1">IF(NOTA[[#This Row],[ID_H]]="","",IF(NOTA[[#This Row],[Column3]]=TRUE,NOTA[[#This Row],[QTY/ CTN]],INDEX([3]!db[QTY/ CTN],NOTA[[#This Row],[//DB]])))</f>
        <v/>
      </c>
      <c r="AX7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9" s="25" t="str">
        <f ca="1">IF(NOTA[[#This Row],[ID_H]]="","",MATCH(NOTA[[#This Row],[NB NOTA_C_QTY]],[3]!db[NB NOTA_C_QTY+F],0))</f>
        <v/>
      </c>
      <c r="AZ759" s="38" t="str">
        <f ca="1">IF(NOTA[[#This Row],[NB NOTA_C_QTY]]="","",ROW()-2)</f>
        <v/>
      </c>
    </row>
    <row r="760" spans="1:52" ht="20.100000000000001" customHeight="1">
      <c r="A7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0" s="25" t="str">
        <f ca="1">IF(NOTA[[#This Row],[NAMA BARANG]]="","",INDEX(NOTA[ID],MATCH(,INDIRECT(ADDRESS(ROW(NOTA[ID]),COLUMN(NOTA[ID]))&amp;":"&amp;ADDRESS(ROW(),COLUMN(NOTA[ID]))),-1)))</f>
        <v/>
      </c>
      <c r="E760" s="33"/>
      <c r="H760" s="34"/>
      <c r="Q760" s="29"/>
      <c r="R760" s="35"/>
      <c r="S760" s="36"/>
      <c r="V760" s="37"/>
      <c r="W760" s="32"/>
      <c r="X760" s="37" t="str">
        <f>IF(NOTA[[#This Row],[HARGA/ CTN]]="",NOTA[[#This Row],[JUMLAH_H]],NOTA[[#This Row],[HARGA/ CTN]]*IF(NOTA[[#This Row],[C]]="",0,NOTA[[#This Row],[C]]))</f>
        <v/>
      </c>
      <c r="Y760" s="37" t="str">
        <f>IF(NOTA[[#This Row],[JUMLAH]]="","",NOTA[[#This Row],[JUMLAH]]*NOTA[[#This Row],[DISC 1]])</f>
        <v/>
      </c>
      <c r="Z760" s="37" t="str">
        <f>IF(NOTA[[#This Row],[JUMLAH]]="","",(NOTA[[#This Row],[JUMLAH]]-NOTA[[#This Row],[DISC 1-]])*NOTA[[#This Row],[DISC 2]])</f>
        <v/>
      </c>
      <c r="AA760" s="37" t="str">
        <f>IF(NOTA[[#This Row],[JUMLAH]]="","",(NOTA[[#This Row],[JUMLAH]]-NOTA[[#This Row],[DISC 1-]]-NOTA[[#This Row],[DISC 2-]])*NOTA[[#This Row],[DISC 3]])</f>
        <v/>
      </c>
      <c r="AB760" s="37" t="str">
        <f>IF(NOTA[[#This Row],[JUMLAH]]="","",NOTA[[#This Row],[DISC 1-]]+NOTA[[#This Row],[DISC 2-]]+NOTA[[#This Row],[DISC 3-]])</f>
        <v/>
      </c>
      <c r="AC760" s="37" t="str">
        <f>IF(NOTA[[#This Row],[JUMLAH]]="","",NOTA[[#This Row],[JUMLAH]]-NOTA[[#This Row],[DISC]])</f>
        <v/>
      </c>
      <c r="AD760" s="37"/>
      <c r="AE7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0" s="37" t="str">
        <f>IF(OR(NOTA[[#This Row],[QTY]]="",NOTA[[#This Row],[HARGA SATUAN]]="",),"",NOTA[[#This Row],[QTY]]*NOTA[[#This Row],[HARGA SATUAN]])</f>
        <v/>
      </c>
      <c r="AI760" s="26" t="str">
        <f ca="1">IF(NOTA[[#This Row],[ID_H]]="","",INDEX(NOTA[TANGGAL],MATCH(,INDIRECT(ADDRESS(ROW(NOTA[TANGGAL]),COLUMN(NOTA[TANGGAL]))&amp;":"&amp;ADDRESS(ROW(),COLUMN(NOTA[TANGGAL]))),-1)))</f>
        <v/>
      </c>
      <c r="AJ760" s="26" t="str">
        <f ca="1">IF(NOTA[[#This Row],[ID_H]]="","",INDEX(NOTA[TGL.NOTA],MATCH(,INDIRECT(ADDRESS(ROW(NOTA[TGL.NOTA]),COLUMN(NOTA[TGL.NOTA]))&amp;":"&amp;ADDRESS(ROW(),COLUMN(NOTA[TGL.NOTA]))),-1)))</f>
        <v/>
      </c>
      <c r="AK760" s="26" t="str">
        <f ca="1">IF(NOTA[[#This Row],[ID_H]]="","",INDEX(NOTA[NO.NOTA],MATCH(NOTA[[#This Row],[ID_H]],NOTA[ID_H],0)))</f>
        <v/>
      </c>
      <c r="AL760" s="28" t="str">
        <f ca="1">IF(NOTA[[#This Row],[NAMA BARANG]]="","",INDEX(NOTA[SUPPLIER],MATCH(,INDIRECT(ADDRESS(ROW(NOTA[ID]),COLUMN(NOTA[ID]))&amp;":"&amp;ADDRESS(ROW(),COLUMN(NOTA[ID]))),-1)))</f>
        <v/>
      </c>
      <c r="AM760" s="28" t="str">
        <f ca="1">IF(NOTA[[#This Row],[ID_H]]="","",IF(NOTA[[#This Row],[FAKTUR]]="",INDIRECT(ADDRESS(ROW()-1,COLUMN())),NOTA[[#This Row],[FAKTUR]]))</f>
        <v/>
      </c>
      <c r="AN760" s="25" t="str">
        <f ca="1">IF(NOTA[[#This Row],[ID]]="","",COUNTIF(NOTA[ID_H],NOTA[[#This Row],[ID_H]]))</f>
        <v/>
      </c>
      <c r="AO760" s="25" t="str">
        <f ca="1">IF(NOTA[[#This Row],[TGL.NOTA]]="",IF(NOTA[[#This Row],[SUPPLIER_H]]="","",AO759),MONTH(NOTA[[#This Row],[TGL.NOTA]]))</f>
        <v/>
      </c>
      <c r="AP7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0" s="25"/>
      <c r="AU760" s="25" t="str">
        <f>IF(NOTA[[#This Row],[CONCAT1]]="","",MATCH(NOTA[[#This Row],[CONCAT1]],[3]!db[NB NOTA_C],0))</f>
        <v/>
      </c>
      <c r="AV760" s="25" t="str">
        <f>IF(NOTA[[#This Row],[QTY/ CTN]]="","",TRUE)</f>
        <v/>
      </c>
      <c r="AW760" s="25" t="str">
        <f ca="1">IF(NOTA[[#This Row],[ID_H]]="","",IF(NOTA[[#This Row],[Column3]]=TRUE,NOTA[[#This Row],[QTY/ CTN]],INDEX([3]!db[QTY/ CTN],NOTA[[#This Row],[//DB]])))</f>
        <v/>
      </c>
      <c r="AX7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0" s="25" t="str">
        <f ca="1">IF(NOTA[[#This Row],[ID_H]]="","",MATCH(NOTA[[#This Row],[NB NOTA_C_QTY]],[3]!db[NB NOTA_C_QTY+F],0))</f>
        <v/>
      </c>
      <c r="AZ760" s="38" t="str">
        <f ca="1">IF(NOTA[[#This Row],[NB NOTA_C_QTY]]="","",ROW()-2)</f>
        <v/>
      </c>
    </row>
    <row r="761" spans="1:52" ht="20.100000000000001" customHeight="1">
      <c r="A7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1" s="25" t="str">
        <f ca="1">IF(NOTA[[#This Row],[NAMA BARANG]]="","",INDEX(NOTA[ID],MATCH(,INDIRECT(ADDRESS(ROW(NOTA[ID]),COLUMN(NOTA[ID]))&amp;":"&amp;ADDRESS(ROW(),COLUMN(NOTA[ID]))),-1)))</f>
        <v/>
      </c>
      <c r="E761" s="33"/>
      <c r="H761" s="34"/>
      <c r="Q761" s="29"/>
      <c r="R761" s="35"/>
      <c r="S761" s="36"/>
      <c r="V761" s="37"/>
      <c r="W761" s="32"/>
      <c r="X761" s="37" t="str">
        <f>IF(NOTA[[#This Row],[HARGA/ CTN]]="",NOTA[[#This Row],[JUMLAH_H]],NOTA[[#This Row],[HARGA/ CTN]]*IF(NOTA[[#This Row],[C]]="",0,NOTA[[#This Row],[C]]))</f>
        <v/>
      </c>
      <c r="Y761" s="37" t="str">
        <f>IF(NOTA[[#This Row],[JUMLAH]]="","",NOTA[[#This Row],[JUMLAH]]*NOTA[[#This Row],[DISC 1]])</f>
        <v/>
      </c>
      <c r="Z761" s="37" t="str">
        <f>IF(NOTA[[#This Row],[JUMLAH]]="","",(NOTA[[#This Row],[JUMLAH]]-NOTA[[#This Row],[DISC 1-]])*NOTA[[#This Row],[DISC 2]])</f>
        <v/>
      </c>
      <c r="AA761" s="37" t="str">
        <f>IF(NOTA[[#This Row],[JUMLAH]]="","",(NOTA[[#This Row],[JUMLAH]]-NOTA[[#This Row],[DISC 1-]]-NOTA[[#This Row],[DISC 2-]])*NOTA[[#This Row],[DISC 3]])</f>
        <v/>
      </c>
      <c r="AB761" s="37" t="str">
        <f>IF(NOTA[[#This Row],[JUMLAH]]="","",NOTA[[#This Row],[DISC 1-]]+NOTA[[#This Row],[DISC 2-]]+NOTA[[#This Row],[DISC 3-]])</f>
        <v/>
      </c>
      <c r="AC761" s="37" t="str">
        <f>IF(NOTA[[#This Row],[JUMLAH]]="","",NOTA[[#This Row],[JUMLAH]]-NOTA[[#This Row],[DISC]])</f>
        <v/>
      </c>
      <c r="AD761" s="37"/>
      <c r="AE7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1" s="37" t="str">
        <f>IF(OR(NOTA[[#This Row],[QTY]]="",NOTA[[#This Row],[HARGA SATUAN]]="",),"",NOTA[[#This Row],[QTY]]*NOTA[[#This Row],[HARGA SATUAN]])</f>
        <v/>
      </c>
      <c r="AI761" s="26" t="str">
        <f ca="1">IF(NOTA[[#This Row],[ID_H]]="","",INDEX(NOTA[TANGGAL],MATCH(,INDIRECT(ADDRESS(ROW(NOTA[TANGGAL]),COLUMN(NOTA[TANGGAL]))&amp;":"&amp;ADDRESS(ROW(),COLUMN(NOTA[TANGGAL]))),-1)))</f>
        <v/>
      </c>
      <c r="AJ761" s="26" t="str">
        <f ca="1">IF(NOTA[[#This Row],[ID_H]]="","",INDEX(NOTA[TGL.NOTA],MATCH(,INDIRECT(ADDRESS(ROW(NOTA[TGL.NOTA]),COLUMN(NOTA[TGL.NOTA]))&amp;":"&amp;ADDRESS(ROW(),COLUMN(NOTA[TGL.NOTA]))),-1)))</f>
        <v/>
      </c>
      <c r="AK761" s="26" t="str">
        <f ca="1">IF(NOTA[[#This Row],[ID_H]]="","",INDEX(NOTA[NO.NOTA],MATCH(NOTA[[#This Row],[ID_H]],NOTA[ID_H],0)))</f>
        <v/>
      </c>
      <c r="AL761" s="28" t="str">
        <f ca="1">IF(NOTA[[#This Row],[NAMA BARANG]]="","",INDEX(NOTA[SUPPLIER],MATCH(,INDIRECT(ADDRESS(ROW(NOTA[ID]),COLUMN(NOTA[ID]))&amp;":"&amp;ADDRESS(ROW(),COLUMN(NOTA[ID]))),-1)))</f>
        <v/>
      </c>
      <c r="AM761" s="28" t="str">
        <f ca="1">IF(NOTA[[#This Row],[ID_H]]="","",IF(NOTA[[#This Row],[FAKTUR]]="",INDIRECT(ADDRESS(ROW()-1,COLUMN())),NOTA[[#This Row],[FAKTUR]]))</f>
        <v/>
      </c>
      <c r="AN761" s="25" t="str">
        <f ca="1">IF(NOTA[[#This Row],[ID]]="","",COUNTIF(NOTA[ID_H],NOTA[[#This Row],[ID_H]]))</f>
        <v/>
      </c>
      <c r="AO761" s="25" t="str">
        <f ca="1">IF(NOTA[[#This Row],[TGL.NOTA]]="",IF(NOTA[[#This Row],[SUPPLIER_H]]="","",AO760),MONTH(NOTA[[#This Row],[TGL.NOTA]]))</f>
        <v/>
      </c>
      <c r="AP7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1" s="25"/>
      <c r="AU761" s="25" t="str">
        <f>IF(NOTA[[#This Row],[CONCAT1]]="","",MATCH(NOTA[[#This Row],[CONCAT1]],[3]!db[NB NOTA_C],0))</f>
        <v/>
      </c>
      <c r="AV761" s="25" t="str">
        <f>IF(NOTA[[#This Row],[QTY/ CTN]]="","",TRUE)</f>
        <v/>
      </c>
      <c r="AW761" s="25" t="str">
        <f ca="1">IF(NOTA[[#This Row],[ID_H]]="","",IF(NOTA[[#This Row],[Column3]]=TRUE,NOTA[[#This Row],[QTY/ CTN]],INDEX([3]!db[QTY/ CTN],NOTA[[#This Row],[//DB]])))</f>
        <v/>
      </c>
      <c r="AX7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1" s="25" t="str">
        <f ca="1">IF(NOTA[[#This Row],[ID_H]]="","",MATCH(NOTA[[#This Row],[NB NOTA_C_QTY]],[3]!db[NB NOTA_C_QTY+F],0))</f>
        <v/>
      </c>
      <c r="AZ761" s="38" t="str">
        <f ca="1">IF(NOTA[[#This Row],[NB NOTA_C_QTY]]="","",ROW()-2)</f>
        <v/>
      </c>
    </row>
    <row r="762" spans="1:52" ht="20.100000000000001" customHeight="1">
      <c r="A7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2" s="25" t="str">
        <f ca="1">IF(NOTA[[#This Row],[NAMA BARANG]]="","",INDEX(NOTA[ID],MATCH(,INDIRECT(ADDRESS(ROW(NOTA[ID]),COLUMN(NOTA[ID]))&amp;":"&amp;ADDRESS(ROW(),COLUMN(NOTA[ID]))),-1)))</f>
        <v/>
      </c>
      <c r="E762" s="33"/>
      <c r="H762" s="34"/>
      <c r="Q762" s="29"/>
      <c r="R762" s="35"/>
      <c r="S762" s="36"/>
      <c r="V762" s="37"/>
      <c r="W762" s="32"/>
      <c r="X762" s="37" t="str">
        <f>IF(NOTA[[#This Row],[HARGA/ CTN]]="",NOTA[[#This Row],[JUMLAH_H]],NOTA[[#This Row],[HARGA/ CTN]]*IF(NOTA[[#This Row],[C]]="",0,NOTA[[#This Row],[C]]))</f>
        <v/>
      </c>
      <c r="Y762" s="37" t="str">
        <f>IF(NOTA[[#This Row],[JUMLAH]]="","",NOTA[[#This Row],[JUMLAH]]*NOTA[[#This Row],[DISC 1]])</f>
        <v/>
      </c>
      <c r="Z762" s="37" t="str">
        <f>IF(NOTA[[#This Row],[JUMLAH]]="","",(NOTA[[#This Row],[JUMLAH]]-NOTA[[#This Row],[DISC 1-]])*NOTA[[#This Row],[DISC 2]])</f>
        <v/>
      </c>
      <c r="AA762" s="37" t="str">
        <f>IF(NOTA[[#This Row],[JUMLAH]]="","",(NOTA[[#This Row],[JUMLAH]]-NOTA[[#This Row],[DISC 1-]]-NOTA[[#This Row],[DISC 2-]])*NOTA[[#This Row],[DISC 3]])</f>
        <v/>
      </c>
      <c r="AB762" s="37" t="str">
        <f>IF(NOTA[[#This Row],[JUMLAH]]="","",NOTA[[#This Row],[DISC 1-]]+NOTA[[#This Row],[DISC 2-]]+NOTA[[#This Row],[DISC 3-]])</f>
        <v/>
      </c>
      <c r="AC762" s="37" t="str">
        <f>IF(NOTA[[#This Row],[JUMLAH]]="","",NOTA[[#This Row],[JUMLAH]]-NOTA[[#This Row],[DISC]])</f>
        <v/>
      </c>
      <c r="AD762" s="37"/>
      <c r="AE7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2" s="37" t="str">
        <f>IF(OR(NOTA[[#This Row],[QTY]]="",NOTA[[#This Row],[HARGA SATUAN]]="",),"",NOTA[[#This Row],[QTY]]*NOTA[[#This Row],[HARGA SATUAN]])</f>
        <v/>
      </c>
      <c r="AI762" s="26" t="str">
        <f ca="1">IF(NOTA[[#This Row],[ID_H]]="","",INDEX(NOTA[TANGGAL],MATCH(,INDIRECT(ADDRESS(ROW(NOTA[TANGGAL]),COLUMN(NOTA[TANGGAL]))&amp;":"&amp;ADDRESS(ROW(),COLUMN(NOTA[TANGGAL]))),-1)))</f>
        <v/>
      </c>
      <c r="AJ762" s="26" t="str">
        <f ca="1">IF(NOTA[[#This Row],[ID_H]]="","",INDEX(NOTA[TGL.NOTA],MATCH(,INDIRECT(ADDRESS(ROW(NOTA[TGL.NOTA]),COLUMN(NOTA[TGL.NOTA]))&amp;":"&amp;ADDRESS(ROW(),COLUMN(NOTA[TGL.NOTA]))),-1)))</f>
        <v/>
      </c>
      <c r="AK762" s="26" t="str">
        <f ca="1">IF(NOTA[[#This Row],[ID_H]]="","",INDEX(NOTA[NO.NOTA],MATCH(NOTA[[#This Row],[ID_H]],NOTA[ID_H],0)))</f>
        <v/>
      </c>
      <c r="AL762" s="28" t="str">
        <f ca="1">IF(NOTA[[#This Row],[NAMA BARANG]]="","",INDEX(NOTA[SUPPLIER],MATCH(,INDIRECT(ADDRESS(ROW(NOTA[ID]),COLUMN(NOTA[ID]))&amp;":"&amp;ADDRESS(ROW(),COLUMN(NOTA[ID]))),-1)))</f>
        <v/>
      </c>
      <c r="AM762" s="28" t="str">
        <f ca="1">IF(NOTA[[#This Row],[ID_H]]="","",IF(NOTA[[#This Row],[FAKTUR]]="",INDIRECT(ADDRESS(ROW()-1,COLUMN())),NOTA[[#This Row],[FAKTUR]]))</f>
        <v/>
      </c>
      <c r="AN762" s="25" t="str">
        <f ca="1">IF(NOTA[[#This Row],[ID]]="","",COUNTIF(NOTA[ID_H],NOTA[[#This Row],[ID_H]]))</f>
        <v/>
      </c>
      <c r="AO762" s="25" t="str">
        <f ca="1">IF(NOTA[[#This Row],[TGL.NOTA]]="",IF(NOTA[[#This Row],[SUPPLIER_H]]="","",AO761),MONTH(NOTA[[#This Row],[TGL.NOTA]]))</f>
        <v/>
      </c>
      <c r="AP7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2" s="25"/>
      <c r="AU762" s="25" t="str">
        <f>IF(NOTA[[#This Row],[CONCAT1]]="","",MATCH(NOTA[[#This Row],[CONCAT1]],[3]!db[NB NOTA_C],0))</f>
        <v/>
      </c>
      <c r="AV762" s="25" t="str">
        <f>IF(NOTA[[#This Row],[QTY/ CTN]]="","",TRUE)</f>
        <v/>
      </c>
      <c r="AW762" s="25" t="str">
        <f ca="1">IF(NOTA[[#This Row],[ID_H]]="","",IF(NOTA[[#This Row],[Column3]]=TRUE,NOTA[[#This Row],[QTY/ CTN]],INDEX([3]!db[QTY/ CTN],NOTA[[#This Row],[//DB]])))</f>
        <v/>
      </c>
      <c r="AX7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2" s="25" t="str">
        <f ca="1">IF(NOTA[[#This Row],[ID_H]]="","",MATCH(NOTA[[#This Row],[NB NOTA_C_QTY]],[3]!db[NB NOTA_C_QTY+F],0))</f>
        <v/>
      </c>
      <c r="AZ762" s="38" t="str">
        <f ca="1">IF(NOTA[[#This Row],[NB NOTA_C_QTY]]="","",ROW()-2)</f>
        <v/>
      </c>
    </row>
    <row r="763" spans="1:52" ht="20.100000000000001" customHeight="1">
      <c r="A7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3" s="25" t="str">
        <f ca="1">IF(NOTA[[#This Row],[NAMA BARANG]]="","",INDEX(NOTA[ID],MATCH(,INDIRECT(ADDRESS(ROW(NOTA[ID]),COLUMN(NOTA[ID]))&amp;":"&amp;ADDRESS(ROW(),COLUMN(NOTA[ID]))),-1)))</f>
        <v/>
      </c>
      <c r="E763" s="33"/>
      <c r="H763" s="34"/>
      <c r="Q763" s="29"/>
      <c r="R763" s="35"/>
      <c r="S763" s="36"/>
      <c r="V763" s="37"/>
      <c r="W763" s="32"/>
      <c r="X763" s="37" t="str">
        <f>IF(NOTA[[#This Row],[HARGA/ CTN]]="",NOTA[[#This Row],[JUMLAH_H]],NOTA[[#This Row],[HARGA/ CTN]]*IF(NOTA[[#This Row],[C]]="",0,NOTA[[#This Row],[C]]))</f>
        <v/>
      </c>
      <c r="Y763" s="37" t="str">
        <f>IF(NOTA[[#This Row],[JUMLAH]]="","",NOTA[[#This Row],[JUMLAH]]*NOTA[[#This Row],[DISC 1]])</f>
        <v/>
      </c>
      <c r="Z763" s="37" t="str">
        <f>IF(NOTA[[#This Row],[JUMLAH]]="","",(NOTA[[#This Row],[JUMLAH]]-NOTA[[#This Row],[DISC 1-]])*NOTA[[#This Row],[DISC 2]])</f>
        <v/>
      </c>
      <c r="AA763" s="37" t="str">
        <f>IF(NOTA[[#This Row],[JUMLAH]]="","",(NOTA[[#This Row],[JUMLAH]]-NOTA[[#This Row],[DISC 1-]]-NOTA[[#This Row],[DISC 2-]])*NOTA[[#This Row],[DISC 3]])</f>
        <v/>
      </c>
      <c r="AB763" s="37" t="str">
        <f>IF(NOTA[[#This Row],[JUMLAH]]="","",NOTA[[#This Row],[DISC 1-]]+NOTA[[#This Row],[DISC 2-]]+NOTA[[#This Row],[DISC 3-]])</f>
        <v/>
      </c>
      <c r="AC763" s="37" t="str">
        <f>IF(NOTA[[#This Row],[JUMLAH]]="","",NOTA[[#This Row],[JUMLAH]]-NOTA[[#This Row],[DISC]])</f>
        <v/>
      </c>
      <c r="AD763" s="37"/>
      <c r="AE7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3" s="37" t="str">
        <f>IF(OR(NOTA[[#This Row],[QTY]]="",NOTA[[#This Row],[HARGA SATUAN]]="",),"",NOTA[[#This Row],[QTY]]*NOTA[[#This Row],[HARGA SATUAN]])</f>
        <v/>
      </c>
      <c r="AI763" s="26" t="str">
        <f ca="1">IF(NOTA[[#This Row],[ID_H]]="","",INDEX(NOTA[TANGGAL],MATCH(,INDIRECT(ADDRESS(ROW(NOTA[TANGGAL]),COLUMN(NOTA[TANGGAL]))&amp;":"&amp;ADDRESS(ROW(),COLUMN(NOTA[TANGGAL]))),-1)))</f>
        <v/>
      </c>
      <c r="AJ763" s="26" t="str">
        <f ca="1">IF(NOTA[[#This Row],[ID_H]]="","",INDEX(NOTA[TGL.NOTA],MATCH(,INDIRECT(ADDRESS(ROW(NOTA[TGL.NOTA]),COLUMN(NOTA[TGL.NOTA]))&amp;":"&amp;ADDRESS(ROW(),COLUMN(NOTA[TGL.NOTA]))),-1)))</f>
        <v/>
      </c>
      <c r="AK763" s="26" t="str">
        <f ca="1">IF(NOTA[[#This Row],[ID_H]]="","",INDEX(NOTA[NO.NOTA],MATCH(NOTA[[#This Row],[ID_H]],NOTA[ID_H],0)))</f>
        <v/>
      </c>
      <c r="AL763" s="28" t="str">
        <f ca="1">IF(NOTA[[#This Row],[NAMA BARANG]]="","",INDEX(NOTA[SUPPLIER],MATCH(,INDIRECT(ADDRESS(ROW(NOTA[ID]),COLUMN(NOTA[ID]))&amp;":"&amp;ADDRESS(ROW(),COLUMN(NOTA[ID]))),-1)))</f>
        <v/>
      </c>
      <c r="AM763" s="28" t="str">
        <f ca="1">IF(NOTA[[#This Row],[ID_H]]="","",IF(NOTA[[#This Row],[FAKTUR]]="",INDIRECT(ADDRESS(ROW()-1,COLUMN())),NOTA[[#This Row],[FAKTUR]]))</f>
        <v/>
      </c>
      <c r="AN763" s="25" t="str">
        <f ca="1">IF(NOTA[[#This Row],[ID]]="","",COUNTIF(NOTA[ID_H],NOTA[[#This Row],[ID_H]]))</f>
        <v/>
      </c>
      <c r="AO763" s="25" t="str">
        <f ca="1">IF(NOTA[[#This Row],[TGL.NOTA]]="",IF(NOTA[[#This Row],[SUPPLIER_H]]="","",AO762),MONTH(NOTA[[#This Row],[TGL.NOTA]]))</f>
        <v/>
      </c>
      <c r="AP7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3" s="25"/>
      <c r="AU763" s="25" t="str">
        <f>IF(NOTA[[#This Row],[CONCAT1]]="","",MATCH(NOTA[[#This Row],[CONCAT1]],[3]!db[NB NOTA_C],0))</f>
        <v/>
      </c>
      <c r="AV763" s="25" t="str">
        <f>IF(NOTA[[#This Row],[QTY/ CTN]]="","",TRUE)</f>
        <v/>
      </c>
      <c r="AW763" s="25" t="str">
        <f ca="1">IF(NOTA[[#This Row],[ID_H]]="","",IF(NOTA[[#This Row],[Column3]]=TRUE,NOTA[[#This Row],[QTY/ CTN]],INDEX([3]!db[QTY/ CTN],NOTA[[#This Row],[//DB]])))</f>
        <v/>
      </c>
      <c r="AX7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3" s="25" t="str">
        <f ca="1">IF(NOTA[[#This Row],[ID_H]]="","",MATCH(NOTA[[#This Row],[NB NOTA_C_QTY]],[3]!db[NB NOTA_C_QTY+F],0))</f>
        <v/>
      </c>
      <c r="AZ763" s="38" t="str">
        <f ca="1">IF(NOTA[[#This Row],[NB NOTA_C_QTY]]="","",ROW()-2)</f>
        <v/>
      </c>
    </row>
    <row r="764" spans="1:52" ht="20.100000000000001" customHeight="1">
      <c r="A7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4" s="25" t="str">
        <f ca="1">IF(NOTA[[#This Row],[NAMA BARANG]]="","",INDEX(NOTA[ID],MATCH(,INDIRECT(ADDRESS(ROW(NOTA[ID]),COLUMN(NOTA[ID]))&amp;":"&amp;ADDRESS(ROW(),COLUMN(NOTA[ID]))),-1)))</f>
        <v/>
      </c>
      <c r="E764" s="33"/>
      <c r="H764" s="34"/>
      <c r="Q764" s="29"/>
      <c r="R764" s="35"/>
      <c r="S764" s="36"/>
      <c r="V764" s="37"/>
      <c r="W764" s="32"/>
      <c r="X764" s="37" t="str">
        <f>IF(NOTA[[#This Row],[HARGA/ CTN]]="",NOTA[[#This Row],[JUMLAH_H]],NOTA[[#This Row],[HARGA/ CTN]]*IF(NOTA[[#This Row],[C]]="",0,NOTA[[#This Row],[C]]))</f>
        <v/>
      </c>
      <c r="Y764" s="37" t="str">
        <f>IF(NOTA[[#This Row],[JUMLAH]]="","",NOTA[[#This Row],[JUMLAH]]*NOTA[[#This Row],[DISC 1]])</f>
        <v/>
      </c>
      <c r="Z764" s="37" t="str">
        <f>IF(NOTA[[#This Row],[JUMLAH]]="","",(NOTA[[#This Row],[JUMLAH]]-NOTA[[#This Row],[DISC 1-]])*NOTA[[#This Row],[DISC 2]])</f>
        <v/>
      </c>
      <c r="AA764" s="37" t="str">
        <f>IF(NOTA[[#This Row],[JUMLAH]]="","",(NOTA[[#This Row],[JUMLAH]]-NOTA[[#This Row],[DISC 1-]]-NOTA[[#This Row],[DISC 2-]])*NOTA[[#This Row],[DISC 3]])</f>
        <v/>
      </c>
      <c r="AB764" s="37" t="str">
        <f>IF(NOTA[[#This Row],[JUMLAH]]="","",NOTA[[#This Row],[DISC 1-]]+NOTA[[#This Row],[DISC 2-]]+NOTA[[#This Row],[DISC 3-]])</f>
        <v/>
      </c>
      <c r="AC764" s="37" t="str">
        <f>IF(NOTA[[#This Row],[JUMLAH]]="","",NOTA[[#This Row],[JUMLAH]]-NOTA[[#This Row],[DISC]])</f>
        <v/>
      </c>
      <c r="AD764" s="37"/>
      <c r="AE7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4" s="37" t="str">
        <f>IF(OR(NOTA[[#This Row],[QTY]]="",NOTA[[#This Row],[HARGA SATUAN]]="",),"",NOTA[[#This Row],[QTY]]*NOTA[[#This Row],[HARGA SATUAN]])</f>
        <v/>
      </c>
      <c r="AI764" s="26" t="str">
        <f ca="1">IF(NOTA[[#This Row],[ID_H]]="","",INDEX(NOTA[TANGGAL],MATCH(,INDIRECT(ADDRESS(ROW(NOTA[TANGGAL]),COLUMN(NOTA[TANGGAL]))&amp;":"&amp;ADDRESS(ROW(),COLUMN(NOTA[TANGGAL]))),-1)))</f>
        <v/>
      </c>
      <c r="AJ764" s="26" t="str">
        <f ca="1">IF(NOTA[[#This Row],[ID_H]]="","",INDEX(NOTA[TGL.NOTA],MATCH(,INDIRECT(ADDRESS(ROW(NOTA[TGL.NOTA]),COLUMN(NOTA[TGL.NOTA]))&amp;":"&amp;ADDRESS(ROW(),COLUMN(NOTA[TGL.NOTA]))),-1)))</f>
        <v/>
      </c>
      <c r="AK764" s="26" t="str">
        <f ca="1">IF(NOTA[[#This Row],[ID_H]]="","",INDEX(NOTA[NO.NOTA],MATCH(NOTA[[#This Row],[ID_H]],NOTA[ID_H],0)))</f>
        <v/>
      </c>
      <c r="AL764" s="28" t="str">
        <f ca="1">IF(NOTA[[#This Row],[NAMA BARANG]]="","",INDEX(NOTA[SUPPLIER],MATCH(,INDIRECT(ADDRESS(ROW(NOTA[ID]),COLUMN(NOTA[ID]))&amp;":"&amp;ADDRESS(ROW(),COLUMN(NOTA[ID]))),-1)))</f>
        <v/>
      </c>
      <c r="AM764" s="28" t="str">
        <f ca="1">IF(NOTA[[#This Row],[ID_H]]="","",IF(NOTA[[#This Row],[FAKTUR]]="",INDIRECT(ADDRESS(ROW()-1,COLUMN())),NOTA[[#This Row],[FAKTUR]]))</f>
        <v/>
      </c>
      <c r="AN764" s="25" t="str">
        <f ca="1">IF(NOTA[[#This Row],[ID]]="","",COUNTIF(NOTA[ID_H],NOTA[[#This Row],[ID_H]]))</f>
        <v/>
      </c>
      <c r="AO764" s="25" t="str">
        <f ca="1">IF(NOTA[[#This Row],[TGL.NOTA]]="",IF(NOTA[[#This Row],[SUPPLIER_H]]="","",AO763),MONTH(NOTA[[#This Row],[TGL.NOTA]]))</f>
        <v/>
      </c>
      <c r="AP7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4" s="25"/>
      <c r="AU764" s="25" t="str">
        <f>IF(NOTA[[#This Row],[CONCAT1]]="","",MATCH(NOTA[[#This Row],[CONCAT1]],[3]!db[NB NOTA_C],0))</f>
        <v/>
      </c>
      <c r="AV764" s="25" t="str">
        <f>IF(NOTA[[#This Row],[QTY/ CTN]]="","",TRUE)</f>
        <v/>
      </c>
      <c r="AW764" s="25" t="str">
        <f ca="1">IF(NOTA[[#This Row],[ID_H]]="","",IF(NOTA[[#This Row],[Column3]]=TRUE,NOTA[[#This Row],[QTY/ CTN]],INDEX([3]!db[QTY/ CTN],NOTA[[#This Row],[//DB]])))</f>
        <v/>
      </c>
      <c r="AX7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4" s="25" t="str">
        <f ca="1">IF(NOTA[[#This Row],[ID_H]]="","",MATCH(NOTA[[#This Row],[NB NOTA_C_QTY]],[3]!db[NB NOTA_C_QTY+F],0))</f>
        <v/>
      </c>
      <c r="AZ764" s="38" t="str">
        <f ca="1">IF(NOTA[[#This Row],[NB NOTA_C_QTY]]="","",ROW()-2)</f>
        <v/>
      </c>
    </row>
    <row r="765" spans="1:52" ht="20.100000000000001" customHeight="1">
      <c r="A7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5" s="25" t="str">
        <f ca="1">IF(NOTA[[#This Row],[NAMA BARANG]]="","",INDEX(NOTA[ID],MATCH(,INDIRECT(ADDRESS(ROW(NOTA[ID]),COLUMN(NOTA[ID]))&amp;":"&amp;ADDRESS(ROW(),COLUMN(NOTA[ID]))),-1)))</f>
        <v/>
      </c>
      <c r="E765" s="33"/>
      <c r="H765" s="34"/>
      <c r="Q765" s="29"/>
      <c r="R765" s="35"/>
      <c r="S765" s="36"/>
      <c r="V765" s="37"/>
      <c r="W765" s="32"/>
      <c r="X765" s="37" t="str">
        <f>IF(NOTA[[#This Row],[HARGA/ CTN]]="",NOTA[[#This Row],[JUMLAH_H]],NOTA[[#This Row],[HARGA/ CTN]]*IF(NOTA[[#This Row],[C]]="",0,NOTA[[#This Row],[C]]))</f>
        <v/>
      </c>
      <c r="Y765" s="37" t="str">
        <f>IF(NOTA[[#This Row],[JUMLAH]]="","",NOTA[[#This Row],[JUMLAH]]*NOTA[[#This Row],[DISC 1]])</f>
        <v/>
      </c>
      <c r="Z765" s="37" t="str">
        <f>IF(NOTA[[#This Row],[JUMLAH]]="","",(NOTA[[#This Row],[JUMLAH]]-NOTA[[#This Row],[DISC 1-]])*NOTA[[#This Row],[DISC 2]])</f>
        <v/>
      </c>
      <c r="AA765" s="37" t="str">
        <f>IF(NOTA[[#This Row],[JUMLAH]]="","",(NOTA[[#This Row],[JUMLAH]]-NOTA[[#This Row],[DISC 1-]]-NOTA[[#This Row],[DISC 2-]])*NOTA[[#This Row],[DISC 3]])</f>
        <v/>
      </c>
      <c r="AB765" s="37" t="str">
        <f>IF(NOTA[[#This Row],[JUMLAH]]="","",NOTA[[#This Row],[DISC 1-]]+NOTA[[#This Row],[DISC 2-]]+NOTA[[#This Row],[DISC 3-]])</f>
        <v/>
      </c>
      <c r="AC765" s="37" t="str">
        <f>IF(NOTA[[#This Row],[JUMLAH]]="","",NOTA[[#This Row],[JUMLAH]]-NOTA[[#This Row],[DISC]])</f>
        <v/>
      </c>
      <c r="AD765" s="37"/>
      <c r="AE7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5" s="37" t="str">
        <f>IF(OR(NOTA[[#This Row],[QTY]]="",NOTA[[#This Row],[HARGA SATUAN]]="",),"",NOTA[[#This Row],[QTY]]*NOTA[[#This Row],[HARGA SATUAN]])</f>
        <v/>
      </c>
      <c r="AI765" s="26" t="str">
        <f ca="1">IF(NOTA[[#This Row],[ID_H]]="","",INDEX(NOTA[TANGGAL],MATCH(,INDIRECT(ADDRESS(ROW(NOTA[TANGGAL]),COLUMN(NOTA[TANGGAL]))&amp;":"&amp;ADDRESS(ROW(),COLUMN(NOTA[TANGGAL]))),-1)))</f>
        <v/>
      </c>
      <c r="AJ765" s="26" t="str">
        <f ca="1">IF(NOTA[[#This Row],[ID_H]]="","",INDEX(NOTA[TGL.NOTA],MATCH(,INDIRECT(ADDRESS(ROW(NOTA[TGL.NOTA]),COLUMN(NOTA[TGL.NOTA]))&amp;":"&amp;ADDRESS(ROW(),COLUMN(NOTA[TGL.NOTA]))),-1)))</f>
        <v/>
      </c>
      <c r="AK765" s="26" t="str">
        <f ca="1">IF(NOTA[[#This Row],[ID_H]]="","",INDEX(NOTA[NO.NOTA],MATCH(NOTA[[#This Row],[ID_H]],NOTA[ID_H],0)))</f>
        <v/>
      </c>
      <c r="AL765" s="28" t="str">
        <f ca="1">IF(NOTA[[#This Row],[NAMA BARANG]]="","",INDEX(NOTA[SUPPLIER],MATCH(,INDIRECT(ADDRESS(ROW(NOTA[ID]),COLUMN(NOTA[ID]))&amp;":"&amp;ADDRESS(ROW(),COLUMN(NOTA[ID]))),-1)))</f>
        <v/>
      </c>
      <c r="AM765" s="28" t="str">
        <f ca="1">IF(NOTA[[#This Row],[ID_H]]="","",IF(NOTA[[#This Row],[FAKTUR]]="",INDIRECT(ADDRESS(ROW()-1,COLUMN())),NOTA[[#This Row],[FAKTUR]]))</f>
        <v/>
      </c>
      <c r="AN765" s="25" t="str">
        <f ca="1">IF(NOTA[[#This Row],[ID]]="","",COUNTIF(NOTA[ID_H],NOTA[[#This Row],[ID_H]]))</f>
        <v/>
      </c>
      <c r="AO765" s="25" t="str">
        <f ca="1">IF(NOTA[[#This Row],[TGL.NOTA]]="",IF(NOTA[[#This Row],[SUPPLIER_H]]="","",AO764),MONTH(NOTA[[#This Row],[TGL.NOTA]]))</f>
        <v/>
      </c>
      <c r="AP7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5" s="25"/>
      <c r="AU765" s="25" t="str">
        <f>IF(NOTA[[#This Row],[CONCAT1]]="","",MATCH(NOTA[[#This Row],[CONCAT1]],[3]!db[NB NOTA_C],0))</f>
        <v/>
      </c>
      <c r="AV765" s="25" t="str">
        <f>IF(NOTA[[#This Row],[QTY/ CTN]]="","",TRUE)</f>
        <v/>
      </c>
      <c r="AW765" s="25" t="str">
        <f ca="1">IF(NOTA[[#This Row],[ID_H]]="","",IF(NOTA[[#This Row],[Column3]]=TRUE,NOTA[[#This Row],[QTY/ CTN]],INDEX([3]!db[QTY/ CTN],NOTA[[#This Row],[//DB]])))</f>
        <v/>
      </c>
      <c r="AX7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5" s="25" t="str">
        <f ca="1">IF(NOTA[[#This Row],[ID_H]]="","",MATCH(NOTA[[#This Row],[NB NOTA_C_QTY]],[3]!db[NB NOTA_C_QTY+F],0))</f>
        <v/>
      </c>
      <c r="AZ765" s="38" t="str">
        <f ca="1">IF(NOTA[[#This Row],[NB NOTA_C_QTY]]="","",ROW()-2)</f>
        <v/>
      </c>
    </row>
    <row r="766" spans="1:52" ht="20.100000000000001" customHeight="1">
      <c r="A7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6" s="25" t="str">
        <f ca="1">IF(NOTA[[#This Row],[NAMA BARANG]]="","",INDEX(NOTA[ID],MATCH(,INDIRECT(ADDRESS(ROW(NOTA[ID]),COLUMN(NOTA[ID]))&amp;":"&amp;ADDRESS(ROW(),COLUMN(NOTA[ID]))),-1)))</f>
        <v/>
      </c>
      <c r="E766" s="33"/>
      <c r="H766" s="34"/>
      <c r="Q766" s="29"/>
      <c r="R766" s="35"/>
      <c r="S766" s="36"/>
      <c r="V766" s="37"/>
      <c r="W766" s="32"/>
      <c r="X766" s="37" t="str">
        <f>IF(NOTA[[#This Row],[HARGA/ CTN]]="",NOTA[[#This Row],[JUMLAH_H]],NOTA[[#This Row],[HARGA/ CTN]]*IF(NOTA[[#This Row],[C]]="",0,NOTA[[#This Row],[C]]))</f>
        <v/>
      </c>
      <c r="Y766" s="37" t="str">
        <f>IF(NOTA[[#This Row],[JUMLAH]]="","",NOTA[[#This Row],[JUMLAH]]*NOTA[[#This Row],[DISC 1]])</f>
        <v/>
      </c>
      <c r="Z766" s="37" t="str">
        <f>IF(NOTA[[#This Row],[JUMLAH]]="","",(NOTA[[#This Row],[JUMLAH]]-NOTA[[#This Row],[DISC 1-]])*NOTA[[#This Row],[DISC 2]])</f>
        <v/>
      </c>
      <c r="AA766" s="37" t="str">
        <f>IF(NOTA[[#This Row],[JUMLAH]]="","",(NOTA[[#This Row],[JUMLAH]]-NOTA[[#This Row],[DISC 1-]]-NOTA[[#This Row],[DISC 2-]])*NOTA[[#This Row],[DISC 3]])</f>
        <v/>
      </c>
      <c r="AB766" s="37" t="str">
        <f>IF(NOTA[[#This Row],[JUMLAH]]="","",NOTA[[#This Row],[DISC 1-]]+NOTA[[#This Row],[DISC 2-]]+NOTA[[#This Row],[DISC 3-]])</f>
        <v/>
      </c>
      <c r="AC766" s="37" t="str">
        <f>IF(NOTA[[#This Row],[JUMLAH]]="","",NOTA[[#This Row],[JUMLAH]]-NOTA[[#This Row],[DISC]])</f>
        <v/>
      </c>
      <c r="AD766" s="37"/>
      <c r="AE7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6" s="37" t="str">
        <f>IF(OR(NOTA[[#This Row],[QTY]]="",NOTA[[#This Row],[HARGA SATUAN]]="",),"",NOTA[[#This Row],[QTY]]*NOTA[[#This Row],[HARGA SATUAN]])</f>
        <v/>
      </c>
      <c r="AI766" s="26" t="str">
        <f ca="1">IF(NOTA[[#This Row],[ID_H]]="","",INDEX(NOTA[TANGGAL],MATCH(,INDIRECT(ADDRESS(ROW(NOTA[TANGGAL]),COLUMN(NOTA[TANGGAL]))&amp;":"&amp;ADDRESS(ROW(),COLUMN(NOTA[TANGGAL]))),-1)))</f>
        <v/>
      </c>
      <c r="AJ766" s="26" t="str">
        <f ca="1">IF(NOTA[[#This Row],[ID_H]]="","",INDEX(NOTA[TGL.NOTA],MATCH(,INDIRECT(ADDRESS(ROW(NOTA[TGL.NOTA]),COLUMN(NOTA[TGL.NOTA]))&amp;":"&amp;ADDRESS(ROW(),COLUMN(NOTA[TGL.NOTA]))),-1)))</f>
        <v/>
      </c>
      <c r="AK766" s="26" t="str">
        <f ca="1">IF(NOTA[[#This Row],[ID_H]]="","",INDEX(NOTA[NO.NOTA],MATCH(NOTA[[#This Row],[ID_H]],NOTA[ID_H],0)))</f>
        <v/>
      </c>
      <c r="AL766" s="28" t="str">
        <f ca="1">IF(NOTA[[#This Row],[NAMA BARANG]]="","",INDEX(NOTA[SUPPLIER],MATCH(,INDIRECT(ADDRESS(ROW(NOTA[ID]),COLUMN(NOTA[ID]))&amp;":"&amp;ADDRESS(ROW(),COLUMN(NOTA[ID]))),-1)))</f>
        <v/>
      </c>
      <c r="AM766" s="28" t="str">
        <f ca="1">IF(NOTA[[#This Row],[ID_H]]="","",IF(NOTA[[#This Row],[FAKTUR]]="",INDIRECT(ADDRESS(ROW()-1,COLUMN())),NOTA[[#This Row],[FAKTUR]]))</f>
        <v/>
      </c>
      <c r="AN766" s="25" t="str">
        <f ca="1">IF(NOTA[[#This Row],[ID]]="","",COUNTIF(NOTA[ID_H],NOTA[[#This Row],[ID_H]]))</f>
        <v/>
      </c>
      <c r="AO766" s="25" t="str">
        <f ca="1">IF(NOTA[[#This Row],[TGL.NOTA]]="",IF(NOTA[[#This Row],[SUPPLIER_H]]="","",AO765),MONTH(NOTA[[#This Row],[TGL.NOTA]]))</f>
        <v/>
      </c>
      <c r="AP7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6" s="25"/>
      <c r="AU766" s="25" t="str">
        <f>IF(NOTA[[#This Row],[CONCAT1]]="","",MATCH(NOTA[[#This Row],[CONCAT1]],[3]!db[NB NOTA_C],0))</f>
        <v/>
      </c>
      <c r="AV766" s="25" t="str">
        <f>IF(NOTA[[#This Row],[QTY/ CTN]]="","",TRUE)</f>
        <v/>
      </c>
      <c r="AW766" s="25" t="str">
        <f ca="1">IF(NOTA[[#This Row],[ID_H]]="","",IF(NOTA[[#This Row],[Column3]]=TRUE,NOTA[[#This Row],[QTY/ CTN]],INDEX([3]!db[QTY/ CTN],NOTA[[#This Row],[//DB]])))</f>
        <v/>
      </c>
      <c r="AX7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6" s="25" t="str">
        <f ca="1">IF(NOTA[[#This Row],[ID_H]]="","",MATCH(NOTA[[#This Row],[NB NOTA_C_QTY]],[3]!db[NB NOTA_C_QTY+F],0))</f>
        <v/>
      </c>
      <c r="AZ766" s="38" t="str">
        <f ca="1">IF(NOTA[[#This Row],[NB NOTA_C_QTY]]="","",ROW()-2)</f>
        <v/>
      </c>
    </row>
    <row r="767" spans="1:52" ht="20.100000000000001" customHeight="1">
      <c r="A7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7" s="25" t="str">
        <f ca="1">IF(NOTA[[#This Row],[NAMA BARANG]]="","",INDEX(NOTA[ID],MATCH(,INDIRECT(ADDRESS(ROW(NOTA[ID]),COLUMN(NOTA[ID]))&amp;":"&amp;ADDRESS(ROW(),COLUMN(NOTA[ID]))),-1)))</f>
        <v/>
      </c>
      <c r="E767" s="33"/>
      <c r="H767" s="34"/>
      <c r="Q767" s="29"/>
      <c r="R767" s="35"/>
      <c r="S767" s="36"/>
      <c r="V767" s="37"/>
      <c r="W767" s="32"/>
      <c r="X767" s="37" t="str">
        <f>IF(NOTA[[#This Row],[HARGA/ CTN]]="",NOTA[[#This Row],[JUMLAH_H]],NOTA[[#This Row],[HARGA/ CTN]]*IF(NOTA[[#This Row],[C]]="",0,NOTA[[#This Row],[C]]))</f>
        <v/>
      </c>
      <c r="Y767" s="37" t="str">
        <f>IF(NOTA[[#This Row],[JUMLAH]]="","",NOTA[[#This Row],[JUMLAH]]*NOTA[[#This Row],[DISC 1]])</f>
        <v/>
      </c>
      <c r="Z767" s="37" t="str">
        <f>IF(NOTA[[#This Row],[JUMLAH]]="","",(NOTA[[#This Row],[JUMLAH]]-NOTA[[#This Row],[DISC 1-]])*NOTA[[#This Row],[DISC 2]])</f>
        <v/>
      </c>
      <c r="AA767" s="37" t="str">
        <f>IF(NOTA[[#This Row],[JUMLAH]]="","",(NOTA[[#This Row],[JUMLAH]]-NOTA[[#This Row],[DISC 1-]]-NOTA[[#This Row],[DISC 2-]])*NOTA[[#This Row],[DISC 3]])</f>
        <v/>
      </c>
      <c r="AB767" s="37" t="str">
        <f>IF(NOTA[[#This Row],[JUMLAH]]="","",NOTA[[#This Row],[DISC 1-]]+NOTA[[#This Row],[DISC 2-]]+NOTA[[#This Row],[DISC 3-]])</f>
        <v/>
      </c>
      <c r="AC767" s="37" t="str">
        <f>IF(NOTA[[#This Row],[JUMLAH]]="","",NOTA[[#This Row],[JUMLAH]]-NOTA[[#This Row],[DISC]])</f>
        <v/>
      </c>
      <c r="AD767" s="37"/>
      <c r="AE7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7" s="37" t="str">
        <f>IF(OR(NOTA[[#This Row],[QTY]]="",NOTA[[#This Row],[HARGA SATUAN]]="",),"",NOTA[[#This Row],[QTY]]*NOTA[[#This Row],[HARGA SATUAN]])</f>
        <v/>
      </c>
      <c r="AI767" s="26" t="str">
        <f ca="1">IF(NOTA[[#This Row],[ID_H]]="","",INDEX(NOTA[TANGGAL],MATCH(,INDIRECT(ADDRESS(ROW(NOTA[TANGGAL]),COLUMN(NOTA[TANGGAL]))&amp;":"&amp;ADDRESS(ROW(),COLUMN(NOTA[TANGGAL]))),-1)))</f>
        <v/>
      </c>
      <c r="AJ767" s="26" t="str">
        <f ca="1">IF(NOTA[[#This Row],[ID_H]]="","",INDEX(NOTA[TGL.NOTA],MATCH(,INDIRECT(ADDRESS(ROW(NOTA[TGL.NOTA]),COLUMN(NOTA[TGL.NOTA]))&amp;":"&amp;ADDRESS(ROW(),COLUMN(NOTA[TGL.NOTA]))),-1)))</f>
        <v/>
      </c>
      <c r="AK767" s="26" t="str">
        <f ca="1">IF(NOTA[[#This Row],[ID_H]]="","",INDEX(NOTA[NO.NOTA],MATCH(NOTA[[#This Row],[ID_H]],NOTA[ID_H],0)))</f>
        <v/>
      </c>
      <c r="AL767" s="28" t="str">
        <f ca="1">IF(NOTA[[#This Row],[NAMA BARANG]]="","",INDEX(NOTA[SUPPLIER],MATCH(,INDIRECT(ADDRESS(ROW(NOTA[ID]),COLUMN(NOTA[ID]))&amp;":"&amp;ADDRESS(ROW(),COLUMN(NOTA[ID]))),-1)))</f>
        <v/>
      </c>
      <c r="AM767" s="28" t="str">
        <f ca="1">IF(NOTA[[#This Row],[ID_H]]="","",IF(NOTA[[#This Row],[FAKTUR]]="",INDIRECT(ADDRESS(ROW()-1,COLUMN())),NOTA[[#This Row],[FAKTUR]]))</f>
        <v/>
      </c>
      <c r="AN767" s="25" t="str">
        <f ca="1">IF(NOTA[[#This Row],[ID]]="","",COUNTIF(NOTA[ID_H],NOTA[[#This Row],[ID_H]]))</f>
        <v/>
      </c>
      <c r="AO767" s="25" t="str">
        <f ca="1">IF(NOTA[[#This Row],[TGL.NOTA]]="",IF(NOTA[[#This Row],[SUPPLIER_H]]="","",AO766),MONTH(NOTA[[#This Row],[TGL.NOTA]]))</f>
        <v/>
      </c>
      <c r="AP7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7" s="25"/>
      <c r="AU767" s="25" t="str">
        <f>IF(NOTA[[#This Row],[CONCAT1]]="","",MATCH(NOTA[[#This Row],[CONCAT1]],[3]!db[NB NOTA_C],0))</f>
        <v/>
      </c>
      <c r="AV767" s="25" t="str">
        <f>IF(NOTA[[#This Row],[QTY/ CTN]]="","",TRUE)</f>
        <v/>
      </c>
      <c r="AW767" s="25" t="str">
        <f ca="1">IF(NOTA[[#This Row],[ID_H]]="","",IF(NOTA[[#This Row],[Column3]]=TRUE,NOTA[[#This Row],[QTY/ CTN]],INDEX([3]!db[QTY/ CTN],NOTA[[#This Row],[//DB]])))</f>
        <v/>
      </c>
      <c r="AX7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7" s="25" t="str">
        <f ca="1">IF(NOTA[[#This Row],[ID_H]]="","",MATCH(NOTA[[#This Row],[NB NOTA_C_QTY]],[3]!db[NB NOTA_C_QTY+F],0))</f>
        <v/>
      </c>
      <c r="AZ767" s="38" t="str">
        <f ca="1">IF(NOTA[[#This Row],[NB NOTA_C_QTY]]="","",ROW()-2)</f>
        <v/>
      </c>
    </row>
    <row r="768" spans="1:52" ht="20.100000000000001" customHeight="1">
      <c r="A7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8" s="25" t="str">
        <f ca="1">IF(NOTA[[#This Row],[NAMA BARANG]]="","",INDEX(NOTA[ID],MATCH(,INDIRECT(ADDRESS(ROW(NOTA[ID]),COLUMN(NOTA[ID]))&amp;":"&amp;ADDRESS(ROW(),COLUMN(NOTA[ID]))),-1)))</f>
        <v/>
      </c>
      <c r="E768" s="33"/>
      <c r="H768" s="34"/>
      <c r="Q768" s="29"/>
      <c r="R768" s="35"/>
      <c r="S768" s="36"/>
      <c r="V768" s="37"/>
      <c r="W768" s="32"/>
      <c r="X768" s="37" t="str">
        <f>IF(NOTA[[#This Row],[HARGA/ CTN]]="",NOTA[[#This Row],[JUMLAH_H]],NOTA[[#This Row],[HARGA/ CTN]]*IF(NOTA[[#This Row],[C]]="",0,NOTA[[#This Row],[C]]))</f>
        <v/>
      </c>
      <c r="Y768" s="37" t="str">
        <f>IF(NOTA[[#This Row],[JUMLAH]]="","",NOTA[[#This Row],[JUMLAH]]*NOTA[[#This Row],[DISC 1]])</f>
        <v/>
      </c>
      <c r="Z768" s="37" t="str">
        <f>IF(NOTA[[#This Row],[JUMLAH]]="","",(NOTA[[#This Row],[JUMLAH]]-NOTA[[#This Row],[DISC 1-]])*NOTA[[#This Row],[DISC 2]])</f>
        <v/>
      </c>
      <c r="AA768" s="37" t="str">
        <f>IF(NOTA[[#This Row],[JUMLAH]]="","",(NOTA[[#This Row],[JUMLAH]]-NOTA[[#This Row],[DISC 1-]]-NOTA[[#This Row],[DISC 2-]])*NOTA[[#This Row],[DISC 3]])</f>
        <v/>
      </c>
      <c r="AB768" s="37" t="str">
        <f>IF(NOTA[[#This Row],[JUMLAH]]="","",NOTA[[#This Row],[DISC 1-]]+NOTA[[#This Row],[DISC 2-]]+NOTA[[#This Row],[DISC 3-]])</f>
        <v/>
      </c>
      <c r="AC768" s="37" t="str">
        <f>IF(NOTA[[#This Row],[JUMLAH]]="","",NOTA[[#This Row],[JUMLAH]]-NOTA[[#This Row],[DISC]])</f>
        <v/>
      </c>
      <c r="AD768" s="37"/>
      <c r="AE7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8" s="37" t="str">
        <f>IF(OR(NOTA[[#This Row],[QTY]]="",NOTA[[#This Row],[HARGA SATUAN]]="",),"",NOTA[[#This Row],[QTY]]*NOTA[[#This Row],[HARGA SATUAN]])</f>
        <v/>
      </c>
      <c r="AI768" s="26" t="str">
        <f ca="1">IF(NOTA[[#This Row],[ID_H]]="","",INDEX(NOTA[TANGGAL],MATCH(,INDIRECT(ADDRESS(ROW(NOTA[TANGGAL]),COLUMN(NOTA[TANGGAL]))&amp;":"&amp;ADDRESS(ROW(),COLUMN(NOTA[TANGGAL]))),-1)))</f>
        <v/>
      </c>
      <c r="AJ768" s="26" t="str">
        <f ca="1">IF(NOTA[[#This Row],[ID_H]]="","",INDEX(NOTA[TGL.NOTA],MATCH(,INDIRECT(ADDRESS(ROW(NOTA[TGL.NOTA]),COLUMN(NOTA[TGL.NOTA]))&amp;":"&amp;ADDRESS(ROW(),COLUMN(NOTA[TGL.NOTA]))),-1)))</f>
        <v/>
      </c>
      <c r="AK768" s="26" t="str">
        <f ca="1">IF(NOTA[[#This Row],[ID_H]]="","",INDEX(NOTA[NO.NOTA],MATCH(NOTA[[#This Row],[ID_H]],NOTA[ID_H],0)))</f>
        <v/>
      </c>
      <c r="AL768" s="28" t="str">
        <f ca="1">IF(NOTA[[#This Row],[NAMA BARANG]]="","",INDEX(NOTA[SUPPLIER],MATCH(,INDIRECT(ADDRESS(ROW(NOTA[ID]),COLUMN(NOTA[ID]))&amp;":"&amp;ADDRESS(ROW(),COLUMN(NOTA[ID]))),-1)))</f>
        <v/>
      </c>
      <c r="AM768" s="28" t="str">
        <f ca="1">IF(NOTA[[#This Row],[ID_H]]="","",IF(NOTA[[#This Row],[FAKTUR]]="",INDIRECT(ADDRESS(ROW()-1,COLUMN())),NOTA[[#This Row],[FAKTUR]]))</f>
        <v/>
      </c>
      <c r="AN768" s="25" t="str">
        <f ca="1">IF(NOTA[[#This Row],[ID]]="","",COUNTIF(NOTA[ID_H],NOTA[[#This Row],[ID_H]]))</f>
        <v/>
      </c>
      <c r="AO768" s="25" t="str">
        <f ca="1">IF(NOTA[[#This Row],[TGL.NOTA]]="",IF(NOTA[[#This Row],[SUPPLIER_H]]="","",AO767),MONTH(NOTA[[#This Row],[TGL.NOTA]]))</f>
        <v/>
      </c>
      <c r="AP7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8" s="25"/>
      <c r="AU768" s="25" t="str">
        <f>IF(NOTA[[#This Row],[CONCAT1]]="","",MATCH(NOTA[[#This Row],[CONCAT1]],[3]!db[NB NOTA_C],0))</f>
        <v/>
      </c>
      <c r="AV768" s="25" t="str">
        <f>IF(NOTA[[#This Row],[QTY/ CTN]]="","",TRUE)</f>
        <v/>
      </c>
      <c r="AW768" s="25" t="str">
        <f ca="1">IF(NOTA[[#This Row],[ID_H]]="","",IF(NOTA[[#This Row],[Column3]]=TRUE,NOTA[[#This Row],[QTY/ CTN]],INDEX([3]!db[QTY/ CTN],NOTA[[#This Row],[//DB]])))</f>
        <v/>
      </c>
      <c r="AX7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8" s="25" t="str">
        <f ca="1">IF(NOTA[[#This Row],[ID_H]]="","",MATCH(NOTA[[#This Row],[NB NOTA_C_QTY]],[3]!db[NB NOTA_C_QTY+F],0))</f>
        <v/>
      </c>
      <c r="AZ768" s="38" t="str">
        <f ca="1">IF(NOTA[[#This Row],[NB NOTA_C_QTY]]="","",ROW()-2)</f>
        <v/>
      </c>
    </row>
    <row r="769" spans="1:52" ht="20.100000000000001" customHeight="1">
      <c r="A7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9" s="25" t="str">
        <f ca="1">IF(NOTA[[#This Row],[NAMA BARANG]]="","",INDEX(NOTA[ID],MATCH(,INDIRECT(ADDRESS(ROW(NOTA[ID]),COLUMN(NOTA[ID]))&amp;":"&amp;ADDRESS(ROW(),COLUMN(NOTA[ID]))),-1)))</f>
        <v/>
      </c>
      <c r="E769" s="33"/>
      <c r="H769" s="34"/>
      <c r="Q769" s="29"/>
      <c r="R769" s="35"/>
      <c r="S769" s="36"/>
      <c r="V769" s="37"/>
      <c r="W769" s="32"/>
      <c r="X769" s="37" t="str">
        <f>IF(NOTA[[#This Row],[HARGA/ CTN]]="",NOTA[[#This Row],[JUMLAH_H]],NOTA[[#This Row],[HARGA/ CTN]]*IF(NOTA[[#This Row],[C]]="",0,NOTA[[#This Row],[C]]))</f>
        <v/>
      </c>
      <c r="Y769" s="37" t="str">
        <f>IF(NOTA[[#This Row],[JUMLAH]]="","",NOTA[[#This Row],[JUMLAH]]*NOTA[[#This Row],[DISC 1]])</f>
        <v/>
      </c>
      <c r="Z769" s="37" t="str">
        <f>IF(NOTA[[#This Row],[JUMLAH]]="","",(NOTA[[#This Row],[JUMLAH]]-NOTA[[#This Row],[DISC 1-]])*NOTA[[#This Row],[DISC 2]])</f>
        <v/>
      </c>
      <c r="AA769" s="37" t="str">
        <f>IF(NOTA[[#This Row],[JUMLAH]]="","",(NOTA[[#This Row],[JUMLAH]]-NOTA[[#This Row],[DISC 1-]]-NOTA[[#This Row],[DISC 2-]])*NOTA[[#This Row],[DISC 3]])</f>
        <v/>
      </c>
      <c r="AB769" s="37" t="str">
        <f>IF(NOTA[[#This Row],[JUMLAH]]="","",NOTA[[#This Row],[DISC 1-]]+NOTA[[#This Row],[DISC 2-]]+NOTA[[#This Row],[DISC 3-]])</f>
        <v/>
      </c>
      <c r="AC769" s="37" t="str">
        <f>IF(NOTA[[#This Row],[JUMLAH]]="","",NOTA[[#This Row],[JUMLAH]]-NOTA[[#This Row],[DISC]])</f>
        <v/>
      </c>
      <c r="AD769" s="37"/>
      <c r="AE7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9" s="37" t="str">
        <f>IF(OR(NOTA[[#This Row],[QTY]]="",NOTA[[#This Row],[HARGA SATUAN]]="",),"",NOTA[[#This Row],[QTY]]*NOTA[[#This Row],[HARGA SATUAN]])</f>
        <v/>
      </c>
      <c r="AI769" s="26" t="str">
        <f ca="1">IF(NOTA[[#This Row],[ID_H]]="","",INDEX(NOTA[TANGGAL],MATCH(,INDIRECT(ADDRESS(ROW(NOTA[TANGGAL]),COLUMN(NOTA[TANGGAL]))&amp;":"&amp;ADDRESS(ROW(),COLUMN(NOTA[TANGGAL]))),-1)))</f>
        <v/>
      </c>
      <c r="AJ769" s="26" t="str">
        <f ca="1">IF(NOTA[[#This Row],[ID_H]]="","",INDEX(NOTA[TGL.NOTA],MATCH(,INDIRECT(ADDRESS(ROW(NOTA[TGL.NOTA]),COLUMN(NOTA[TGL.NOTA]))&amp;":"&amp;ADDRESS(ROW(),COLUMN(NOTA[TGL.NOTA]))),-1)))</f>
        <v/>
      </c>
      <c r="AK769" s="26" t="str">
        <f ca="1">IF(NOTA[[#This Row],[ID_H]]="","",INDEX(NOTA[NO.NOTA],MATCH(NOTA[[#This Row],[ID_H]],NOTA[ID_H],0)))</f>
        <v/>
      </c>
      <c r="AL769" s="28" t="str">
        <f ca="1">IF(NOTA[[#This Row],[NAMA BARANG]]="","",INDEX(NOTA[SUPPLIER],MATCH(,INDIRECT(ADDRESS(ROW(NOTA[ID]),COLUMN(NOTA[ID]))&amp;":"&amp;ADDRESS(ROW(),COLUMN(NOTA[ID]))),-1)))</f>
        <v/>
      </c>
      <c r="AM769" s="28" t="str">
        <f ca="1">IF(NOTA[[#This Row],[ID_H]]="","",IF(NOTA[[#This Row],[FAKTUR]]="",INDIRECT(ADDRESS(ROW()-1,COLUMN())),NOTA[[#This Row],[FAKTUR]]))</f>
        <v/>
      </c>
      <c r="AN769" s="25" t="str">
        <f ca="1">IF(NOTA[[#This Row],[ID]]="","",COUNTIF(NOTA[ID_H],NOTA[[#This Row],[ID_H]]))</f>
        <v/>
      </c>
      <c r="AO769" s="25" t="str">
        <f ca="1">IF(NOTA[[#This Row],[TGL.NOTA]]="",IF(NOTA[[#This Row],[SUPPLIER_H]]="","",AO768),MONTH(NOTA[[#This Row],[TGL.NOTA]]))</f>
        <v/>
      </c>
      <c r="AP7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9" s="25"/>
      <c r="AU769" s="25" t="str">
        <f>IF(NOTA[[#This Row],[CONCAT1]]="","",MATCH(NOTA[[#This Row],[CONCAT1]],[3]!db[NB NOTA_C],0))</f>
        <v/>
      </c>
      <c r="AV769" s="25" t="str">
        <f>IF(NOTA[[#This Row],[QTY/ CTN]]="","",TRUE)</f>
        <v/>
      </c>
      <c r="AW769" s="25" t="str">
        <f ca="1">IF(NOTA[[#This Row],[ID_H]]="","",IF(NOTA[[#This Row],[Column3]]=TRUE,NOTA[[#This Row],[QTY/ CTN]],INDEX([3]!db[QTY/ CTN],NOTA[[#This Row],[//DB]])))</f>
        <v/>
      </c>
      <c r="AX7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9" s="25" t="str">
        <f ca="1">IF(NOTA[[#This Row],[ID_H]]="","",MATCH(NOTA[[#This Row],[NB NOTA_C_QTY]],[3]!db[NB NOTA_C_QTY+F],0))</f>
        <v/>
      </c>
      <c r="AZ769" s="38" t="str">
        <f ca="1">IF(NOTA[[#This Row],[NB NOTA_C_QTY]]="","",ROW()-2)</f>
        <v/>
      </c>
    </row>
    <row r="770" spans="1:52" ht="20.100000000000001" customHeight="1">
      <c r="A7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0" s="25" t="str">
        <f ca="1">IF(NOTA[[#This Row],[NAMA BARANG]]="","",INDEX(NOTA[ID],MATCH(,INDIRECT(ADDRESS(ROW(NOTA[ID]),COLUMN(NOTA[ID]))&amp;":"&amp;ADDRESS(ROW(),COLUMN(NOTA[ID]))),-1)))</f>
        <v/>
      </c>
      <c r="E770" s="33"/>
      <c r="H770" s="34"/>
      <c r="Q770" s="29"/>
      <c r="R770" s="35"/>
      <c r="S770" s="36"/>
      <c r="V770" s="37"/>
      <c r="W770" s="32"/>
      <c r="X770" s="37" t="str">
        <f>IF(NOTA[[#This Row],[HARGA/ CTN]]="",NOTA[[#This Row],[JUMLAH_H]],NOTA[[#This Row],[HARGA/ CTN]]*IF(NOTA[[#This Row],[C]]="",0,NOTA[[#This Row],[C]]))</f>
        <v/>
      </c>
      <c r="Y770" s="37" t="str">
        <f>IF(NOTA[[#This Row],[JUMLAH]]="","",NOTA[[#This Row],[JUMLAH]]*NOTA[[#This Row],[DISC 1]])</f>
        <v/>
      </c>
      <c r="Z770" s="37" t="str">
        <f>IF(NOTA[[#This Row],[JUMLAH]]="","",(NOTA[[#This Row],[JUMLAH]]-NOTA[[#This Row],[DISC 1-]])*NOTA[[#This Row],[DISC 2]])</f>
        <v/>
      </c>
      <c r="AA770" s="37" t="str">
        <f>IF(NOTA[[#This Row],[JUMLAH]]="","",(NOTA[[#This Row],[JUMLAH]]-NOTA[[#This Row],[DISC 1-]]-NOTA[[#This Row],[DISC 2-]])*NOTA[[#This Row],[DISC 3]])</f>
        <v/>
      </c>
      <c r="AB770" s="37" t="str">
        <f>IF(NOTA[[#This Row],[JUMLAH]]="","",NOTA[[#This Row],[DISC 1-]]+NOTA[[#This Row],[DISC 2-]]+NOTA[[#This Row],[DISC 3-]])</f>
        <v/>
      </c>
      <c r="AC770" s="37" t="str">
        <f>IF(NOTA[[#This Row],[JUMLAH]]="","",NOTA[[#This Row],[JUMLAH]]-NOTA[[#This Row],[DISC]])</f>
        <v/>
      </c>
      <c r="AD770" s="37"/>
      <c r="AE7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0" s="37" t="str">
        <f>IF(OR(NOTA[[#This Row],[QTY]]="",NOTA[[#This Row],[HARGA SATUAN]]="",),"",NOTA[[#This Row],[QTY]]*NOTA[[#This Row],[HARGA SATUAN]])</f>
        <v/>
      </c>
      <c r="AI770" s="26" t="str">
        <f ca="1">IF(NOTA[[#This Row],[ID_H]]="","",INDEX(NOTA[TANGGAL],MATCH(,INDIRECT(ADDRESS(ROW(NOTA[TANGGAL]),COLUMN(NOTA[TANGGAL]))&amp;":"&amp;ADDRESS(ROW(),COLUMN(NOTA[TANGGAL]))),-1)))</f>
        <v/>
      </c>
      <c r="AJ770" s="26" t="str">
        <f ca="1">IF(NOTA[[#This Row],[ID_H]]="","",INDEX(NOTA[TGL.NOTA],MATCH(,INDIRECT(ADDRESS(ROW(NOTA[TGL.NOTA]),COLUMN(NOTA[TGL.NOTA]))&amp;":"&amp;ADDRESS(ROW(),COLUMN(NOTA[TGL.NOTA]))),-1)))</f>
        <v/>
      </c>
      <c r="AK770" s="26" t="str">
        <f ca="1">IF(NOTA[[#This Row],[ID_H]]="","",INDEX(NOTA[NO.NOTA],MATCH(NOTA[[#This Row],[ID_H]],NOTA[ID_H],0)))</f>
        <v/>
      </c>
      <c r="AL770" s="28" t="str">
        <f ca="1">IF(NOTA[[#This Row],[NAMA BARANG]]="","",INDEX(NOTA[SUPPLIER],MATCH(,INDIRECT(ADDRESS(ROW(NOTA[ID]),COLUMN(NOTA[ID]))&amp;":"&amp;ADDRESS(ROW(),COLUMN(NOTA[ID]))),-1)))</f>
        <v/>
      </c>
      <c r="AM770" s="28" t="str">
        <f ca="1">IF(NOTA[[#This Row],[ID_H]]="","",IF(NOTA[[#This Row],[FAKTUR]]="",INDIRECT(ADDRESS(ROW()-1,COLUMN())),NOTA[[#This Row],[FAKTUR]]))</f>
        <v/>
      </c>
      <c r="AN770" s="25" t="str">
        <f ca="1">IF(NOTA[[#This Row],[ID]]="","",COUNTIF(NOTA[ID_H],NOTA[[#This Row],[ID_H]]))</f>
        <v/>
      </c>
      <c r="AO770" s="25" t="str">
        <f ca="1">IF(NOTA[[#This Row],[TGL.NOTA]]="",IF(NOTA[[#This Row],[SUPPLIER_H]]="","",AO769),MONTH(NOTA[[#This Row],[TGL.NOTA]]))</f>
        <v/>
      </c>
      <c r="AP7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0" s="25"/>
      <c r="AU770" s="25" t="str">
        <f>IF(NOTA[[#This Row],[CONCAT1]]="","",MATCH(NOTA[[#This Row],[CONCAT1]],[3]!db[NB NOTA_C],0))</f>
        <v/>
      </c>
      <c r="AV770" s="25" t="str">
        <f>IF(NOTA[[#This Row],[QTY/ CTN]]="","",TRUE)</f>
        <v/>
      </c>
      <c r="AW770" s="25" t="str">
        <f ca="1">IF(NOTA[[#This Row],[ID_H]]="","",IF(NOTA[[#This Row],[Column3]]=TRUE,NOTA[[#This Row],[QTY/ CTN]],INDEX([3]!db[QTY/ CTN],NOTA[[#This Row],[//DB]])))</f>
        <v/>
      </c>
      <c r="AX7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0" s="25" t="str">
        <f ca="1">IF(NOTA[[#This Row],[ID_H]]="","",MATCH(NOTA[[#This Row],[NB NOTA_C_QTY]],[3]!db[NB NOTA_C_QTY+F],0))</f>
        <v/>
      </c>
      <c r="AZ770" s="38" t="str">
        <f ca="1">IF(NOTA[[#This Row],[NB NOTA_C_QTY]]="","",ROW()-2)</f>
        <v/>
      </c>
    </row>
    <row r="771" spans="1:52" ht="20.100000000000001" customHeight="1">
      <c r="A7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1" s="25" t="str">
        <f ca="1">IF(NOTA[[#This Row],[NAMA BARANG]]="","",INDEX(NOTA[ID],MATCH(,INDIRECT(ADDRESS(ROW(NOTA[ID]),COLUMN(NOTA[ID]))&amp;":"&amp;ADDRESS(ROW(),COLUMN(NOTA[ID]))),-1)))</f>
        <v/>
      </c>
      <c r="E771" s="33"/>
      <c r="H771" s="34"/>
      <c r="Q771" s="29"/>
      <c r="R771" s="35"/>
      <c r="S771" s="36"/>
      <c r="V771" s="37"/>
      <c r="W771" s="32"/>
      <c r="X771" s="37" t="str">
        <f>IF(NOTA[[#This Row],[HARGA/ CTN]]="",NOTA[[#This Row],[JUMLAH_H]],NOTA[[#This Row],[HARGA/ CTN]]*IF(NOTA[[#This Row],[C]]="",0,NOTA[[#This Row],[C]]))</f>
        <v/>
      </c>
      <c r="Y771" s="37" t="str">
        <f>IF(NOTA[[#This Row],[JUMLAH]]="","",NOTA[[#This Row],[JUMLAH]]*NOTA[[#This Row],[DISC 1]])</f>
        <v/>
      </c>
      <c r="Z771" s="37" t="str">
        <f>IF(NOTA[[#This Row],[JUMLAH]]="","",(NOTA[[#This Row],[JUMLAH]]-NOTA[[#This Row],[DISC 1-]])*NOTA[[#This Row],[DISC 2]])</f>
        <v/>
      </c>
      <c r="AA771" s="37" t="str">
        <f>IF(NOTA[[#This Row],[JUMLAH]]="","",(NOTA[[#This Row],[JUMLAH]]-NOTA[[#This Row],[DISC 1-]]-NOTA[[#This Row],[DISC 2-]])*NOTA[[#This Row],[DISC 3]])</f>
        <v/>
      </c>
      <c r="AB771" s="37" t="str">
        <f>IF(NOTA[[#This Row],[JUMLAH]]="","",NOTA[[#This Row],[DISC 1-]]+NOTA[[#This Row],[DISC 2-]]+NOTA[[#This Row],[DISC 3-]])</f>
        <v/>
      </c>
      <c r="AC771" s="37" t="str">
        <f>IF(NOTA[[#This Row],[JUMLAH]]="","",NOTA[[#This Row],[JUMLAH]]-NOTA[[#This Row],[DISC]])</f>
        <v/>
      </c>
      <c r="AD771" s="37"/>
      <c r="AE7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1" s="37" t="str">
        <f>IF(OR(NOTA[[#This Row],[QTY]]="",NOTA[[#This Row],[HARGA SATUAN]]="",),"",NOTA[[#This Row],[QTY]]*NOTA[[#This Row],[HARGA SATUAN]])</f>
        <v/>
      </c>
      <c r="AI771" s="26" t="str">
        <f ca="1">IF(NOTA[[#This Row],[ID_H]]="","",INDEX(NOTA[TANGGAL],MATCH(,INDIRECT(ADDRESS(ROW(NOTA[TANGGAL]),COLUMN(NOTA[TANGGAL]))&amp;":"&amp;ADDRESS(ROW(),COLUMN(NOTA[TANGGAL]))),-1)))</f>
        <v/>
      </c>
      <c r="AJ771" s="26" t="str">
        <f ca="1">IF(NOTA[[#This Row],[ID_H]]="","",INDEX(NOTA[TGL.NOTA],MATCH(,INDIRECT(ADDRESS(ROW(NOTA[TGL.NOTA]),COLUMN(NOTA[TGL.NOTA]))&amp;":"&amp;ADDRESS(ROW(),COLUMN(NOTA[TGL.NOTA]))),-1)))</f>
        <v/>
      </c>
      <c r="AK771" s="26" t="str">
        <f ca="1">IF(NOTA[[#This Row],[ID_H]]="","",INDEX(NOTA[NO.NOTA],MATCH(NOTA[[#This Row],[ID_H]],NOTA[ID_H],0)))</f>
        <v/>
      </c>
      <c r="AL771" s="28" t="str">
        <f ca="1">IF(NOTA[[#This Row],[NAMA BARANG]]="","",INDEX(NOTA[SUPPLIER],MATCH(,INDIRECT(ADDRESS(ROW(NOTA[ID]),COLUMN(NOTA[ID]))&amp;":"&amp;ADDRESS(ROW(),COLUMN(NOTA[ID]))),-1)))</f>
        <v/>
      </c>
      <c r="AM771" s="28" t="str">
        <f ca="1">IF(NOTA[[#This Row],[ID_H]]="","",IF(NOTA[[#This Row],[FAKTUR]]="",INDIRECT(ADDRESS(ROW()-1,COLUMN())),NOTA[[#This Row],[FAKTUR]]))</f>
        <v/>
      </c>
      <c r="AN771" s="25" t="str">
        <f ca="1">IF(NOTA[[#This Row],[ID]]="","",COUNTIF(NOTA[ID_H],NOTA[[#This Row],[ID_H]]))</f>
        <v/>
      </c>
      <c r="AO771" s="25" t="str">
        <f ca="1">IF(NOTA[[#This Row],[TGL.NOTA]]="",IF(NOTA[[#This Row],[SUPPLIER_H]]="","",AO770),MONTH(NOTA[[#This Row],[TGL.NOTA]]))</f>
        <v/>
      </c>
      <c r="AP7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1" s="25"/>
      <c r="AU771" s="25" t="str">
        <f>IF(NOTA[[#This Row],[CONCAT1]]="","",MATCH(NOTA[[#This Row],[CONCAT1]],[3]!db[NB NOTA_C],0))</f>
        <v/>
      </c>
      <c r="AV771" s="25" t="str">
        <f>IF(NOTA[[#This Row],[QTY/ CTN]]="","",TRUE)</f>
        <v/>
      </c>
      <c r="AW771" s="25" t="str">
        <f ca="1">IF(NOTA[[#This Row],[ID_H]]="","",IF(NOTA[[#This Row],[Column3]]=TRUE,NOTA[[#This Row],[QTY/ CTN]],INDEX([3]!db[QTY/ CTN],NOTA[[#This Row],[//DB]])))</f>
        <v/>
      </c>
      <c r="AX7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1" s="25" t="str">
        <f ca="1">IF(NOTA[[#This Row],[ID_H]]="","",MATCH(NOTA[[#This Row],[NB NOTA_C_QTY]],[3]!db[NB NOTA_C_QTY+F],0))</f>
        <v/>
      </c>
      <c r="AZ771" s="38" t="str">
        <f ca="1">IF(NOTA[[#This Row],[NB NOTA_C_QTY]]="","",ROW()-2)</f>
        <v/>
      </c>
    </row>
    <row r="772" spans="1:52" ht="20.100000000000001" customHeight="1">
      <c r="A7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2" s="25" t="str">
        <f ca="1">IF(NOTA[[#This Row],[NAMA BARANG]]="","",INDEX(NOTA[ID],MATCH(,INDIRECT(ADDRESS(ROW(NOTA[ID]),COLUMN(NOTA[ID]))&amp;":"&amp;ADDRESS(ROW(),COLUMN(NOTA[ID]))),-1)))</f>
        <v/>
      </c>
      <c r="E772" s="33"/>
      <c r="H772" s="34"/>
      <c r="Q772" s="29"/>
      <c r="R772" s="35"/>
      <c r="S772" s="36"/>
      <c r="V772" s="37"/>
      <c r="W772" s="32"/>
      <c r="X772" s="37" t="str">
        <f>IF(NOTA[[#This Row],[HARGA/ CTN]]="",NOTA[[#This Row],[JUMLAH_H]],NOTA[[#This Row],[HARGA/ CTN]]*IF(NOTA[[#This Row],[C]]="",0,NOTA[[#This Row],[C]]))</f>
        <v/>
      </c>
      <c r="Y772" s="37" t="str">
        <f>IF(NOTA[[#This Row],[JUMLAH]]="","",NOTA[[#This Row],[JUMLAH]]*NOTA[[#This Row],[DISC 1]])</f>
        <v/>
      </c>
      <c r="Z772" s="37" t="str">
        <f>IF(NOTA[[#This Row],[JUMLAH]]="","",(NOTA[[#This Row],[JUMLAH]]-NOTA[[#This Row],[DISC 1-]])*NOTA[[#This Row],[DISC 2]])</f>
        <v/>
      </c>
      <c r="AA772" s="37" t="str">
        <f>IF(NOTA[[#This Row],[JUMLAH]]="","",(NOTA[[#This Row],[JUMLAH]]-NOTA[[#This Row],[DISC 1-]]-NOTA[[#This Row],[DISC 2-]])*NOTA[[#This Row],[DISC 3]])</f>
        <v/>
      </c>
      <c r="AB772" s="37" t="str">
        <f>IF(NOTA[[#This Row],[JUMLAH]]="","",NOTA[[#This Row],[DISC 1-]]+NOTA[[#This Row],[DISC 2-]]+NOTA[[#This Row],[DISC 3-]])</f>
        <v/>
      </c>
      <c r="AC772" s="37" t="str">
        <f>IF(NOTA[[#This Row],[JUMLAH]]="","",NOTA[[#This Row],[JUMLAH]]-NOTA[[#This Row],[DISC]])</f>
        <v/>
      </c>
      <c r="AD772" s="37"/>
      <c r="AE7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2" s="37" t="str">
        <f>IF(OR(NOTA[[#This Row],[QTY]]="",NOTA[[#This Row],[HARGA SATUAN]]="",),"",NOTA[[#This Row],[QTY]]*NOTA[[#This Row],[HARGA SATUAN]])</f>
        <v/>
      </c>
      <c r="AI772" s="26" t="str">
        <f ca="1">IF(NOTA[[#This Row],[ID_H]]="","",INDEX(NOTA[TANGGAL],MATCH(,INDIRECT(ADDRESS(ROW(NOTA[TANGGAL]),COLUMN(NOTA[TANGGAL]))&amp;":"&amp;ADDRESS(ROW(),COLUMN(NOTA[TANGGAL]))),-1)))</f>
        <v/>
      </c>
      <c r="AJ772" s="26" t="str">
        <f ca="1">IF(NOTA[[#This Row],[ID_H]]="","",INDEX(NOTA[TGL.NOTA],MATCH(,INDIRECT(ADDRESS(ROW(NOTA[TGL.NOTA]),COLUMN(NOTA[TGL.NOTA]))&amp;":"&amp;ADDRESS(ROW(),COLUMN(NOTA[TGL.NOTA]))),-1)))</f>
        <v/>
      </c>
      <c r="AK772" s="26" t="str">
        <f ca="1">IF(NOTA[[#This Row],[ID_H]]="","",INDEX(NOTA[NO.NOTA],MATCH(NOTA[[#This Row],[ID_H]],NOTA[ID_H],0)))</f>
        <v/>
      </c>
      <c r="AL772" s="28" t="str">
        <f ca="1">IF(NOTA[[#This Row],[NAMA BARANG]]="","",INDEX(NOTA[SUPPLIER],MATCH(,INDIRECT(ADDRESS(ROW(NOTA[ID]),COLUMN(NOTA[ID]))&amp;":"&amp;ADDRESS(ROW(),COLUMN(NOTA[ID]))),-1)))</f>
        <v/>
      </c>
      <c r="AM772" s="28" t="str">
        <f ca="1">IF(NOTA[[#This Row],[ID_H]]="","",IF(NOTA[[#This Row],[FAKTUR]]="",INDIRECT(ADDRESS(ROW()-1,COLUMN())),NOTA[[#This Row],[FAKTUR]]))</f>
        <v/>
      </c>
      <c r="AN772" s="25" t="str">
        <f ca="1">IF(NOTA[[#This Row],[ID]]="","",COUNTIF(NOTA[ID_H],NOTA[[#This Row],[ID_H]]))</f>
        <v/>
      </c>
      <c r="AO772" s="25" t="str">
        <f ca="1">IF(NOTA[[#This Row],[TGL.NOTA]]="",IF(NOTA[[#This Row],[SUPPLIER_H]]="","",AO771),MONTH(NOTA[[#This Row],[TGL.NOTA]]))</f>
        <v/>
      </c>
      <c r="AP7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2" s="25"/>
      <c r="AU772" s="25" t="str">
        <f>IF(NOTA[[#This Row],[CONCAT1]]="","",MATCH(NOTA[[#This Row],[CONCAT1]],[3]!db[NB NOTA_C],0))</f>
        <v/>
      </c>
      <c r="AV772" s="25" t="str">
        <f>IF(NOTA[[#This Row],[QTY/ CTN]]="","",TRUE)</f>
        <v/>
      </c>
      <c r="AW772" s="25" t="str">
        <f ca="1">IF(NOTA[[#This Row],[ID_H]]="","",IF(NOTA[[#This Row],[Column3]]=TRUE,NOTA[[#This Row],[QTY/ CTN]],INDEX([3]!db[QTY/ CTN],NOTA[[#This Row],[//DB]])))</f>
        <v/>
      </c>
      <c r="AX7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2" s="25" t="str">
        <f ca="1">IF(NOTA[[#This Row],[ID_H]]="","",MATCH(NOTA[[#This Row],[NB NOTA_C_QTY]],[3]!db[NB NOTA_C_QTY+F],0))</f>
        <v/>
      </c>
      <c r="AZ772" s="38" t="str">
        <f ca="1">IF(NOTA[[#This Row],[NB NOTA_C_QTY]]="","",ROW()-2)</f>
        <v/>
      </c>
    </row>
    <row r="773" spans="1:52" ht="20.100000000000001" customHeight="1">
      <c r="A7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3" s="25" t="str">
        <f ca="1">IF(NOTA[[#This Row],[NAMA BARANG]]="","",INDEX(NOTA[ID],MATCH(,INDIRECT(ADDRESS(ROW(NOTA[ID]),COLUMN(NOTA[ID]))&amp;":"&amp;ADDRESS(ROW(),COLUMN(NOTA[ID]))),-1)))</f>
        <v/>
      </c>
      <c r="E773" s="33"/>
      <c r="H773" s="34"/>
      <c r="Q773" s="29"/>
      <c r="R773" s="35"/>
      <c r="S773" s="36"/>
      <c r="V773" s="37"/>
      <c r="W773" s="32"/>
      <c r="X773" s="37" t="str">
        <f>IF(NOTA[[#This Row],[HARGA/ CTN]]="",NOTA[[#This Row],[JUMLAH_H]],NOTA[[#This Row],[HARGA/ CTN]]*IF(NOTA[[#This Row],[C]]="",0,NOTA[[#This Row],[C]]))</f>
        <v/>
      </c>
      <c r="Y773" s="37" t="str">
        <f>IF(NOTA[[#This Row],[JUMLAH]]="","",NOTA[[#This Row],[JUMLAH]]*NOTA[[#This Row],[DISC 1]])</f>
        <v/>
      </c>
      <c r="Z773" s="37" t="str">
        <f>IF(NOTA[[#This Row],[JUMLAH]]="","",(NOTA[[#This Row],[JUMLAH]]-NOTA[[#This Row],[DISC 1-]])*NOTA[[#This Row],[DISC 2]])</f>
        <v/>
      </c>
      <c r="AA773" s="37" t="str">
        <f>IF(NOTA[[#This Row],[JUMLAH]]="","",(NOTA[[#This Row],[JUMLAH]]-NOTA[[#This Row],[DISC 1-]]-NOTA[[#This Row],[DISC 2-]])*NOTA[[#This Row],[DISC 3]])</f>
        <v/>
      </c>
      <c r="AB773" s="37" t="str">
        <f>IF(NOTA[[#This Row],[JUMLAH]]="","",NOTA[[#This Row],[DISC 1-]]+NOTA[[#This Row],[DISC 2-]]+NOTA[[#This Row],[DISC 3-]])</f>
        <v/>
      </c>
      <c r="AC773" s="37" t="str">
        <f>IF(NOTA[[#This Row],[JUMLAH]]="","",NOTA[[#This Row],[JUMLAH]]-NOTA[[#This Row],[DISC]])</f>
        <v/>
      </c>
      <c r="AD773" s="37"/>
      <c r="AE7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3" s="37" t="str">
        <f>IF(OR(NOTA[[#This Row],[QTY]]="",NOTA[[#This Row],[HARGA SATUAN]]="",),"",NOTA[[#This Row],[QTY]]*NOTA[[#This Row],[HARGA SATUAN]])</f>
        <v/>
      </c>
      <c r="AI773" s="26" t="str">
        <f ca="1">IF(NOTA[[#This Row],[ID_H]]="","",INDEX(NOTA[TANGGAL],MATCH(,INDIRECT(ADDRESS(ROW(NOTA[TANGGAL]),COLUMN(NOTA[TANGGAL]))&amp;":"&amp;ADDRESS(ROW(),COLUMN(NOTA[TANGGAL]))),-1)))</f>
        <v/>
      </c>
      <c r="AJ773" s="26" t="str">
        <f ca="1">IF(NOTA[[#This Row],[ID_H]]="","",INDEX(NOTA[TGL.NOTA],MATCH(,INDIRECT(ADDRESS(ROW(NOTA[TGL.NOTA]),COLUMN(NOTA[TGL.NOTA]))&amp;":"&amp;ADDRESS(ROW(),COLUMN(NOTA[TGL.NOTA]))),-1)))</f>
        <v/>
      </c>
      <c r="AK773" s="26" t="str">
        <f ca="1">IF(NOTA[[#This Row],[ID_H]]="","",INDEX(NOTA[NO.NOTA],MATCH(NOTA[[#This Row],[ID_H]],NOTA[ID_H],0)))</f>
        <v/>
      </c>
      <c r="AL773" s="28" t="str">
        <f ca="1">IF(NOTA[[#This Row],[NAMA BARANG]]="","",INDEX(NOTA[SUPPLIER],MATCH(,INDIRECT(ADDRESS(ROW(NOTA[ID]),COLUMN(NOTA[ID]))&amp;":"&amp;ADDRESS(ROW(),COLUMN(NOTA[ID]))),-1)))</f>
        <v/>
      </c>
      <c r="AM773" s="28" t="str">
        <f ca="1">IF(NOTA[[#This Row],[ID_H]]="","",IF(NOTA[[#This Row],[FAKTUR]]="",INDIRECT(ADDRESS(ROW()-1,COLUMN())),NOTA[[#This Row],[FAKTUR]]))</f>
        <v/>
      </c>
      <c r="AN773" s="25" t="str">
        <f ca="1">IF(NOTA[[#This Row],[ID]]="","",COUNTIF(NOTA[ID_H],NOTA[[#This Row],[ID_H]]))</f>
        <v/>
      </c>
      <c r="AO773" s="25" t="str">
        <f ca="1">IF(NOTA[[#This Row],[TGL.NOTA]]="",IF(NOTA[[#This Row],[SUPPLIER_H]]="","",AO772),MONTH(NOTA[[#This Row],[TGL.NOTA]]))</f>
        <v/>
      </c>
      <c r="AP7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3" s="25"/>
      <c r="AU773" s="25" t="str">
        <f>IF(NOTA[[#This Row],[CONCAT1]]="","",MATCH(NOTA[[#This Row],[CONCAT1]],[3]!db[NB NOTA_C],0))</f>
        <v/>
      </c>
      <c r="AV773" s="25" t="str">
        <f>IF(NOTA[[#This Row],[QTY/ CTN]]="","",TRUE)</f>
        <v/>
      </c>
      <c r="AW773" s="25" t="str">
        <f ca="1">IF(NOTA[[#This Row],[ID_H]]="","",IF(NOTA[[#This Row],[Column3]]=TRUE,NOTA[[#This Row],[QTY/ CTN]],INDEX([3]!db[QTY/ CTN],NOTA[[#This Row],[//DB]])))</f>
        <v/>
      </c>
      <c r="AX7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3" s="25" t="str">
        <f ca="1">IF(NOTA[[#This Row],[ID_H]]="","",MATCH(NOTA[[#This Row],[NB NOTA_C_QTY]],[3]!db[NB NOTA_C_QTY+F],0))</f>
        <v/>
      </c>
      <c r="AZ773" s="38" t="str">
        <f ca="1">IF(NOTA[[#This Row],[NB NOTA_C_QTY]]="","",ROW()-2)</f>
        <v/>
      </c>
    </row>
    <row r="774" spans="1:52" ht="20.100000000000001" customHeight="1">
      <c r="A7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4" s="25" t="str">
        <f ca="1">IF(NOTA[[#This Row],[NAMA BARANG]]="","",INDEX(NOTA[ID],MATCH(,INDIRECT(ADDRESS(ROW(NOTA[ID]),COLUMN(NOTA[ID]))&amp;":"&amp;ADDRESS(ROW(),COLUMN(NOTA[ID]))),-1)))</f>
        <v/>
      </c>
      <c r="E774" s="33"/>
      <c r="H774" s="34"/>
      <c r="Q774" s="29"/>
      <c r="R774" s="35"/>
      <c r="S774" s="36"/>
      <c r="V774" s="37"/>
      <c r="W774" s="32"/>
      <c r="X774" s="37" t="str">
        <f>IF(NOTA[[#This Row],[HARGA/ CTN]]="",NOTA[[#This Row],[JUMLAH_H]],NOTA[[#This Row],[HARGA/ CTN]]*IF(NOTA[[#This Row],[C]]="",0,NOTA[[#This Row],[C]]))</f>
        <v/>
      </c>
      <c r="Y774" s="37" t="str">
        <f>IF(NOTA[[#This Row],[JUMLAH]]="","",NOTA[[#This Row],[JUMLAH]]*NOTA[[#This Row],[DISC 1]])</f>
        <v/>
      </c>
      <c r="Z774" s="37" t="str">
        <f>IF(NOTA[[#This Row],[JUMLAH]]="","",(NOTA[[#This Row],[JUMLAH]]-NOTA[[#This Row],[DISC 1-]])*NOTA[[#This Row],[DISC 2]])</f>
        <v/>
      </c>
      <c r="AA774" s="37" t="str">
        <f>IF(NOTA[[#This Row],[JUMLAH]]="","",(NOTA[[#This Row],[JUMLAH]]-NOTA[[#This Row],[DISC 1-]]-NOTA[[#This Row],[DISC 2-]])*NOTA[[#This Row],[DISC 3]])</f>
        <v/>
      </c>
      <c r="AB774" s="37" t="str">
        <f>IF(NOTA[[#This Row],[JUMLAH]]="","",NOTA[[#This Row],[DISC 1-]]+NOTA[[#This Row],[DISC 2-]]+NOTA[[#This Row],[DISC 3-]])</f>
        <v/>
      </c>
      <c r="AC774" s="37" t="str">
        <f>IF(NOTA[[#This Row],[JUMLAH]]="","",NOTA[[#This Row],[JUMLAH]]-NOTA[[#This Row],[DISC]])</f>
        <v/>
      </c>
      <c r="AD774" s="37"/>
      <c r="AE7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4" s="37" t="str">
        <f>IF(OR(NOTA[[#This Row],[QTY]]="",NOTA[[#This Row],[HARGA SATUAN]]="",),"",NOTA[[#This Row],[QTY]]*NOTA[[#This Row],[HARGA SATUAN]])</f>
        <v/>
      </c>
      <c r="AI774" s="26" t="str">
        <f ca="1">IF(NOTA[[#This Row],[ID_H]]="","",INDEX(NOTA[TANGGAL],MATCH(,INDIRECT(ADDRESS(ROW(NOTA[TANGGAL]),COLUMN(NOTA[TANGGAL]))&amp;":"&amp;ADDRESS(ROW(),COLUMN(NOTA[TANGGAL]))),-1)))</f>
        <v/>
      </c>
      <c r="AJ774" s="26" t="str">
        <f ca="1">IF(NOTA[[#This Row],[ID_H]]="","",INDEX(NOTA[TGL.NOTA],MATCH(,INDIRECT(ADDRESS(ROW(NOTA[TGL.NOTA]),COLUMN(NOTA[TGL.NOTA]))&amp;":"&amp;ADDRESS(ROW(),COLUMN(NOTA[TGL.NOTA]))),-1)))</f>
        <v/>
      </c>
      <c r="AK774" s="26" t="str">
        <f ca="1">IF(NOTA[[#This Row],[ID_H]]="","",INDEX(NOTA[NO.NOTA],MATCH(NOTA[[#This Row],[ID_H]],NOTA[ID_H],0)))</f>
        <v/>
      </c>
      <c r="AL774" s="28" t="str">
        <f ca="1">IF(NOTA[[#This Row],[NAMA BARANG]]="","",INDEX(NOTA[SUPPLIER],MATCH(,INDIRECT(ADDRESS(ROW(NOTA[ID]),COLUMN(NOTA[ID]))&amp;":"&amp;ADDRESS(ROW(),COLUMN(NOTA[ID]))),-1)))</f>
        <v/>
      </c>
      <c r="AM774" s="28" t="str">
        <f ca="1">IF(NOTA[[#This Row],[ID_H]]="","",IF(NOTA[[#This Row],[FAKTUR]]="",INDIRECT(ADDRESS(ROW()-1,COLUMN())),NOTA[[#This Row],[FAKTUR]]))</f>
        <v/>
      </c>
      <c r="AN774" s="25" t="str">
        <f ca="1">IF(NOTA[[#This Row],[ID]]="","",COUNTIF(NOTA[ID_H],NOTA[[#This Row],[ID_H]]))</f>
        <v/>
      </c>
      <c r="AO774" s="25" t="str">
        <f ca="1">IF(NOTA[[#This Row],[TGL.NOTA]]="",IF(NOTA[[#This Row],[SUPPLIER_H]]="","",AO773),MONTH(NOTA[[#This Row],[TGL.NOTA]]))</f>
        <v/>
      </c>
      <c r="AP7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4" s="25"/>
      <c r="AU774" s="25" t="str">
        <f>IF(NOTA[[#This Row],[CONCAT1]]="","",MATCH(NOTA[[#This Row],[CONCAT1]],[3]!db[NB NOTA_C],0))</f>
        <v/>
      </c>
      <c r="AV774" s="25" t="str">
        <f>IF(NOTA[[#This Row],[QTY/ CTN]]="","",TRUE)</f>
        <v/>
      </c>
      <c r="AW774" s="25" t="str">
        <f ca="1">IF(NOTA[[#This Row],[ID_H]]="","",IF(NOTA[[#This Row],[Column3]]=TRUE,NOTA[[#This Row],[QTY/ CTN]],INDEX([3]!db[QTY/ CTN],NOTA[[#This Row],[//DB]])))</f>
        <v/>
      </c>
      <c r="AX7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4" s="25" t="str">
        <f ca="1">IF(NOTA[[#This Row],[ID_H]]="","",MATCH(NOTA[[#This Row],[NB NOTA_C_QTY]],[3]!db[NB NOTA_C_QTY+F],0))</f>
        <v/>
      </c>
      <c r="AZ774" s="38" t="str">
        <f ca="1">IF(NOTA[[#This Row],[NB NOTA_C_QTY]]="","",ROW()-2)</f>
        <v/>
      </c>
    </row>
    <row r="775" spans="1:52" ht="20.100000000000001" customHeight="1">
      <c r="A7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5" s="25" t="str">
        <f ca="1">IF(NOTA[[#This Row],[NAMA BARANG]]="","",INDEX(NOTA[ID],MATCH(,INDIRECT(ADDRESS(ROW(NOTA[ID]),COLUMN(NOTA[ID]))&amp;":"&amp;ADDRESS(ROW(),COLUMN(NOTA[ID]))),-1)))</f>
        <v/>
      </c>
      <c r="E775" s="33"/>
      <c r="H775" s="34"/>
      <c r="Q775" s="29"/>
      <c r="R775" s="35"/>
      <c r="S775" s="36"/>
      <c r="V775" s="37"/>
      <c r="W775" s="32"/>
      <c r="X775" s="37" t="str">
        <f>IF(NOTA[[#This Row],[HARGA/ CTN]]="",NOTA[[#This Row],[JUMLAH_H]],NOTA[[#This Row],[HARGA/ CTN]]*IF(NOTA[[#This Row],[C]]="",0,NOTA[[#This Row],[C]]))</f>
        <v/>
      </c>
      <c r="Y775" s="37" t="str">
        <f>IF(NOTA[[#This Row],[JUMLAH]]="","",NOTA[[#This Row],[JUMLAH]]*NOTA[[#This Row],[DISC 1]])</f>
        <v/>
      </c>
      <c r="Z775" s="37" t="str">
        <f>IF(NOTA[[#This Row],[JUMLAH]]="","",(NOTA[[#This Row],[JUMLAH]]-NOTA[[#This Row],[DISC 1-]])*NOTA[[#This Row],[DISC 2]])</f>
        <v/>
      </c>
      <c r="AA775" s="37" t="str">
        <f>IF(NOTA[[#This Row],[JUMLAH]]="","",(NOTA[[#This Row],[JUMLAH]]-NOTA[[#This Row],[DISC 1-]]-NOTA[[#This Row],[DISC 2-]])*NOTA[[#This Row],[DISC 3]])</f>
        <v/>
      </c>
      <c r="AB775" s="37" t="str">
        <f>IF(NOTA[[#This Row],[JUMLAH]]="","",NOTA[[#This Row],[DISC 1-]]+NOTA[[#This Row],[DISC 2-]]+NOTA[[#This Row],[DISC 3-]])</f>
        <v/>
      </c>
      <c r="AC775" s="37" t="str">
        <f>IF(NOTA[[#This Row],[JUMLAH]]="","",NOTA[[#This Row],[JUMLAH]]-NOTA[[#This Row],[DISC]])</f>
        <v/>
      </c>
      <c r="AD775" s="37"/>
      <c r="AE7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5" s="37" t="str">
        <f>IF(OR(NOTA[[#This Row],[QTY]]="",NOTA[[#This Row],[HARGA SATUAN]]="",),"",NOTA[[#This Row],[QTY]]*NOTA[[#This Row],[HARGA SATUAN]])</f>
        <v/>
      </c>
      <c r="AI775" s="26" t="str">
        <f ca="1">IF(NOTA[[#This Row],[ID_H]]="","",INDEX(NOTA[TANGGAL],MATCH(,INDIRECT(ADDRESS(ROW(NOTA[TANGGAL]),COLUMN(NOTA[TANGGAL]))&amp;":"&amp;ADDRESS(ROW(),COLUMN(NOTA[TANGGAL]))),-1)))</f>
        <v/>
      </c>
      <c r="AJ775" s="26" t="str">
        <f ca="1">IF(NOTA[[#This Row],[ID_H]]="","",INDEX(NOTA[TGL.NOTA],MATCH(,INDIRECT(ADDRESS(ROW(NOTA[TGL.NOTA]),COLUMN(NOTA[TGL.NOTA]))&amp;":"&amp;ADDRESS(ROW(),COLUMN(NOTA[TGL.NOTA]))),-1)))</f>
        <v/>
      </c>
      <c r="AK775" s="26" t="str">
        <f ca="1">IF(NOTA[[#This Row],[ID_H]]="","",INDEX(NOTA[NO.NOTA],MATCH(NOTA[[#This Row],[ID_H]],NOTA[ID_H],0)))</f>
        <v/>
      </c>
      <c r="AL775" s="28" t="str">
        <f ca="1">IF(NOTA[[#This Row],[NAMA BARANG]]="","",INDEX(NOTA[SUPPLIER],MATCH(,INDIRECT(ADDRESS(ROW(NOTA[ID]),COLUMN(NOTA[ID]))&amp;":"&amp;ADDRESS(ROW(),COLUMN(NOTA[ID]))),-1)))</f>
        <v/>
      </c>
      <c r="AM775" s="28" t="str">
        <f ca="1">IF(NOTA[[#This Row],[ID_H]]="","",IF(NOTA[[#This Row],[FAKTUR]]="",INDIRECT(ADDRESS(ROW()-1,COLUMN())),NOTA[[#This Row],[FAKTUR]]))</f>
        <v/>
      </c>
      <c r="AN775" s="25" t="str">
        <f ca="1">IF(NOTA[[#This Row],[ID]]="","",COUNTIF(NOTA[ID_H],NOTA[[#This Row],[ID_H]]))</f>
        <v/>
      </c>
      <c r="AO775" s="25" t="str">
        <f ca="1">IF(NOTA[[#This Row],[TGL.NOTA]]="",IF(NOTA[[#This Row],[SUPPLIER_H]]="","",AO774),MONTH(NOTA[[#This Row],[TGL.NOTA]]))</f>
        <v/>
      </c>
      <c r="AP7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5" s="25"/>
      <c r="AU775" s="25" t="str">
        <f>IF(NOTA[[#This Row],[CONCAT1]]="","",MATCH(NOTA[[#This Row],[CONCAT1]],[3]!db[NB NOTA_C],0))</f>
        <v/>
      </c>
      <c r="AV775" s="25" t="str">
        <f>IF(NOTA[[#This Row],[QTY/ CTN]]="","",TRUE)</f>
        <v/>
      </c>
      <c r="AW775" s="25" t="str">
        <f ca="1">IF(NOTA[[#This Row],[ID_H]]="","",IF(NOTA[[#This Row],[Column3]]=TRUE,NOTA[[#This Row],[QTY/ CTN]],INDEX([3]!db[QTY/ CTN],NOTA[[#This Row],[//DB]])))</f>
        <v/>
      </c>
      <c r="AX7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5" s="25" t="str">
        <f ca="1">IF(NOTA[[#This Row],[ID_H]]="","",MATCH(NOTA[[#This Row],[NB NOTA_C_QTY]],[3]!db[NB NOTA_C_QTY+F],0))</f>
        <v/>
      </c>
      <c r="AZ775" s="38" t="str">
        <f ca="1">IF(NOTA[[#This Row],[NB NOTA_C_QTY]]="","",ROW()-2)</f>
        <v/>
      </c>
    </row>
    <row r="776" spans="1:52" ht="20.100000000000001" customHeight="1">
      <c r="A7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6" s="25" t="str">
        <f ca="1">IF(NOTA[[#This Row],[NAMA BARANG]]="","",INDEX(NOTA[ID],MATCH(,INDIRECT(ADDRESS(ROW(NOTA[ID]),COLUMN(NOTA[ID]))&amp;":"&amp;ADDRESS(ROW(),COLUMN(NOTA[ID]))),-1)))</f>
        <v/>
      </c>
      <c r="E776" s="33"/>
      <c r="H776" s="34"/>
      <c r="Q776" s="29"/>
      <c r="R776" s="35"/>
      <c r="S776" s="36"/>
      <c r="V776" s="37"/>
      <c r="W776" s="32"/>
      <c r="X776" s="37" t="str">
        <f>IF(NOTA[[#This Row],[HARGA/ CTN]]="",NOTA[[#This Row],[JUMLAH_H]],NOTA[[#This Row],[HARGA/ CTN]]*IF(NOTA[[#This Row],[C]]="",0,NOTA[[#This Row],[C]]))</f>
        <v/>
      </c>
      <c r="Y776" s="37" t="str">
        <f>IF(NOTA[[#This Row],[JUMLAH]]="","",NOTA[[#This Row],[JUMLAH]]*NOTA[[#This Row],[DISC 1]])</f>
        <v/>
      </c>
      <c r="Z776" s="37" t="str">
        <f>IF(NOTA[[#This Row],[JUMLAH]]="","",(NOTA[[#This Row],[JUMLAH]]-NOTA[[#This Row],[DISC 1-]])*NOTA[[#This Row],[DISC 2]])</f>
        <v/>
      </c>
      <c r="AA776" s="37" t="str">
        <f>IF(NOTA[[#This Row],[JUMLAH]]="","",(NOTA[[#This Row],[JUMLAH]]-NOTA[[#This Row],[DISC 1-]]-NOTA[[#This Row],[DISC 2-]])*NOTA[[#This Row],[DISC 3]])</f>
        <v/>
      </c>
      <c r="AB776" s="37" t="str">
        <f>IF(NOTA[[#This Row],[JUMLAH]]="","",NOTA[[#This Row],[DISC 1-]]+NOTA[[#This Row],[DISC 2-]]+NOTA[[#This Row],[DISC 3-]])</f>
        <v/>
      </c>
      <c r="AC776" s="37" t="str">
        <f>IF(NOTA[[#This Row],[JUMLAH]]="","",NOTA[[#This Row],[JUMLAH]]-NOTA[[#This Row],[DISC]])</f>
        <v/>
      </c>
      <c r="AD776" s="37"/>
      <c r="AE7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6" s="37" t="str">
        <f>IF(OR(NOTA[[#This Row],[QTY]]="",NOTA[[#This Row],[HARGA SATUAN]]="",),"",NOTA[[#This Row],[QTY]]*NOTA[[#This Row],[HARGA SATUAN]])</f>
        <v/>
      </c>
      <c r="AI776" s="26" t="str">
        <f ca="1">IF(NOTA[[#This Row],[ID_H]]="","",INDEX(NOTA[TANGGAL],MATCH(,INDIRECT(ADDRESS(ROW(NOTA[TANGGAL]),COLUMN(NOTA[TANGGAL]))&amp;":"&amp;ADDRESS(ROW(),COLUMN(NOTA[TANGGAL]))),-1)))</f>
        <v/>
      </c>
      <c r="AJ776" s="26" t="str">
        <f ca="1">IF(NOTA[[#This Row],[ID_H]]="","",INDEX(NOTA[TGL.NOTA],MATCH(,INDIRECT(ADDRESS(ROW(NOTA[TGL.NOTA]),COLUMN(NOTA[TGL.NOTA]))&amp;":"&amp;ADDRESS(ROW(),COLUMN(NOTA[TGL.NOTA]))),-1)))</f>
        <v/>
      </c>
      <c r="AK776" s="26" t="str">
        <f ca="1">IF(NOTA[[#This Row],[ID_H]]="","",INDEX(NOTA[NO.NOTA],MATCH(NOTA[[#This Row],[ID_H]],NOTA[ID_H],0)))</f>
        <v/>
      </c>
      <c r="AL776" s="28" t="str">
        <f ca="1">IF(NOTA[[#This Row],[NAMA BARANG]]="","",INDEX(NOTA[SUPPLIER],MATCH(,INDIRECT(ADDRESS(ROW(NOTA[ID]),COLUMN(NOTA[ID]))&amp;":"&amp;ADDRESS(ROW(),COLUMN(NOTA[ID]))),-1)))</f>
        <v/>
      </c>
      <c r="AM776" s="28" t="str">
        <f ca="1">IF(NOTA[[#This Row],[ID_H]]="","",IF(NOTA[[#This Row],[FAKTUR]]="",INDIRECT(ADDRESS(ROW()-1,COLUMN())),NOTA[[#This Row],[FAKTUR]]))</f>
        <v/>
      </c>
      <c r="AN776" s="25" t="str">
        <f ca="1">IF(NOTA[[#This Row],[ID]]="","",COUNTIF(NOTA[ID_H],NOTA[[#This Row],[ID_H]]))</f>
        <v/>
      </c>
      <c r="AO776" s="25" t="str">
        <f ca="1">IF(NOTA[[#This Row],[TGL.NOTA]]="",IF(NOTA[[#This Row],[SUPPLIER_H]]="","",AO775),MONTH(NOTA[[#This Row],[TGL.NOTA]]))</f>
        <v/>
      </c>
      <c r="AP7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6" s="25"/>
      <c r="AU776" s="25" t="str">
        <f>IF(NOTA[[#This Row],[CONCAT1]]="","",MATCH(NOTA[[#This Row],[CONCAT1]],[3]!db[NB NOTA_C],0))</f>
        <v/>
      </c>
      <c r="AV776" s="25" t="str">
        <f>IF(NOTA[[#This Row],[QTY/ CTN]]="","",TRUE)</f>
        <v/>
      </c>
      <c r="AW776" s="25" t="str">
        <f ca="1">IF(NOTA[[#This Row],[ID_H]]="","",IF(NOTA[[#This Row],[Column3]]=TRUE,NOTA[[#This Row],[QTY/ CTN]],INDEX([3]!db[QTY/ CTN],NOTA[[#This Row],[//DB]])))</f>
        <v/>
      </c>
      <c r="AX7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6" s="25" t="str">
        <f ca="1">IF(NOTA[[#This Row],[ID_H]]="","",MATCH(NOTA[[#This Row],[NB NOTA_C_QTY]],[3]!db[NB NOTA_C_QTY+F],0))</f>
        <v/>
      </c>
      <c r="AZ776" s="38" t="str">
        <f ca="1">IF(NOTA[[#This Row],[NB NOTA_C_QTY]]="","",ROW()-2)</f>
        <v/>
      </c>
    </row>
    <row r="777" spans="1:52" ht="20.100000000000001" customHeight="1">
      <c r="A7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7" s="25" t="str">
        <f ca="1">IF(NOTA[[#This Row],[NAMA BARANG]]="","",INDEX(NOTA[ID],MATCH(,INDIRECT(ADDRESS(ROW(NOTA[ID]),COLUMN(NOTA[ID]))&amp;":"&amp;ADDRESS(ROW(),COLUMN(NOTA[ID]))),-1)))</f>
        <v/>
      </c>
      <c r="E777" s="33"/>
      <c r="H777" s="34"/>
      <c r="Q777" s="29"/>
      <c r="R777" s="35"/>
      <c r="S777" s="36"/>
      <c r="V777" s="37"/>
      <c r="W777" s="32"/>
      <c r="X777" s="37" t="str">
        <f>IF(NOTA[[#This Row],[HARGA/ CTN]]="",NOTA[[#This Row],[JUMLAH_H]],NOTA[[#This Row],[HARGA/ CTN]]*IF(NOTA[[#This Row],[C]]="",0,NOTA[[#This Row],[C]]))</f>
        <v/>
      </c>
      <c r="Y777" s="37" t="str">
        <f>IF(NOTA[[#This Row],[JUMLAH]]="","",NOTA[[#This Row],[JUMLAH]]*NOTA[[#This Row],[DISC 1]])</f>
        <v/>
      </c>
      <c r="Z777" s="37" t="str">
        <f>IF(NOTA[[#This Row],[JUMLAH]]="","",(NOTA[[#This Row],[JUMLAH]]-NOTA[[#This Row],[DISC 1-]])*NOTA[[#This Row],[DISC 2]])</f>
        <v/>
      </c>
      <c r="AA777" s="37" t="str">
        <f>IF(NOTA[[#This Row],[JUMLAH]]="","",(NOTA[[#This Row],[JUMLAH]]-NOTA[[#This Row],[DISC 1-]]-NOTA[[#This Row],[DISC 2-]])*NOTA[[#This Row],[DISC 3]])</f>
        <v/>
      </c>
      <c r="AB777" s="37" t="str">
        <f>IF(NOTA[[#This Row],[JUMLAH]]="","",NOTA[[#This Row],[DISC 1-]]+NOTA[[#This Row],[DISC 2-]]+NOTA[[#This Row],[DISC 3-]])</f>
        <v/>
      </c>
      <c r="AC777" s="37" t="str">
        <f>IF(NOTA[[#This Row],[JUMLAH]]="","",NOTA[[#This Row],[JUMLAH]]-NOTA[[#This Row],[DISC]])</f>
        <v/>
      </c>
      <c r="AD777" s="37"/>
      <c r="AE7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7" s="37" t="str">
        <f>IF(OR(NOTA[[#This Row],[QTY]]="",NOTA[[#This Row],[HARGA SATUAN]]="",),"",NOTA[[#This Row],[QTY]]*NOTA[[#This Row],[HARGA SATUAN]])</f>
        <v/>
      </c>
      <c r="AI777" s="26" t="str">
        <f ca="1">IF(NOTA[[#This Row],[ID_H]]="","",INDEX(NOTA[TANGGAL],MATCH(,INDIRECT(ADDRESS(ROW(NOTA[TANGGAL]),COLUMN(NOTA[TANGGAL]))&amp;":"&amp;ADDRESS(ROW(),COLUMN(NOTA[TANGGAL]))),-1)))</f>
        <v/>
      </c>
      <c r="AJ777" s="26" t="str">
        <f ca="1">IF(NOTA[[#This Row],[ID_H]]="","",INDEX(NOTA[TGL.NOTA],MATCH(,INDIRECT(ADDRESS(ROW(NOTA[TGL.NOTA]),COLUMN(NOTA[TGL.NOTA]))&amp;":"&amp;ADDRESS(ROW(),COLUMN(NOTA[TGL.NOTA]))),-1)))</f>
        <v/>
      </c>
      <c r="AK777" s="26" t="str">
        <f ca="1">IF(NOTA[[#This Row],[ID_H]]="","",INDEX(NOTA[NO.NOTA],MATCH(NOTA[[#This Row],[ID_H]],NOTA[ID_H],0)))</f>
        <v/>
      </c>
      <c r="AL777" s="28" t="str">
        <f ca="1">IF(NOTA[[#This Row],[NAMA BARANG]]="","",INDEX(NOTA[SUPPLIER],MATCH(,INDIRECT(ADDRESS(ROW(NOTA[ID]),COLUMN(NOTA[ID]))&amp;":"&amp;ADDRESS(ROW(),COLUMN(NOTA[ID]))),-1)))</f>
        <v/>
      </c>
      <c r="AM777" s="28" t="str">
        <f ca="1">IF(NOTA[[#This Row],[ID_H]]="","",IF(NOTA[[#This Row],[FAKTUR]]="",INDIRECT(ADDRESS(ROW()-1,COLUMN())),NOTA[[#This Row],[FAKTUR]]))</f>
        <v/>
      </c>
      <c r="AN777" s="25" t="str">
        <f ca="1">IF(NOTA[[#This Row],[ID]]="","",COUNTIF(NOTA[ID_H],NOTA[[#This Row],[ID_H]]))</f>
        <v/>
      </c>
      <c r="AO777" s="25" t="str">
        <f ca="1">IF(NOTA[[#This Row],[TGL.NOTA]]="",IF(NOTA[[#This Row],[SUPPLIER_H]]="","",AO776),MONTH(NOTA[[#This Row],[TGL.NOTA]]))</f>
        <v/>
      </c>
      <c r="AP7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7" s="25"/>
      <c r="AU777" s="25" t="str">
        <f>IF(NOTA[[#This Row],[CONCAT1]]="","",MATCH(NOTA[[#This Row],[CONCAT1]],[3]!db[NB NOTA_C],0))</f>
        <v/>
      </c>
      <c r="AV777" s="25" t="str">
        <f>IF(NOTA[[#This Row],[QTY/ CTN]]="","",TRUE)</f>
        <v/>
      </c>
      <c r="AW777" s="25" t="str">
        <f ca="1">IF(NOTA[[#This Row],[ID_H]]="","",IF(NOTA[[#This Row],[Column3]]=TRUE,NOTA[[#This Row],[QTY/ CTN]],INDEX([3]!db[QTY/ CTN],NOTA[[#This Row],[//DB]])))</f>
        <v/>
      </c>
      <c r="AX7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7" s="25" t="str">
        <f ca="1">IF(NOTA[[#This Row],[ID_H]]="","",MATCH(NOTA[[#This Row],[NB NOTA_C_QTY]],[3]!db[NB NOTA_C_QTY+F],0))</f>
        <v/>
      </c>
      <c r="AZ777" s="38" t="str">
        <f ca="1">IF(NOTA[[#This Row],[NB NOTA_C_QTY]]="","",ROW()-2)</f>
        <v/>
      </c>
    </row>
    <row r="778" spans="1:52" ht="20.100000000000001" customHeight="1">
      <c r="A7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8" s="25" t="str">
        <f ca="1">IF(NOTA[[#This Row],[NAMA BARANG]]="","",INDEX(NOTA[ID],MATCH(,INDIRECT(ADDRESS(ROW(NOTA[ID]),COLUMN(NOTA[ID]))&amp;":"&amp;ADDRESS(ROW(),COLUMN(NOTA[ID]))),-1)))</f>
        <v/>
      </c>
      <c r="E778" s="33"/>
      <c r="H778" s="34"/>
      <c r="Q778" s="29"/>
      <c r="R778" s="35"/>
      <c r="S778" s="36"/>
      <c r="V778" s="37"/>
      <c r="W778" s="32"/>
      <c r="X778" s="37" t="str">
        <f>IF(NOTA[[#This Row],[HARGA/ CTN]]="",NOTA[[#This Row],[JUMLAH_H]],NOTA[[#This Row],[HARGA/ CTN]]*IF(NOTA[[#This Row],[C]]="",0,NOTA[[#This Row],[C]]))</f>
        <v/>
      </c>
      <c r="Y778" s="37" t="str">
        <f>IF(NOTA[[#This Row],[JUMLAH]]="","",NOTA[[#This Row],[JUMLAH]]*NOTA[[#This Row],[DISC 1]])</f>
        <v/>
      </c>
      <c r="Z778" s="37" t="str">
        <f>IF(NOTA[[#This Row],[JUMLAH]]="","",(NOTA[[#This Row],[JUMLAH]]-NOTA[[#This Row],[DISC 1-]])*NOTA[[#This Row],[DISC 2]])</f>
        <v/>
      </c>
      <c r="AA778" s="37" t="str">
        <f>IF(NOTA[[#This Row],[JUMLAH]]="","",(NOTA[[#This Row],[JUMLAH]]-NOTA[[#This Row],[DISC 1-]]-NOTA[[#This Row],[DISC 2-]])*NOTA[[#This Row],[DISC 3]])</f>
        <v/>
      </c>
      <c r="AB778" s="37" t="str">
        <f>IF(NOTA[[#This Row],[JUMLAH]]="","",NOTA[[#This Row],[DISC 1-]]+NOTA[[#This Row],[DISC 2-]]+NOTA[[#This Row],[DISC 3-]])</f>
        <v/>
      </c>
      <c r="AC778" s="37" t="str">
        <f>IF(NOTA[[#This Row],[JUMLAH]]="","",NOTA[[#This Row],[JUMLAH]]-NOTA[[#This Row],[DISC]])</f>
        <v/>
      </c>
      <c r="AD778" s="37"/>
      <c r="AE7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8" s="37" t="str">
        <f>IF(OR(NOTA[[#This Row],[QTY]]="",NOTA[[#This Row],[HARGA SATUAN]]="",),"",NOTA[[#This Row],[QTY]]*NOTA[[#This Row],[HARGA SATUAN]])</f>
        <v/>
      </c>
      <c r="AI778" s="26" t="str">
        <f ca="1">IF(NOTA[[#This Row],[ID_H]]="","",INDEX(NOTA[TANGGAL],MATCH(,INDIRECT(ADDRESS(ROW(NOTA[TANGGAL]),COLUMN(NOTA[TANGGAL]))&amp;":"&amp;ADDRESS(ROW(),COLUMN(NOTA[TANGGAL]))),-1)))</f>
        <v/>
      </c>
      <c r="AJ778" s="26" t="str">
        <f ca="1">IF(NOTA[[#This Row],[ID_H]]="","",INDEX(NOTA[TGL.NOTA],MATCH(,INDIRECT(ADDRESS(ROW(NOTA[TGL.NOTA]),COLUMN(NOTA[TGL.NOTA]))&amp;":"&amp;ADDRESS(ROW(),COLUMN(NOTA[TGL.NOTA]))),-1)))</f>
        <v/>
      </c>
      <c r="AK778" s="26" t="str">
        <f ca="1">IF(NOTA[[#This Row],[ID_H]]="","",INDEX(NOTA[NO.NOTA],MATCH(NOTA[[#This Row],[ID_H]],NOTA[ID_H],0)))</f>
        <v/>
      </c>
      <c r="AL778" s="28" t="str">
        <f ca="1">IF(NOTA[[#This Row],[NAMA BARANG]]="","",INDEX(NOTA[SUPPLIER],MATCH(,INDIRECT(ADDRESS(ROW(NOTA[ID]),COLUMN(NOTA[ID]))&amp;":"&amp;ADDRESS(ROW(),COLUMN(NOTA[ID]))),-1)))</f>
        <v/>
      </c>
      <c r="AM778" s="28" t="str">
        <f ca="1">IF(NOTA[[#This Row],[ID_H]]="","",IF(NOTA[[#This Row],[FAKTUR]]="",INDIRECT(ADDRESS(ROW()-1,COLUMN())),NOTA[[#This Row],[FAKTUR]]))</f>
        <v/>
      </c>
      <c r="AN778" s="25" t="str">
        <f ca="1">IF(NOTA[[#This Row],[ID]]="","",COUNTIF(NOTA[ID_H],NOTA[[#This Row],[ID_H]]))</f>
        <v/>
      </c>
      <c r="AO778" s="25" t="str">
        <f ca="1">IF(NOTA[[#This Row],[TGL.NOTA]]="",IF(NOTA[[#This Row],[SUPPLIER_H]]="","",AO777),MONTH(NOTA[[#This Row],[TGL.NOTA]]))</f>
        <v/>
      </c>
      <c r="AP7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8" s="25"/>
      <c r="AU778" s="25" t="str">
        <f>IF(NOTA[[#This Row],[CONCAT1]]="","",MATCH(NOTA[[#This Row],[CONCAT1]],[3]!db[NB NOTA_C],0))</f>
        <v/>
      </c>
      <c r="AV778" s="25" t="str">
        <f>IF(NOTA[[#This Row],[QTY/ CTN]]="","",TRUE)</f>
        <v/>
      </c>
      <c r="AW778" s="25" t="str">
        <f ca="1">IF(NOTA[[#This Row],[ID_H]]="","",IF(NOTA[[#This Row],[Column3]]=TRUE,NOTA[[#This Row],[QTY/ CTN]],INDEX([3]!db[QTY/ CTN],NOTA[[#This Row],[//DB]])))</f>
        <v/>
      </c>
      <c r="AX7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8" s="25" t="str">
        <f ca="1">IF(NOTA[[#This Row],[ID_H]]="","",MATCH(NOTA[[#This Row],[NB NOTA_C_QTY]],[3]!db[NB NOTA_C_QTY+F],0))</f>
        <v/>
      </c>
      <c r="AZ778" s="38" t="str">
        <f ca="1">IF(NOTA[[#This Row],[NB NOTA_C_QTY]]="","",ROW()-2)</f>
        <v/>
      </c>
    </row>
    <row r="779" spans="1:52" ht="20.100000000000001" customHeight="1">
      <c r="A7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9" s="25" t="str">
        <f ca="1">IF(NOTA[[#This Row],[NAMA BARANG]]="","",INDEX(NOTA[ID],MATCH(,INDIRECT(ADDRESS(ROW(NOTA[ID]),COLUMN(NOTA[ID]))&amp;":"&amp;ADDRESS(ROW(),COLUMN(NOTA[ID]))),-1)))</f>
        <v/>
      </c>
      <c r="E779" s="33"/>
      <c r="H779" s="34"/>
      <c r="Q779" s="29"/>
      <c r="R779" s="35"/>
      <c r="S779" s="36"/>
      <c r="V779" s="37"/>
      <c r="W779" s="32"/>
      <c r="X779" s="37" t="str">
        <f>IF(NOTA[[#This Row],[HARGA/ CTN]]="",NOTA[[#This Row],[JUMLAH_H]],NOTA[[#This Row],[HARGA/ CTN]]*IF(NOTA[[#This Row],[C]]="",0,NOTA[[#This Row],[C]]))</f>
        <v/>
      </c>
      <c r="Y779" s="37" t="str">
        <f>IF(NOTA[[#This Row],[JUMLAH]]="","",NOTA[[#This Row],[JUMLAH]]*NOTA[[#This Row],[DISC 1]])</f>
        <v/>
      </c>
      <c r="Z779" s="37" t="str">
        <f>IF(NOTA[[#This Row],[JUMLAH]]="","",(NOTA[[#This Row],[JUMLAH]]-NOTA[[#This Row],[DISC 1-]])*NOTA[[#This Row],[DISC 2]])</f>
        <v/>
      </c>
      <c r="AA779" s="37" t="str">
        <f>IF(NOTA[[#This Row],[JUMLAH]]="","",(NOTA[[#This Row],[JUMLAH]]-NOTA[[#This Row],[DISC 1-]]-NOTA[[#This Row],[DISC 2-]])*NOTA[[#This Row],[DISC 3]])</f>
        <v/>
      </c>
      <c r="AB779" s="37" t="str">
        <f>IF(NOTA[[#This Row],[JUMLAH]]="","",NOTA[[#This Row],[DISC 1-]]+NOTA[[#This Row],[DISC 2-]]+NOTA[[#This Row],[DISC 3-]])</f>
        <v/>
      </c>
      <c r="AC779" s="37" t="str">
        <f>IF(NOTA[[#This Row],[JUMLAH]]="","",NOTA[[#This Row],[JUMLAH]]-NOTA[[#This Row],[DISC]])</f>
        <v/>
      </c>
      <c r="AD779" s="37"/>
      <c r="AE7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9" s="37" t="str">
        <f>IF(OR(NOTA[[#This Row],[QTY]]="",NOTA[[#This Row],[HARGA SATUAN]]="",),"",NOTA[[#This Row],[QTY]]*NOTA[[#This Row],[HARGA SATUAN]])</f>
        <v/>
      </c>
      <c r="AI779" s="26" t="str">
        <f ca="1">IF(NOTA[[#This Row],[ID_H]]="","",INDEX(NOTA[TANGGAL],MATCH(,INDIRECT(ADDRESS(ROW(NOTA[TANGGAL]),COLUMN(NOTA[TANGGAL]))&amp;":"&amp;ADDRESS(ROW(),COLUMN(NOTA[TANGGAL]))),-1)))</f>
        <v/>
      </c>
      <c r="AJ779" s="26" t="str">
        <f ca="1">IF(NOTA[[#This Row],[ID_H]]="","",INDEX(NOTA[TGL.NOTA],MATCH(,INDIRECT(ADDRESS(ROW(NOTA[TGL.NOTA]),COLUMN(NOTA[TGL.NOTA]))&amp;":"&amp;ADDRESS(ROW(),COLUMN(NOTA[TGL.NOTA]))),-1)))</f>
        <v/>
      </c>
      <c r="AK779" s="26" t="str">
        <f ca="1">IF(NOTA[[#This Row],[ID_H]]="","",INDEX(NOTA[NO.NOTA],MATCH(NOTA[[#This Row],[ID_H]],NOTA[ID_H],0)))</f>
        <v/>
      </c>
      <c r="AL779" s="28" t="str">
        <f ca="1">IF(NOTA[[#This Row],[NAMA BARANG]]="","",INDEX(NOTA[SUPPLIER],MATCH(,INDIRECT(ADDRESS(ROW(NOTA[ID]),COLUMN(NOTA[ID]))&amp;":"&amp;ADDRESS(ROW(),COLUMN(NOTA[ID]))),-1)))</f>
        <v/>
      </c>
      <c r="AM779" s="28" t="str">
        <f ca="1">IF(NOTA[[#This Row],[ID_H]]="","",IF(NOTA[[#This Row],[FAKTUR]]="",INDIRECT(ADDRESS(ROW()-1,COLUMN())),NOTA[[#This Row],[FAKTUR]]))</f>
        <v/>
      </c>
      <c r="AN779" s="25" t="str">
        <f ca="1">IF(NOTA[[#This Row],[ID]]="","",COUNTIF(NOTA[ID_H],NOTA[[#This Row],[ID_H]]))</f>
        <v/>
      </c>
      <c r="AO779" s="25" t="str">
        <f ca="1">IF(NOTA[[#This Row],[TGL.NOTA]]="",IF(NOTA[[#This Row],[SUPPLIER_H]]="","",AO778),MONTH(NOTA[[#This Row],[TGL.NOTA]]))</f>
        <v/>
      </c>
      <c r="AP7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9" s="25"/>
      <c r="AU779" s="25" t="str">
        <f>IF(NOTA[[#This Row],[CONCAT1]]="","",MATCH(NOTA[[#This Row],[CONCAT1]],[3]!db[NB NOTA_C],0))</f>
        <v/>
      </c>
      <c r="AV779" s="25" t="str">
        <f>IF(NOTA[[#This Row],[QTY/ CTN]]="","",TRUE)</f>
        <v/>
      </c>
      <c r="AW779" s="25" t="str">
        <f ca="1">IF(NOTA[[#This Row],[ID_H]]="","",IF(NOTA[[#This Row],[Column3]]=TRUE,NOTA[[#This Row],[QTY/ CTN]],INDEX([3]!db[QTY/ CTN],NOTA[[#This Row],[//DB]])))</f>
        <v/>
      </c>
      <c r="AX7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9" s="25" t="str">
        <f ca="1">IF(NOTA[[#This Row],[ID_H]]="","",MATCH(NOTA[[#This Row],[NB NOTA_C_QTY]],[3]!db[NB NOTA_C_QTY+F],0))</f>
        <v/>
      </c>
      <c r="AZ779" s="38" t="str">
        <f ca="1">IF(NOTA[[#This Row],[NB NOTA_C_QTY]]="","",ROW()-2)</f>
        <v/>
      </c>
    </row>
    <row r="780" spans="1:52" ht="20.100000000000001" customHeight="1">
      <c r="A7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0" s="25" t="str">
        <f ca="1">IF(NOTA[[#This Row],[NAMA BARANG]]="","",INDEX(NOTA[ID],MATCH(,INDIRECT(ADDRESS(ROW(NOTA[ID]),COLUMN(NOTA[ID]))&amp;":"&amp;ADDRESS(ROW(),COLUMN(NOTA[ID]))),-1)))</f>
        <v/>
      </c>
      <c r="E780" s="33"/>
      <c r="H780" s="34"/>
      <c r="Q780" s="29"/>
      <c r="R780" s="35"/>
      <c r="S780" s="36"/>
      <c r="V780" s="37"/>
      <c r="W780" s="32"/>
      <c r="X780" s="37" t="str">
        <f>IF(NOTA[[#This Row],[HARGA/ CTN]]="",NOTA[[#This Row],[JUMLAH_H]],NOTA[[#This Row],[HARGA/ CTN]]*IF(NOTA[[#This Row],[C]]="",0,NOTA[[#This Row],[C]]))</f>
        <v/>
      </c>
      <c r="Y780" s="37" t="str">
        <f>IF(NOTA[[#This Row],[JUMLAH]]="","",NOTA[[#This Row],[JUMLAH]]*NOTA[[#This Row],[DISC 1]])</f>
        <v/>
      </c>
      <c r="Z780" s="37" t="str">
        <f>IF(NOTA[[#This Row],[JUMLAH]]="","",(NOTA[[#This Row],[JUMLAH]]-NOTA[[#This Row],[DISC 1-]])*NOTA[[#This Row],[DISC 2]])</f>
        <v/>
      </c>
      <c r="AA780" s="37" t="str">
        <f>IF(NOTA[[#This Row],[JUMLAH]]="","",(NOTA[[#This Row],[JUMLAH]]-NOTA[[#This Row],[DISC 1-]]-NOTA[[#This Row],[DISC 2-]])*NOTA[[#This Row],[DISC 3]])</f>
        <v/>
      </c>
      <c r="AB780" s="37" t="str">
        <f>IF(NOTA[[#This Row],[JUMLAH]]="","",NOTA[[#This Row],[DISC 1-]]+NOTA[[#This Row],[DISC 2-]]+NOTA[[#This Row],[DISC 3-]])</f>
        <v/>
      </c>
      <c r="AC780" s="37" t="str">
        <f>IF(NOTA[[#This Row],[JUMLAH]]="","",NOTA[[#This Row],[JUMLAH]]-NOTA[[#This Row],[DISC]])</f>
        <v/>
      </c>
      <c r="AD780" s="37"/>
      <c r="AE7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0" s="37" t="str">
        <f>IF(OR(NOTA[[#This Row],[QTY]]="",NOTA[[#This Row],[HARGA SATUAN]]="",),"",NOTA[[#This Row],[QTY]]*NOTA[[#This Row],[HARGA SATUAN]])</f>
        <v/>
      </c>
      <c r="AI780" s="26" t="str">
        <f ca="1">IF(NOTA[[#This Row],[ID_H]]="","",INDEX(NOTA[TANGGAL],MATCH(,INDIRECT(ADDRESS(ROW(NOTA[TANGGAL]),COLUMN(NOTA[TANGGAL]))&amp;":"&amp;ADDRESS(ROW(),COLUMN(NOTA[TANGGAL]))),-1)))</f>
        <v/>
      </c>
      <c r="AJ780" s="26" t="str">
        <f ca="1">IF(NOTA[[#This Row],[ID_H]]="","",INDEX(NOTA[TGL.NOTA],MATCH(,INDIRECT(ADDRESS(ROW(NOTA[TGL.NOTA]),COLUMN(NOTA[TGL.NOTA]))&amp;":"&amp;ADDRESS(ROW(),COLUMN(NOTA[TGL.NOTA]))),-1)))</f>
        <v/>
      </c>
      <c r="AK780" s="26" t="str">
        <f ca="1">IF(NOTA[[#This Row],[ID_H]]="","",INDEX(NOTA[NO.NOTA],MATCH(NOTA[[#This Row],[ID_H]],NOTA[ID_H],0)))</f>
        <v/>
      </c>
      <c r="AL780" s="28" t="str">
        <f ca="1">IF(NOTA[[#This Row],[NAMA BARANG]]="","",INDEX(NOTA[SUPPLIER],MATCH(,INDIRECT(ADDRESS(ROW(NOTA[ID]),COLUMN(NOTA[ID]))&amp;":"&amp;ADDRESS(ROW(),COLUMN(NOTA[ID]))),-1)))</f>
        <v/>
      </c>
      <c r="AM780" s="28" t="str">
        <f ca="1">IF(NOTA[[#This Row],[ID_H]]="","",IF(NOTA[[#This Row],[FAKTUR]]="",INDIRECT(ADDRESS(ROW()-1,COLUMN())),NOTA[[#This Row],[FAKTUR]]))</f>
        <v/>
      </c>
      <c r="AN780" s="25" t="str">
        <f ca="1">IF(NOTA[[#This Row],[ID]]="","",COUNTIF(NOTA[ID_H],NOTA[[#This Row],[ID_H]]))</f>
        <v/>
      </c>
      <c r="AO780" s="25" t="str">
        <f ca="1">IF(NOTA[[#This Row],[TGL.NOTA]]="",IF(NOTA[[#This Row],[SUPPLIER_H]]="","",AO779),MONTH(NOTA[[#This Row],[TGL.NOTA]]))</f>
        <v/>
      </c>
      <c r="AP7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0" s="25"/>
      <c r="AU780" s="25" t="str">
        <f>IF(NOTA[[#This Row],[CONCAT1]]="","",MATCH(NOTA[[#This Row],[CONCAT1]],[3]!db[NB NOTA_C],0))</f>
        <v/>
      </c>
      <c r="AV780" s="25" t="str">
        <f>IF(NOTA[[#This Row],[QTY/ CTN]]="","",TRUE)</f>
        <v/>
      </c>
      <c r="AW780" s="25" t="str">
        <f ca="1">IF(NOTA[[#This Row],[ID_H]]="","",IF(NOTA[[#This Row],[Column3]]=TRUE,NOTA[[#This Row],[QTY/ CTN]],INDEX([3]!db[QTY/ CTN],NOTA[[#This Row],[//DB]])))</f>
        <v/>
      </c>
      <c r="AX7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0" s="25" t="str">
        <f ca="1">IF(NOTA[[#This Row],[ID_H]]="","",MATCH(NOTA[[#This Row],[NB NOTA_C_QTY]],[3]!db[NB NOTA_C_QTY+F],0))</f>
        <v/>
      </c>
      <c r="AZ780" s="38" t="str">
        <f ca="1">IF(NOTA[[#This Row],[NB NOTA_C_QTY]]="","",ROW()-2)</f>
        <v/>
      </c>
    </row>
    <row r="781" spans="1:52" ht="20.100000000000001" customHeight="1">
      <c r="A7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1" s="25" t="str">
        <f ca="1">IF(NOTA[[#This Row],[NAMA BARANG]]="","",INDEX(NOTA[ID],MATCH(,INDIRECT(ADDRESS(ROW(NOTA[ID]),COLUMN(NOTA[ID]))&amp;":"&amp;ADDRESS(ROW(),COLUMN(NOTA[ID]))),-1)))</f>
        <v/>
      </c>
      <c r="E781" s="33"/>
      <c r="H781" s="34"/>
      <c r="Q781" s="29"/>
      <c r="R781" s="35"/>
      <c r="S781" s="36"/>
      <c r="V781" s="37"/>
      <c r="W781" s="32"/>
      <c r="X781" s="37" t="str">
        <f>IF(NOTA[[#This Row],[HARGA/ CTN]]="",NOTA[[#This Row],[JUMLAH_H]],NOTA[[#This Row],[HARGA/ CTN]]*IF(NOTA[[#This Row],[C]]="",0,NOTA[[#This Row],[C]]))</f>
        <v/>
      </c>
      <c r="Y781" s="37" t="str">
        <f>IF(NOTA[[#This Row],[JUMLAH]]="","",NOTA[[#This Row],[JUMLAH]]*NOTA[[#This Row],[DISC 1]])</f>
        <v/>
      </c>
      <c r="Z781" s="37" t="str">
        <f>IF(NOTA[[#This Row],[JUMLAH]]="","",(NOTA[[#This Row],[JUMLAH]]-NOTA[[#This Row],[DISC 1-]])*NOTA[[#This Row],[DISC 2]])</f>
        <v/>
      </c>
      <c r="AA781" s="37" t="str">
        <f>IF(NOTA[[#This Row],[JUMLAH]]="","",(NOTA[[#This Row],[JUMLAH]]-NOTA[[#This Row],[DISC 1-]]-NOTA[[#This Row],[DISC 2-]])*NOTA[[#This Row],[DISC 3]])</f>
        <v/>
      </c>
      <c r="AB781" s="37" t="str">
        <f>IF(NOTA[[#This Row],[JUMLAH]]="","",NOTA[[#This Row],[DISC 1-]]+NOTA[[#This Row],[DISC 2-]]+NOTA[[#This Row],[DISC 3-]])</f>
        <v/>
      </c>
      <c r="AC781" s="37" t="str">
        <f>IF(NOTA[[#This Row],[JUMLAH]]="","",NOTA[[#This Row],[JUMLAH]]-NOTA[[#This Row],[DISC]])</f>
        <v/>
      </c>
      <c r="AD781" s="37"/>
      <c r="AE7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1" s="37" t="str">
        <f>IF(OR(NOTA[[#This Row],[QTY]]="",NOTA[[#This Row],[HARGA SATUAN]]="",),"",NOTA[[#This Row],[QTY]]*NOTA[[#This Row],[HARGA SATUAN]])</f>
        <v/>
      </c>
      <c r="AI781" s="26" t="str">
        <f ca="1">IF(NOTA[[#This Row],[ID_H]]="","",INDEX(NOTA[TANGGAL],MATCH(,INDIRECT(ADDRESS(ROW(NOTA[TANGGAL]),COLUMN(NOTA[TANGGAL]))&amp;":"&amp;ADDRESS(ROW(),COLUMN(NOTA[TANGGAL]))),-1)))</f>
        <v/>
      </c>
      <c r="AJ781" s="26" t="str">
        <f ca="1">IF(NOTA[[#This Row],[ID_H]]="","",INDEX(NOTA[TGL.NOTA],MATCH(,INDIRECT(ADDRESS(ROW(NOTA[TGL.NOTA]),COLUMN(NOTA[TGL.NOTA]))&amp;":"&amp;ADDRESS(ROW(),COLUMN(NOTA[TGL.NOTA]))),-1)))</f>
        <v/>
      </c>
      <c r="AK781" s="26" t="str">
        <f ca="1">IF(NOTA[[#This Row],[ID_H]]="","",INDEX(NOTA[NO.NOTA],MATCH(NOTA[[#This Row],[ID_H]],NOTA[ID_H],0)))</f>
        <v/>
      </c>
      <c r="AL781" s="28" t="str">
        <f ca="1">IF(NOTA[[#This Row],[NAMA BARANG]]="","",INDEX(NOTA[SUPPLIER],MATCH(,INDIRECT(ADDRESS(ROW(NOTA[ID]),COLUMN(NOTA[ID]))&amp;":"&amp;ADDRESS(ROW(),COLUMN(NOTA[ID]))),-1)))</f>
        <v/>
      </c>
      <c r="AM781" s="28" t="str">
        <f ca="1">IF(NOTA[[#This Row],[ID_H]]="","",IF(NOTA[[#This Row],[FAKTUR]]="",INDIRECT(ADDRESS(ROW()-1,COLUMN())),NOTA[[#This Row],[FAKTUR]]))</f>
        <v/>
      </c>
      <c r="AN781" s="25" t="str">
        <f ca="1">IF(NOTA[[#This Row],[ID]]="","",COUNTIF(NOTA[ID_H],NOTA[[#This Row],[ID_H]]))</f>
        <v/>
      </c>
      <c r="AO781" s="25" t="str">
        <f ca="1">IF(NOTA[[#This Row],[TGL.NOTA]]="",IF(NOTA[[#This Row],[SUPPLIER_H]]="","",AO780),MONTH(NOTA[[#This Row],[TGL.NOTA]]))</f>
        <v/>
      </c>
      <c r="AP7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1" s="25"/>
      <c r="AU781" s="25" t="str">
        <f>IF(NOTA[[#This Row],[CONCAT1]]="","",MATCH(NOTA[[#This Row],[CONCAT1]],[3]!db[NB NOTA_C],0))</f>
        <v/>
      </c>
      <c r="AV781" s="25" t="str">
        <f>IF(NOTA[[#This Row],[QTY/ CTN]]="","",TRUE)</f>
        <v/>
      </c>
      <c r="AW781" s="25" t="str">
        <f ca="1">IF(NOTA[[#This Row],[ID_H]]="","",IF(NOTA[[#This Row],[Column3]]=TRUE,NOTA[[#This Row],[QTY/ CTN]],INDEX([3]!db[QTY/ CTN],NOTA[[#This Row],[//DB]])))</f>
        <v/>
      </c>
      <c r="AX7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1" s="25" t="str">
        <f ca="1">IF(NOTA[[#This Row],[ID_H]]="","",MATCH(NOTA[[#This Row],[NB NOTA_C_QTY]],[3]!db[NB NOTA_C_QTY+F],0))</f>
        <v/>
      </c>
      <c r="AZ781" s="38" t="str">
        <f ca="1">IF(NOTA[[#This Row],[NB NOTA_C_QTY]]="","",ROW()-2)</f>
        <v/>
      </c>
    </row>
    <row r="782" spans="1:52" ht="20.100000000000001" customHeight="1">
      <c r="A7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2" s="25" t="str">
        <f ca="1">IF(NOTA[[#This Row],[NAMA BARANG]]="","",INDEX(NOTA[ID],MATCH(,INDIRECT(ADDRESS(ROW(NOTA[ID]),COLUMN(NOTA[ID]))&amp;":"&amp;ADDRESS(ROW(),COLUMN(NOTA[ID]))),-1)))</f>
        <v/>
      </c>
      <c r="E782" s="33"/>
      <c r="H782" s="34"/>
      <c r="Q782" s="29"/>
      <c r="R782" s="35"/>
      <c r="S782" s="36"/>
      <c r="V782" s="37"/>
      <c r="W782" s="32"/>
      <c r="X782" s="37" t="str">
        <f>IF(NOTA[[#This Row],[HARGA/ CTN]]="",NOTA[[#This Row],[JUMLAH_H]],NOTA[[#This Row],[HARGA/ CTN]]*IF(NOTA[[#This Row],[C]]="",0,NOTA[[#This Row],[C]]))</f>
        <v/>
      </c>
      <c r="Y782" s="37" t="str">
        <f>IF(NOTA[[#This Row],[JUMLAH]]="","",NOTA[[#This Row],[JUMLAH]]*NOTA[[#This Row],[DISC 1]])</f>
        <v/>
      </c>
      <c r="Z782" s="37" t="str">
        <f>IF(NOTA[[#This Row],[JUMLAH]]="","",(NOTA[[#This Row],[JUMLAH]]-NOTA[[#This Row],[DISC 1-]])*NOTA[[#This Row],[DISC 2]])</f>
        <v/>
      </c>
      <c r="AA782" s="37" t="str">
        <f>IF(NOTA[[#This Row],[JUMLAH]]="","",(NOTA[[#This Row],[JUMLAH]]-NOTA[[#This Row],[DISC 1-]]-NOTA[[#This Row],[DISC 2-]])*NOTA[[#This Row],[DISC 3]])</f>
        <v/>
      </c>
      <c r="AB782" s="37" t="str">
        <f>IF(NOTA[[#This Row],[JUMLAH]]="","",NOTA[[#This Row],[DISC 1-]]+NOTA[[#This Row],[DISC 2-]]+NOTA[[#This Row],[DISC 3-]])</f>
        <v/>
      </c>
      <c r="AC782" s="37" t="str">
        <f>IF(NOTA[[#This Row],[JUMLAH]]="","",NOTA[[#This Row],[JUMLAH]]-NOTA[[#This Row],[DISC]])</f>
        <v/>
      </c>
      <c r="AD782" s="37"/>
      <c r="AE7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2" s="37" t="str">
        <f>IF(OR(NOTA[[#This Row],[QTY]]="",NOTA[[#This Row],[HARGA SATUAN]]="",),"",NOTA[[#This Row],[QTY]]*NOTA[[#This Row],[HARGA SATUAN]])</f>
        <v/>
      </c>
      <c r="AI782" s="26" t="str">
        <f ca="1">IF(NOTA[[#This Row],[ID_H]]="","",INDEX(NOTA[TANGGAL],MATCH(,INDIRECT(ADDRESS(ROW(NOTA[TANGGAL]),COLUMN(NOTA[TANGGAL]))&amp;":"&amp;ADDRESS(ROW(),COLUMN(NOTA[TANGGAL]))),-1)))</f>
        <v/>
      </c>
      <c r="AJ782" s="26" t="str">
        <f ca="1">IF(NOTA[[#This Row],[ID_H]]="","",INDEX(NOTA[TGL.NOTA],MATCH(,INDIRECT(ADDRESS(ROW(NOTA[TGL.NOTA]),COLUMN(NOTA[TGL.NOTA]))&amp;":"&amp;ADDRESS(ROW(),COLUMN(NOTA[TGL.NOTA]))),-1)))</f>
        <v/>
      </c>
      <c r="AK782" s="26" t="str">
        <f ca="1">IF(NOTA[[#This Row],[ID_H]]="","",INDEX(NOTA[NO.NOTA],MATCH(NOTA[[#This Row],[ID_H]],NOTA[ID_H],0)))</f>
        <v/>
      </c>
      <c r="AL782" s="28" t="str">
        <f ca="1">IF(NOTA[[#This Row],[NAMA BARANG]]="","",INDEX(NOTA[SUPPLIER],MATCH(,INDIRECT(ADDRESS(ROW(NOTA[ID]),COLUMN(NOTA[ID]))&amp;":"&amp;ADDRESS(ROW(),COLUMN(NOTA[ID]))),-1)))</f>
        <v/>
      </c>
      <c r="AM782" s="28" t="str">
        <f ca="1">IF(NOTA[[#This Row],[ID_H]]="","",IF(NOTA[[#This Row],[FAKTUR]]="",INDIRECT(ADDRESS(ROW()-1,COLUMN())),NOTA[[#This Row],[FAKTUR]]))</f>
        <v/>
      </c>
      <c r="AN782" s="25" t="str">
        <f ca="1">IF(NOTA[[#This Row],[ID]]="","",COUNTIF(NOTA[ID_H],NOTA[[#This Row],[ID_H]]))</f>
        <v/>
      </c>
      <c r="AO782" s="25" t="str">
        <f ca="1">IF(NOTA[[#This Row],[TGL.NOTA]]="",IF(NOTA[[#This Row],[SUPPLIER_H]]="","",AO781),MONTH(NOTA[[#This Row],[TGL.NOTA]]))</f>
        <v/>
      </c>
      <c r="AP7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2" s="25"/>
      <c r="AU782" s="25" t="str">
        <f>IF(NOTA[[#This Row],[CONCAT1]]="","",MATCH(NOTA[[#This Row],[CONCAT1]],[3]!db[NB NOTA_C],0))</f>
        <v/>
      </c>
      <c r="AV782" s="25" t="str">
        <f>IF(NOTA[[#This Row],[QTY/ CTN]]="","",TRUE)</f>
        <v/>
      </c>
      <c r="AW782" s="25" t="str">
        <f ca="1">IF(NOTA[[#This Row],[ID_H]]="","",IF(NOTA[[#This Row],[Column3]]=TRUE,NOTA[[#This Row],[QTY/ CTN]],INDEX([3]!db[QTY/ CTN],NOTA[[#This Row],[//DB]])))</f>
        <v/>
      </c>
      <c r="AX7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2" s="25" t="str">
        <f ca="1">IF(NOTA[[#This Row],[ID_H]]="","",MATCH(NOTA[[#This Row],[NB NOTA_C_QTY]],[3]!db[NB NOTA_C_QTY+F],0))</f>
        <v/>
      </c>
      <c r="AZ782" s="38" t="str">
        <f ca="1">IF(NOTA[[#This Row],[NB NOTA_C_QTY]]="","",ROW()-2)</f>
        <v/>
      </c>
    </row>
    <row r="783" spans="1:52" ht="20.100000000000001" customHeight="1">
      <c r="A7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3" s="25" t="str">
        <f ca="1">IF(NOTA[[#This Row],[NAMA BARANG]]="","",INDEX(NOTA[ID],MATCH(,INDIRECT(ADDRESS(ROW(NOTA[ID]),COLUMN(NOTA[ID]))&amp;":"&amp;ADDRESS(ROW(),COLUMN(NOTA[ID]))),-1)))</f>
        <v/>
      </c>
      <c r="E783" s="33"/>
      <c r="H783" s="34"/>
      <c r="Q783" s="29"/>
      <c r="R783" s="35"/>
      <c r="S783" s="36"/>
      <c r="V783" s="37"/>
      <c r="W783" s="32"/>
      <c r="X783" s="37" t="str">
        <f>IF(NOTA[[#This Row],[HARGA/ CTN]]="",NOTA[[#This Row],[JUMLAH_H]],NOTA[[#This Row],[HARGA/ CTN]]*IF(NOTA[[#This Row],[C]]="",0,NOTA[[#This Row],[C]]))</f>
        <v/>
      </c>
      <c r="Y783" s="37" t="str">
        <f>IF(NOTA[[#This Row],[JUMLAH]]="","",NOTA[[#This Row],[JUMLAH]]*NOTA[[#This Row],[DISC 1]])</f>
        <v/>
      </c>
      <c r="Z783" s="37" t="str">
        <f>IF(NOTA[[#This Row],[JUMLAH]]="","",(NOTA[[#This Row],[JUMLAH]]-NOTA[[#This Row],[DISC 1-]])*NOTA[[#This Row],[DISC 2]])</f>
        <v/>
      </c>
      <c r="AA783" s="37" t="str">
        <f>IF(NOTA[[#This Row],[JUMLAH]]="","",(NOTA[[#This Row],[JUMLAH]]-NOTA[[#This Row],[DISC 1-]]-NOTA[[#This Row],[DISC 2-]])*NOTA[[#This Row],[DISC 3]])</f>
        <v/>
      </c>
      <c r="AB783" s="37" t="str">
        <f>IF(NOTA[[#This Row],[JUMLAH]]="","",NOTA[[#This Row],[DISC 1-]]+NOTA[[#This Row],[DISC 2-]]+NOTA[[#This Row],[DISC 3-]])</f>
        <v/>
      </c>
      <c r="AC783" s="37" t="str">
        <f>IF(NOTA[[#This Row],[JUMLAH]]="","",NOTA[[#This Row],[JUMLAH]]-NOTA[[#This Row],[DISC]])</f>
        <v/>
      </c>
      <c r="AD783" s="37"/>
      <c r="AE7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3" s="37" t="str">
        <f>IF(OR(NOTA[[#This Row],[QTY]]="",NOTA[[#This Row],[HARGA SATUAN]]="",),"",NOTA[[#This Row],[QTY]]*NOTA[[#This Row],[HARGA SATUAN]])</f>
        <v/>
      </c>
      <c r="AI783" s="26" t="str">
        <f ca="1">IF(NOTA[[#This Row],[ID_H]]="","",INDEX(NOTA[TANGGAL],MATCH(,INDIRECT(ADDRESS(ROW(NOTA[TANGGAL]),COLUMN(NOTA[TANGGAL]))&amp;":"&amp;ADDRESS(ROW(),COLUMN(NOTA[TANGGAL]))),-1)))</f>
        <v/>
      </c>
      <c r="AJ783" s="26" t="str">
        <f ca="1">IF(NOTA[[#This Row],[ID_H]]="","",INDEX(NOTA[TGL.NOTA],MATCH(,INDIRECT(ADDRESS(ROW(NOTA[TGL.NOTA]),COLUMN(NOTA[TGL.NOTA]))&amp;":"&amp;ADDRESS(ROW(),COLUMN(NOTA[TGL.NOTA]))),-1)))</f>
        <v/>
      </c>
      <c r="AK783" s="26" t="str">
        <f ca="1">IF(NOTA[[#This Row],[ID_H]]="","",INDEX(NOTA[NO.NOTA],MATCH(NOTA[[#This Row],[ID_H]],NOTA[ID_H],0)))</f>
        <v/>
      </c>
      <c r="AL783" s="28" t="str">
        <f ca="1">IF(NOTA[[#This Row],[NAMA BARANG]]="","",INDEX(NOTA[SUPPLIER],MATCH(,INDIRECT(ADDRESS(ROW(NOTA[ID]),COLUMN(NOTA[ID]))&amp;":"&amp;ADDRESS(ROW(),COLUMN(NOTA[ID]))),-1)))</f>
        <v/>
      </c>
      <c r="AM783" s="28" t="str">
        <f ca="1">IF(NOTA[[#This Row],[ID_H]]="","",IF(NOTA[[#This Row],[FAKTUR]]="",INDIRECT(ADDRESS(ROW()-1,COLUMN())),NOTA[[#This Row],[FAKTUR]]))</f>
        <v/>
      </c>
      <c r="AN783" s="25" t="str">
        <f ca="1">IF(NOTA[[#This Row],[ID]]="","",COUNTIF(NOTA[ID_H],NOTA[[#This Row],[ID_H]]))</f>
        <v/>
      </c>
      <c r="AO783" s="25" t="str">
        <f ca="1">IF(NOTA[[#This Row],[TGL.NOTA]]="",IF(NOTA[[#This Row],[SUPPLIER_H]]="","",AO782),MONTH(NOTA[[#This Row],[TGL.NOTA]]))</f>
        <v/>
      </c>
      <c r="AP7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3" s="25"/>
      <c r="AU783" s="25" t="str">
        <f>IF(NOTA[[#This Row],[CONCAT1]]="","",MATCH(NOTA[[#This Row],[CONCAT1]],[3]!db[NB NOTA_C],0))</f>
        <v/>
      </c>
      <c r="AV783" s="25" t="str">
        <f>IF(NOTA[[#This Row],[QTY/ CTN]]="","",TRUE)</f>
        <v/>
      </c>
      <c r="AW783" s="25" t="str">
        <f ca="1">IF(NOTA[[#This Row],[ID_H]]="","",IF(NOTA[[#This Row],[Column3]]=TRUE,NOTA[[#This Row],[QTY/ CTN]],INDEX([3]!db[QTY/ CTN],NOTA[[#This Row],[//DB]])))</f>
        <v/>
      </c>
      <c r="AX7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3" s="25" t="str">
        <f ca="1">IF(NOTA[[#This Row],[ID_H]]="","",MATCH(NOTA[[#This Row],[NB NOTA_C_QTY]],[3]!db[NB NOTA_C_QTY+F],0))</f>
        <v/>
      </c>
      <c r="AZ783" s="38" t="str">
        <f ca="1">IF(NOTA[[#This Row],[NB NOTA_C_QTY]]="","",ROW()-2)</f>
        <v/>
      </c>
    </row>
    <row r="784" spans="1:52" ht="20.100000000000001" customHeight="1">
      <c r="A7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4" s="25" t="str">
        <f ca="1">IF(NOTA[[#This Row],[NAMA BARANG]]="","",INDEX(NOTA[ID],MATCH(,INDIRECT(ADDRESS(ROW(NOTA[ID]),COLUMN(NOTA[ID]))&amp;":"&amp;ADDRESS(ROW(),COLUMN(NOTA[ID]))),-1)))</f>
        <v/>
      </c>
      <c r="E784" s="33"/>
      <c r="H784" s="34"/>
      <c r="Q784" s="29"/>
      <c r="R784" s="35"/>
      <c r="S784" s="36"/>
      <c r="V784" s="37"/>
      <c r="W784" s="32"/>
      <c r="X784" s="37" t="str">
        <f>IF(NOTA[[#This Row],[HARGA/ CTN]]="",NOTA[[#This Row],[JUMLAH_H]],NOTA[[#This Row],[HARGA/ CTN]]*IF(NOTA[[#This Row],[C]]="",0,NOTA[[#This Row],[C]]))</f>
        <v/>
      </c>
      <c r="Y784" s="37" t="str">
        <f>IF(NOTA[[#This Row],[JUMLAH]]="","",NOTA[[#This Row],[JUMLAH]]*NOTA[[#This Row],[DISC 1]])</f>
        <v/>
      </c>
      <c r="Z784" s="37" t="str">
        <f>IF(NOTA[[#This Row],[JUMLAH]]="","",(NOTA[[#This Row],[JUMLAH]]-NOTA[[#This Row],[DISC 1-]])*NOTA[[#This Row],[DISC 2]])</f>
        <v/>
      </c>
      <c r="AA784" s="37" t="str">
        <f>IF(NOTA[[#This Row],[JUMLAH]]="","",(NOTA[[#This Row],[JUMLAH]]-NOTA[[#This Row],[DISC 1-]]-NOTA[[#This Row],[DISC 2-]])*NOTA[[#This Row],[DISC 3]])</f>
        <v/>
      </c>
      <c r="AB784" s="37" t="str">
        <f>IF(NOTA[[#This Row],[JUMLAH]]="","",NOTA[[#This Row],[DISC 1-]]+NOTA[[#This Row],[DISC 2-]]+NOTA[[#This Row],[DISC 3-]])</f>
        <v/>
      </c>
      <c r="AC784" s="37" t="str">
        <f>IF(NOTA[[#This Row],[JUMLAH]]="","",NOTA[[#This Row],[JUMLAH]]-NOTA[[#This Row],[DISC]])</f>
        <v/>
      </c>
      <c r="AD784" s="37"/>
      <c r="AE7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4" s="37" t="str">
        <f>IF(OR(NOTA[[#This Row],[QTY]]="",NOTA[[#This Row],[HARGA SATUAN]]="",),"",NOTA[[#This Row],[QTY]]*NOTA[[#This Row],[HARGA SATUAN]])</f>
        <v/>
      </c>
      <c r="AI784" s="26" t="str">
        <f ca="1">IF(NOTA[[#This Row],[ID_H]]="","",INDEX(NOTA[TANGGAL],MATCH(,INDIRECT(ADDRESS(ROW(NOTA[TANGGAL]),COLUMN(NOTA[TANGGAL]))&amp;":"&amp;ADDRESS(ROW(),COLUMN(NOTA[TANGGAL]))),-1)))</f>
        <v/>
      </c>
      <c r="AJ784" s="26" t="str">
        <f ca="1">IF(NOTA[[#This Row],[ID_H]]="","",INDEX(NOTA[TGL.NOTA],MATCH(,INDIRECT(ADDRESS(ROW(NOTA[TGL.NOTA]),COLUMN(NOTA[TGL.NOTA]))&amp;":"&amp;ADDRESS(ROW(),COLUMN(NOTA[TGL.NOTA]))),-1)))</f>
        <v/>
      </c>
      <c r="AK784" s="26" t="str">
        <f ca="1">IF(NOTA[[#This Row],[ID_H]]="","",INDEX(NOTA[NO.NOTA],MATCH(NOTA[[#This Row],[ID_H]],NOTA[ID_H],0)))</f>
        <v/>
      </c>
      <c r="AL784" s="28" t="str">
        <f ca="1">IF(NOTA[[#This Row],[NAMA BARANG]]="","",INDEX(NOTA[SUPPLIER],MATCH(,INDIRECT(ADDRESS(ROW(NOTA[ID]),COLUMN(NOTA[ID]))&amp;":"&amp;ADDRESS(ROW(),COLUMN(NOTA[ID]))),-1)))</f>
        <v/>
      </c>
      <c r="AM784" s="28" t="str">
        <f ca="1">IF(NOTA[[#This Row],[ID_H]]="","",IF(NOTA[[#This Row],[FAKTUR]]="",INDIRECT(ADDRESS(ROW()-1,COLUMN())),NOTA[[#This Row],[FAKTUR]]))</f>
        <v/>
      </c>
      <c r="AN784" s="25" t="str">
        <f ca="1">IF(NOTA[[#This Row],[ID]]="","",COUNTIF(NOTA[ID_H],NOTA[[#This Row],[ID_H]]))</f>
        <v/>
      </c>
      <c r="AO784" s="25" t="str">
        <f ca="1">IF(NOTA[[#This Row],[TGL.NOTA]]="",IF(NOTA[[#This Row],[SUPPLIER_H]]="","",AO783),MONTH(NOTA[[#This Row],[TGL.NOTA]]))</f>
        <v/>
      </c>
      <c r="AP7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4" s="25"/>
      <c r="AU784" s="25" t="str">
        <f>IF(NOTA[[#This Row],[CONCAT1]]="","",MATCH(NOTA[[#This Row],[CONCAT1]],[3]!db[NB NOTA_C],0))</f>
        <v/>
      </c>
      <c r="AV784" s="25" t="str">
        <f>IF(NOTA[[#This Row],[QTY/ CTN]]="","",TRUE)</f>
        <v/>
      </c>
      <c r="AW784" s="25" t="str">
        <f ca="1">IF(NOTA[[#This Row],[ID_H]]="","",IF(NOTA[[#This Row],[Column3]]=TRUE,NOTA[[#This Row],[QTY/ CTN]],INDEX([3]!db[QTY/ CTN],NOTA[[#This Row],[//DB]])))</f>
        <v/>
      </c>
      <c r="AX7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4" s="25" t="str">
        <f ca="1">IF(NOTA[[#This Row],[ID_H]]="","",MATCH(NOTA[[#This Row],[NB NOTA_C_QTY]],[3]!db[NB NOTA_C_QTY+F],0))</f>
        <v/>
      </c>
      <c r="AZ784" s="38" t="str">
        <f ca="1">IF(NOTA[[#This Row],[NB NOTA_C_QTY]]="","",ROW()-2)</f>
        <v/>
      </c>
    </row>
    <row r="785" spans="1:52" ht="20.100000000000001" customHeight="1">
      <c r="A7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5" s="25" t="str">
        <f ca="1">IF(NOTA[[#This Row],[NAMA BARANG]]="","",INDEX(NOTA[ID],MATCH(,INDIRECT(ADDRESS(ROW(NOTA[ID]),COLUMN(NOTA[ID]))&amp;":"&amp;ADDRESS(ROW(),COLUMN(NOTA[ID]))),-1)))</f>
        <v/>
      </c>
      <c r="E785" s="33"/>
      <c r="H785" s="34"/>
      <c r="Q785" s="29"/>
      <c r="R785" s="35"/>
      <c r="S785" s="36"/>
      <c r="V785" s="37"/>
      <c r="W785" s="32"/>
      <c r="X785" s="37" t="str">
        <f>IF(NOTA[[#This Row],[HARGA/ CTN]]="",NOTA[[#This Row],[JUMLAH_H]],NOTA[[#This Row],[HARGA/ CTN]]*IF(NOTA[[#This Row],[C]]="",0,NOTA[[#This Row],[C]]))</f>
        <v/>
      </c>
      <c r="Y785" s="37" t="str">
        <f>IF(NOTA[[#This Row],[JUMLAH]]="","",NOTA[[#This Row],[JUMLAH]]*NOTA[[#This Row],[DISC 1]])</f>
        <v/>
      </c>
      <c r="Z785" s="37" t="str">
        <f>IF(NOTA[[#This Row],[JUMLAH]]="","",(NOTA[[#This Row],[JUMLAH]]-NOTA[[#This Row],[DISC 1-]])*NOTA[[#This Row],[DISC 2]])</f>
        <v/>
      </c>
      <c r="AA785" s="37" t="str">
        <f>IF(NOTA[[#This Row],[JUMLAH]]="","",(NOTA[[#This Row],[JUMLAH]]-NOTA[[#This Row],[DISC 1-]]-NOTA[[#This Row],[DISC 2-]])*NOTA[[#This Row],[DISC 3]])</f>
        <v/>
      </c>
      <c r="AB785" s="37" t="str">
        <f>IF(NOTA[[#This Row],[JUMLAH]]="","",NOTA[[#This Row],[DISC 1-]]+NOTA[[#This Row],[DISC 2-]]+NOTA[[#This Row],[DISC 3-]])</f>
        <v/>
      </c>
      <c r="AC785" s="37" t="str">
        <f>IF(NOTA[[#This Row],[JUMLAH]]="","",NOTA[[#This Row],[JUMLAH]]-NOTA[[#This Row],[DISC]])</f>
        <v/>
      </c>
      <c r="AD785" s="37"/>
      <c r="AE7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5" s="37" t="str">
        <f>IF(OR(NOTA[[#This Row],[QTY]]="",NOTA[[#This Row],[HARGA SATUAN]]="",),"",NOTA[[#This Row],[QTY]]*NOTA[[#This Row],[HARGA SATUAN]])</f>
        <v/>
      </c>
      <c r="AI785" s="26" t="str">
        <f ca="1">IF(NOTA[[#This Row],[ID_H]]="","",INDEX(NOTA[TANGGAL],MATCH(,INDIRECT(ADDRESS(ROW(NOTA[TANGGAL]),COLUMN(NOTA[TANGGAL]))&amp;":"&amp;ADDRESS(ROW(),COLUMN(NOTA[TANGGAL]))),-1)))</f>
        <v/>
      </c>
      <c r="AJ785" s="26" t="str">
        <f ca="1">IF(NOTA[[#This Row],[ID_H]]="","",INDEX(NOTA[TGL.NOTA],MATCH(,INDIRECT(ADDRESS(ROW(NOTA[TGL.NOTA]),COLUMN(NOTA[TGL.NOTA]))&amp;":"&amp;ADDRESS(ROW(),COLUMN(NOTA[TGL.NOTA]))),-1)))</f>
        <v/>
      </c>
      <c r="AK785" s="26" t="str">
        <f ca="1">IF(NOTA[[#This Row],[ID_H]]="","",INDEX(NOTA[NO.NOTA],MATCH(NOTA[[#This Row],[ID_H]],NOTA[ID_H],0)))</f>
        <v/>
      </c>
      <c r="AL785" s="28" t="str">
        <f ca="1">IF(NOTA[[#This Row],[NAMA BARANG]]="","",INDEX(NOTA[SUPPLIER],MATCH(,INDIRECT(ADDRESS(ROW(NOTA[ID]),COLUMN(NOTA[ID]))&amp;":"&amp;ADDRESS(ROW(),COLUMN(NOTA[ID]))),-1)))</f>
        <v/>
      </c>
      <c r="AM785" s="28" t="str">
        <f ca="1">IF(NOTA[[#This Row],[ID_H]]="","",IF(NOTA[[#This Row],[FAKTUR]]="",INDIRECT(ADDRESS(ROW()-1,COLUMN())),NOTA[[#This Row],[FAKTUR]]))</f>
        <v/>
      </c>
      <c r="AN785" s="25" t="str">
        <f ca="1">IF(NOTA[[#This Row],[ID]]="","",COUNTIF(NOTA[ID_H],NOTA[[#This Row],[ID_H]]))</f>
        <v/>
      </c>
      <c r="AO785" s="25" t="str">
        <f ca="1">IF(NOTA[[#This Row],[TGL.NOTA]]="",IF(NOTA[[#This Row],[SUPPLIER_H]]="","",AO784),MONTH(NOTA[[#This Row],[TGL.NOTA]]))</f>
        <v/>
      </c>
      <c r="AP7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5" s="25"/>
      <c r="AU785" s="25" t="str">
        <f>IF(NOTA[[#This Row],[CONCAT1]]="","",MATCH(NOTA[[#This Row],[CONCAT1]],[3]!db[NB NOTA_C],0))</f>
        <v/>
      </c>
      <c r="AV785" s="25" t="str">
        <f>IF(NOTA[[#This Row],[QTY/ CTN]]="","",TRUE)</f>
        <v/>
      </c>
      <c r="AW785" s="25" t="str">
        <f ca="1">IF(NOTA[[#This Row],[ID_H]]="","",IF(NOTA[[#This Row],[Column3]]=TRUE,NOTA[[#This Row],[QTY/ CTN]],INDEX([3]!db[QTY/ CTN],NOTA[[#This Row],[//DB]])))</f>
        <v/>
      </c>
      <c r="AX7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5" s="25" t="str">
        <f ca="1">IF(NOTA[[#This Row],[ID_H]]="","",MATCH(NOTA[[#This Row],[NB NOTA_C_QTY]],[3]!db[NB NOTA_C_QTY+F],0))</f>
        <v/>
      </c>
      <c r="AZ785" s="38" t="str">
        <f ca="1">IF(NOTA[[#This Row],[NB NOTA_C_QTY]]="","",ROW()-2)</f>
        <v/>
      </c>
    </row>
    <row r="786" spans="1:52" ht="20.100000000000001" customHeight="1">
      <c r="A7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6" s="25" t="str">
        <f ca="1">IF(NOTA[[#This Row],[NAMA BARANG]]="","",INDEX(NOTA[ID],MATCH(,INDIRECT(ADDRESS(ROW(NOTA[ID]),COLUMN(NOTA[ID]))&amp;":"&amp;ADDRESS(ROW(),COLUMN(NOTA[ID]))),-1)))</f>
        <v/>
      </c>
      <c r="E786" s="33"/>
      <c r="H786" s="34"/>
      <c r="Q786" s="29"/>
      <c r="R786" s="35"/>
      <c r="S786" s="36"/>
      <c r="V786" s="37"/>
      <c r="W786" s="32"/>
      <c r="X786" s="37" t="str">
        <f>IF(NOTA[[#This Row],[HARGA/ CTN]]="",NOTA[[#This Row],[JUMLAH_H]],NOTA[[#This Row],[HARGA/ CTN]]*IF(NOTA[[#This Row],[C]]="",0,NOTA[[#This Row],[C]]))</f>
        <v/>
      </c>
      <c r="Y786" s="37" t="str">
        <f>IF(NOTA[[#This Row],[JUMLAH]]="","",NOTA[[#This Row],[JUMLAH]]*NOTA[[#This Row],[DISC 1]])</f>
        <v/>
      </c>
      <c r="Z786" s="37" t="str">
        <f>IF(NOTA[[#This Row],[JUMLAH]]="","",(NOTA[[#This Row],[JUMLAH]]-NOTA[[#This Row],[DISC 1-]])*NOTA[[#This Row],[DISC 2]])</f>
        <v/>
      </c>
      <c r="AA786" s="37" t="str">
        <f>IF(NOTA[[#This Row],[JUMLAH]]="","",(NOTA[[#This Row],[JUMLAH]]-NOTA[[#This Row],[DISC 1-]]-NOTA[[#This Row],[DISC 2-]])*NOTA[[#This Row],[DISC 3]])</f>
        <v/>
      </c>
      <c r="AB786" s="37" t="str">
        <f>IF(NOTA[[#This Row],[JUMLAH]]="","",NOTA[[#This Row],[DISC 1-]]+NOTA[[#This Row],[DISC 2-]]+NOTA[[#This Row],[DISC 3-]])</f>
        <v/>
      </c>
      <c r="AC786" s="37" t="str">
        <f>IF(NOTA[[#This Row],[JUMLAH]]="","",NOTA[[#This Row],[JUMLAH]]-NOTA[[#This Row],[DISC]])</f>
        <v/>
      </c>
      <c r="AD786" s="37"/>
      <c r="AE7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6" s="37" t="str">
        <f>IF(OR(NOTA[[#This Row],[QTY]]="",NOTA[[#This Row],[HARGA SATUAN]]="",),"",NOTA[[#This Row],[QTY]]*NOTA[[#This Row],[HARGA SATUAN]])</f>
        <v/>
      </c>
      <c r="AI786" s="26" t="str">
        <f ca="1">IF(NOTA[[#This Row],[ID_H]]="","",INDEX(NOTA[TANGGAL],MATCH(,INDIRECT(ADDRESS(ROW(NOTA[TANGGAL]),COLUMN(NOTA[TANGGAL]))&amp;":"&amp;ADDRESS(ROW(),COLUMN(NOTA[TANGGAL]))),-1)))</f>
        <v/>
      </c>
      <c r="AJ786" s="26" t="str">
        <f ca="1">IF(NOTA[[#This Row],[ID_H]]="","",INDEX(NOTA[TGL.NOTA],MATCH(,INDIRECT(ADDRESS(ROW(NOTA[TGL.NOTA]),COLUMN(NOTA[TGL.NOTA]))&amp;":"&amp;ADDRESS(ROW(),COLUMN(NOTA[TGL.NOTA]))),-1)))</f>
        <v/>
      </c>
      <c r="AK786" s="26" t="str">
        <f ca="1">IF(NOTA[[#This Row],[ID_H]]="","",INDEX(NOTA[NO.NOTA],MATCH(NOTA[[#This Row],[ID_H]],NOTA[ID_H],0)))</f>
        <v/>
      </c>
      <c r="AL786" s="28" t="str">
        <f ca="1">IF(NOTA[[#This Row],[NAMA BARANG]]="","",INDEX(NOTA[SUPPLIER],MATCH(,INDIRECT(ADDRESS(ROW(NOTA[ID]),COLUMN(NOTA[ID]))&amp;":"&amp;ADDRESS(ROW(),COLUMN(NOTA[ID]))),-1)))</f>
        <v/>
      </c>
      <c r="AM786" s="28" t="str">
        <f ca="1">IF(NOTA[[#This Row],[ID_H]]="","",IF(NOTA[[#This Row],[FAKTUR]]="",INDIRECT(ADDRESS(ROW()-1,COLUMN())),NOTA[[#This Row],[FAKTUR]]))</f>
        <v/>
      </c>
      <c r="AN786" s="25" t="str">
        <f ca="1">IF(NOTA[[#This Row],[ID]]="","",COUNTIF(NOTA[ID_H],NOTA[[#This Row],[ID_H]]))</f>
        <v/>
      </c>
      <c r="AO786" s="25" t="str">
        <f ca="1">IF(NOTA[[#This Row],[TGL.NOTA]]="",IF(NOTA[[#This Row],[SUPPLIER_H]]="","",AO785),MONTH(NOTA[[#This Row],[TGL.NOTA]]))</f>
        <v/>
      </c>
      <c r="AP7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6" s="25"/>
      <c r="AU786" s="25" t="str">
        <f>IF(NOTA[[#This Row],[CONCAT1]]="","",MATCH(NOTA[[#This Row],[CONCAT1]],[3]!db[NB NOTA_C],0))</f>
        <v/>
      </c>
      <c r="AV786" s="25" t="str">
        <f>IF(NOTA[[#This Row],[QTY/ CTN]]="","",TRUE)</f>
        <v/>
      </c>
      <c r="AW786" s="25" t="str">
        <f ca="1">IF(NOTA[[#This Row],[ID_H]]="","",IF(NOTA[[#This Row],[Column3]]=TRUE,NOTA[[#This Row],[QTY/ CTN]],INDEX([3]!db[QTY/ CTN],NOTA[[#This Row],[//DB]])))</f>
        <v/>
      </c>
      <c r="AX7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6" s="25" t="str">
        <f ca="1">IF(NOTA[[#This Row],[ID_H]]="","",MATCH(NOTA[[#This Row],[NB NOTA_C_QTY]],[3]!db[NB NOTA_C_QTY+F],0))</f>
        <v/>
      </c>
      <c r="AZ786" s="38" t="str">
        <f ca="1">IF(NOTA[[#This Row],[NB NOTA_C_QTY]]="","",ROW()-2)</f>
        <v/>
      </c>
    </row>
    <row r="787" spans="1:52" ht="20.100000000000001" customHeight="1">
      <c r="A7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7" s="25" t="str">
        <f ca="1">IF(NOTA[[#This Row],[NAMA BARANG]]="","",INDEX(NOTA[ID],MATCH(,INDIRECT(ADDRESS(ROW(NOTA[ID]),COLUMN(NOTA[ID]))&amp;":"&amp;ADDRESS(ROW(),COLUMN(NOTA[ID]))),-1)))</f>
        <v/>
      </c>
      <c r="E787" s="33"/>
      <c r="H787" s="34"/>
      <c r="Q787" s="29"/>
      <c r="R787" s="35"/>
      <c r="S787" s="36"/>
      <c r="V787" s="37"/>
      <c r="W787" s="32"/>
      <c r="X787" s="37" t="str">
        <f>IF(NOTA[[#This Row],[HARGA/ CTN]]="",NOTA[[#This Row],[JUMLAH_H]],NOTA[[#This Row],[HARGA/ CTN]]*IF(NOTA[[#This Row],[C]]="",0,NOTA[[#This Row],[C]]))</f>
        <v/>
      </c>
      <c r="Y787" s="37" t="str">
        <f>IF(NOTA[[#This Row],[JUMLAH]]="","",NOTA[[#This Row],[JUMLAH]]*NOTA[[#This Row],[DISC 1]])</f>
        <v/>
      </c>
      <c r="Z787" s="37" t="str">
        <f>IF(NOTA[[#This Row],[JUMLAH]]="","",(NOTA[[#This Row],[JUMLAH]]-NOTA[[#This Row],[DISC 1-]])*NOTA[[#This Row],[DISC 2]])</f>
        <v/>
      </c>
      <c r="AA787" s="37" t="str">
        <f>IF(NOTA[[#This Row],[JUMLAH]]="","",(NOTA[[#This Row],[JUMLAH]]-NOTA[[#This Row],[DISC 1-]]-NOTA[[#This Row],[DISC 2-]])*NOTA[[#This Row],[DISC 3]])</f>
        <v/>
      </c>
      <c r="AB787" s="37" t="str">
        <f>IF(NOTA[[#This Row],[JUMLAH]]="","",NOTA[[#This Row],[DISC 1-]]+NOTA[[#This Row],[DISC 2-]]+NOTA[[#This Row],[DISC 3-]])</f>
        <v/>
      </c>
      <c r="AC787" s="37" t="str">
        <f>IF(NOTA[[#This Row],[JUMLAH]]="","",NOTA[[#This Row],[JUMLAH]]-NOTA[[#This Row],[DISC]])</f>
        <v/>
      </c>
      <c r="AD787" s="37"/>
      <c r="AE7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7" s="37" t="str">
        <f>IF(OR(NOTA[[#This Row],[QTY]]="",NOTA[[#This Row],[HARGA SATUAN]]="",),"",NOTA[[#This Row],[QTY]]*NOTA[[#This Row],[HARGA SATUAN]])</f>
        <v/>
      </c>
      <c r="AI787" s="26" t="str">
        <f ca="1">IF(NOTA[[#This Row],[ID_H]]="","",INDEX(NOTA[TANGGAL],MATCH(,INDIRECT(ADDRESS(ROW(NOTA[TANGGAL]),COLUMN(NOTA[TANGGAL]))&amp;":"&amp;ADDRESS(ROW(),COLUMN(NOTA[TANGGAL]))),-1)))</f>
        <v/>
      </c>
      <c r="AJ787" s="26" t="str">
        <f ca="1">IF(NOTA[[#This Row],[ID_H]]="","",INDEX(NOTA[TGL.NOTA],MATCH(,INDIRECT(ADDRESS(ROW(NOTA[TGL.NOTA]),COLUMN(NOTA[TGL.NOTA]))&amp;":"&amp;ADDRESS(ROW(),COLUMN(NOTA[TGL.NOTA]))),-1)))</f>
        <v/>
      </c>
      <c r="AK787" s="26" t="str">
        <f ca="1">IF(NOTA[[#This Row],[ID_H]]="","",INDEX(NOTA[NO.NOTA],MATCH(NOTA[[#This Row],[ID_H]],NOTA[ID_H],0)))</f>
        <v/>
      </c>
      <c r="AL787" s="28" t="str">
        <f ca="1">IF(NOTA[[#This Row],[NAMA BARANG]]="","",INDEX(NOTA[SUPPLIER],MATCH(,INDIRECT(ADDRESS(ROW(NOTA[ID]),COLUMN(NOTA[ID]))&amp;":"&amp;ADDRESS(ROW(),COLUMN(NOTA[ID]))),-1)))</f>
        <v/>
      </c>
      <c r="AM787" s="28" t="str">
        <f ca="1">IF(NOTA[[#This Row],[ID_H]]="","",IF(NOTA[[#This Row],[FAKTUR]]="",INDIRECT(ADDRESS(ROW()-1,COLUMN())),NOTA[[#This Row],[FAKTUR]]))</f>
        <v/>
      </c>
      <c r="AN787" s="25" t="str">
        <f ca="1">IF(NOTA[[#This Row],[ID]]="","",COUNTIF(NOTA[ID_H],NOTA[[#This Row],[ID_H]]))</f>
        <v/>
      </c>
      <c r="AO787" s="25" t="str">
        <f ca="1">IF(NOTA[[#This Row],[TGL.NOTA]]="",IF(NOTA[[#This Row],[SUPPLIER_H]]="","",AO786),MONTH(NOTA[[#This Row],[TGL.NOTA]]))</f>
        <v/>
      </c>
      <c r="AP7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7" s="25"/>
      <c r="AU787" s="25" t="str">
        <f>IF(NOTA[[#This Row],[CONCAT1]]="","",MATCH(NOTA[[#This Row],[CONCAT1]],[3]!db[NB NOTA_C],0))</f>
        <v/>
      </c>
      <c r="AV787" s="25" t="str">
        <f>IF(NOTA[[#This Row],[QTY/ CTN]]="","",TRUE)</f>
        <v/>
      </c>
      <c r="AW787" s="25" t="str">
        <f ca="1">IF(NOTA[[#This Row],[ID_H]]="","",IF(NOTA[[#This Row],[Column3]]=TRUE,NOTA[[#This Row],[QTY/ CTN]],INDEX([3]!db[QTY/ CTN],NOTA[[#This Row],[//DB]])))</f>
        <v/>
      </c>
      <c r="AX7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7" s="25" t="str">
        <f ca="1">IF(NOTA[[#This Row],[ID_H]]="","",MATCH(NOTA[[#This Row],[NB NOTA_C_QTY]],[3]!db[NB NOTA_C_QTY+F],0))</f>
        <v/>
      </c>
      <c r="AZ787" s="38" t="str">
        <f ca="1">IF(NOTA[[#This Row],[NB NOTA_C_QTY]]="","",ROW()-2)</f>
        <v/>
      </c>
    </row>
    <row r="788" spans="1:52" ht="20.100000000000001" customHeight="1">
      <c r="A7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8" s="25" t="str">
        <f ca="1">IF(NOTA[[#This Row],[NAMA BARANG]]="","",INDEX(NOTA[ID],MATCH(,INDIRECT(ADDRESS(ROW(NOTA[ID]),COLUMN(NOTA[ID]))&amp;":"&amp;ADDRESS(ROW(),COLUMN(NOTA[ID]))),-1)))</f>
        <v/>
      </c>
      <c r="E788" s="33"/>
      <c r="H788" s="34"/>
      <c r="Q788" s="29"/>
      <c r="R788" s="35"/>
      <c r="S788" s="36"/>
      <c r="V788" s="37"/>
      <c r="W788" s="32"/>
      <c r="X788" s="37" t="str">
        <f>IF(NOTA[[#This Row],[HARGA/ CTN]]="",NOTA[[#This Row],[JUMLAH_H]],NOTA[[#This Row],[HARGA/ CTN]]*IF(NOTA[[#This Row],[C]]="",0,NOTA[[#This Row],[C]]))</f>
        <v/>
      </c>
      <c r="Y788" s="37" t="str">
        <f>IF(NOTA[[#This Row],[JUMLAH]]="","",NOTA[[#This Row],[JUMLAH]]*NOTA[[#This Row],[DISC 1]])</f>
        <v/>
      </c>
      <c r="Z788" s="37" t="str">
        <f>IF(NOTA[[#This Row],[JUMLAH]]="","",(NOTA[[#This Row],[JUMLAH]]-NOTA[[#This Row],[DISC 1-]])*NOTA[[#This Row],[DISC 2]])</f>
        <v/>
      </c>
      <c r="AA788" s="37" t="str">
        <f>IF(NOTA[[#This Row],[JUMLAH]]="","",(NOTA[[#This Row],[JUMLAH]]-NOTA[[#This Row],[DISC 1-]]-NOTA[[#This Row],[DISC 2-]])*NOTA[[#This Row],[DISC 3]])</f>
        <v/>
      </c>
      <c r="AB788" s="37" t="str">
        <f>IF(NOTA[[#This Row],[JUMLAH]]="","",NOTA[[#This Row],[DISC 1-]]+NOTA[[#This Row],[DISC 2-]]+NOTA[[#This Row],[DISC 3-]])</f>
        <v/>
      </c>
      <c r="AC788" s="37" t="str">
        <f>IF(NOTA[[#This Row],[JUMLAH]]="","",NOTA[[#This Row],[JUMLAH]]-NOTA[[#This Row],[DISC]])</f>
        <v/>
      </c>
      <c r="AD788" s="37"/>
      <c r="AE7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8" s="37" t="str">
        <f>IF(OR(NOTA[[#This Row],[QTY]]="",NOTA[[#This Row],[HARGA SATUAN]]="",),"",NOTA[[#This Row],[QTY]]*NOTA[[#This Row],[HARGA SATUAN]])</f>
        <v/>
      </c>
      <c r="AI788" s="26" t="str">
        <f ca="1">IF(NOTA[[#This Row],[ID_H]]="","",INDEX(NOTA[TANGGAL],MATCH(,INDIRECT(ADDRESS(ROW(NOTA[TANGGAL]),COLUMN(NOTA[TANGGAL]))&amp;":"&amp;ADDRESS(ROW(),COLUMN(NOTA[TANGGAL]))),-1)))</f>
        <v/>
      </c>
      <c r="AJ788" s="26" t="str">
        <f ca="1">IF(NOTA[[#This Row],[ID_H]]="","",INDEX(NOTA[TGL.NOTA],MATCH(,INDIRECT(ADDRESS(ROW(NOTA[TGL.NOTA]),COLUMN(NOTA[TGL.NOTA]))&amp;":"&amp;ADDRESS(ROW(),COLUMN(NOTA[TGL.NOTA]))),-1)))</f>
        <v/>
      </c>
      <c r="AK788" s="26" t="str">
        <f ca="1">IF(NOTA[[#This Row],[ID_H]]="","",INDEX(NOTA[NO.NOTA],MATCH(NOTA[[#This Row],[ID_H]],NOTA[ID_H],0)))</f>
        <v/>
      </c>
      <c r="AL788" s="28" t="str">
        <f ca="1">IF(NOTA[[#This Row],[NAMA BARANG]]="","",INDEX(NOTA[SUPPLIER],MATCH(,INDIRECT(ADDRESS(ROW(NOTA[ID]),COLUMN(NOTA[ID]))&amp;":"&amp;ADDRESS(ROW(),COLUMN(NOTA[ID]))),-1)))</f>
        <v/>
      </c>
      <c r="AM788" s="28" t="str">
        <f ca="1">IF(NOTA[[#This Row],[ID_H]]="","",IF(NOTA[[#This Row],[FAKTUR]]="",INDIRECT(ADDRESS(ROW()-1,COLUMN())),NOTA[[#This Row],[FAKTUR]]))</f>
        <v/>
      </c>
      <c r="AN788" s="25" t="str">
        <f ca="1">IF(NOTA[[#This Row],[ID]]="","",COUNTIF(NOTA[ID_H],NOTA[[#This Row],[ID_H]]))</f>
        <v/>
      </c>
      <c r="AO788" s="25" t="str">
        <f ca="1">IF(NOTA[[#This Row],[TGL.NOTA]]="",IF(NOTA[[#This Row],[SUPPLIER_H]]="","",AO787),MONTH(NOTA[[#This Row],[TGL.NOTA]]))</f>
        <v/>
      </c>
      <c r="AP7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8" s="25"/>
      <c r="AU788" s="25" t="str">
        <f>IF(NOTA[[#This Row],[CONCAT1]]="","",MATCH(NOTA[[#This Row],[CONCAT1]],[3]!db[NB NOTA_C],0))</f>
        <v/>
      </c>
      <c r="AV788" s="25" t="str">
        <f>IF(NOTA[[#This Row],[QTY/ CTN]]="","",TRUE)</f>
        <v/>
      </c>
      <c r="AW788" s="25" t="str">
        <f ca="1">IF(NOTA[[#This Row],[ID_H]]="","",IF(NOTA[[#This Row],[Column3]]=TRUE,NOTA[[#This Row],[QTY/ CTN]],INDEX([3]!db[QTY/ CTN],NOTA[[#This Row],[//DB]])))</f>
        <v/>
      </c>
      <c r="AX7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8" s="25" t="str">
        <f ca="1">IF(NOTA[[#This Row],[ID_H]]="","",MATCH(NOTA[[#This Row],[NB NOTA_C_QTY]],[3]!db[NB NOTA_C_QTY+F],0))</f>
        <v/>
      </c>
      <c r="AZ788" s="38" t="str">
        <f ca="1">IF(NOTA[[#This Row],[NB NOTA_C_QTY]]="","",ROW()-2)</f>
        <v/>
      </c>
    </row>
    <row r="789" spans="1:52" ht="20.100000000000001" customHeight="1">
      <c r="A7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9" s="25" t="str">
        <f ca="1">IF(NOTA[[#This Row],[NAMA BARANG]]="","",INDEX(NOTA[ID],MATCH(,INDIRECT(ADDRESS(ROW(NOTA[ID]),COLUMN(NOTA[ID]))&amp;":"&amp;ADDRESS(ROW(),COLUMN(NOTA[ID]))),-1)))</f>
        <v/>
      </c>
      <c r="E789" s="33"/>
      <c r="H789" s="34"/>
      <c r="Q789" s="29"/>
      <c r="R789" s="35"/>
      <c r="S789" s="36"/>
      <c r="V789" s="37"/>
      <c r="W789" s="32"/>
      <c r="X789" s="37" t="str">
        <f>IF(NOTA[[#This Row],[HARGA/ CTN]]="",NOTA[[#This Row],[JUMLAH_H]],NOTA[[#This Row],[HARGA/ CTN]]*IF(NOTA[[#This Row],[C]]="",0,NOTA[[#This Row],[C]]))</f>
        <v/>
      </c>
      <c r="Y789" s="37" t="str">
        <f>IF(NOTA[[#This Row],[JUMLAH]]="","",NOTA[[#This Row],[JUMLAH]]*NOTA[[#This Row],[DISC 1]])</f>
        <v/>
      </c>
      <c r="Z789" s="37" t="str">
        <f>IF(NOTA[[#This Row],[JUMLAH]]="","",(NOTA[[#This Row],[JUMLAH]]-NOTA[[#This Row],[DISC 1-]])*NOTA[[#This Row],[DISC 2]])</f>
        <v/>
      </c>
      <c r="AA789" s="37" t="str">
        <f>IF(NOTA[[#This Row],[JUMLAH]]="","",(NOTA[[#This Row],[JUMLAH]]-NOTA[[#This Row],[DISC 1-]]-NOTA[[#This Row],[DISC 2-]])*NOTA[[#This Row],[DISC 3]])</f>
        <v/>
      </c>
      <c r="AB789" s="37" t="str">
        <f>IF(NOTA[[#This Row],[JUMLAH]]="","",NOTA[[#This Row],[DISC 1-]]+NOTA[[#This Row],[DISC 2-]]+NOTA[[#This Row],[DISC 3-]])</f>
        <v/>
      </c>
      <c r="AC789" s="37" t="str">
        <f>IF(NOTA[[#This Row],[JUMLAH]]="","",NOTA[[#This Row],[JUMLAH]]-NOTA[[#This Row],[DISC]])</f>
        <v/>
      </c>
      <c r="AD789" s="37"/>
      <c r="AE7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9" s="37" t="str">
        <f>IF(OR(NOTA[[#This Row],[QTY]]="",NOTA[[#This Row],[HARGA SATUAN]]="",),"",NOTA[[#This Row],[QTY]]*NOTA[[#This Row],[HARGA SATUAN]])</f>
        <v/>
      </c>
      <c r="AI789" s="26" t="str">
        <f ca="1">IF(NOTA[[#This Row],[ID_H]]="","",INDEX(NOTA[TANGGAL],MATCH(,INDIRECT(ADDRESS(ROW(NOTA[TANGGAL]),COLUMN(NOTA[TANGGAL]))&amp;":"&amp;ADDRESS(ROW(),COLUMN(NOTA[TANGGAL]))),-1)))</f>
        <v/>
      </c>
      <c r="AJ789" s="26" t="str">
        <f ca="1">IF(NOTA[[#This Row],[ID_H]]="","",INDEX(NOTA[TGL.NOTA],MATCH(,INDIRECT(ADDRESS(ROW(NOTA[TGL.NOTA]),COLUMN(NOTA[TGL.NOTA]))&amp;":"&amp;ADDRESS(ROW(),COLUMN(NOTA[TGL.NOTA]))),-1)))</f>
        <v/>
      </c>
      <c r="AK789" s="26" t="str">
        <f ca="1">IF(NOTA[[#This Row],[ID_H]]="","",INDEX(NOTA[NO.NOTA],MATCH(NOTA[[#This Row],[ID_H]],NOTA[ID_H],0)))</f>
        <v/>
      </c>
      <c r="AL789" s="28" t="str">
        <f ca="1">IF(NOTA[[#This Row],[NAMA BARANG]]="","",INDEX(NOTA[SUPPLIER],MATCH(,INDIRECT(ADDRESS(ROW(NOTA[ID]),COLUMN(NOTA[ID]))&amp;":"&amp;ADDRESS(ROW(),COLUMN(NOTA[ID]))),-1)))</f>
        <v/>
      </c>
      <c r="AM789" s="28" t="str">
        <f ca="1">IF(NOTA[[#This Row],[ID_H]]="","",IF(NOTA[[#This Row],[FAKTUR]]="",INDIRECT(ADDRESS(ROW()-1,COLUMN())),NOTA[[#This Row],[FAKTUR]]))</f>
        <v/>
      </c>
      <c r="AN789" s="25" t="str">
        <f ca="1">IF(NOTA[[#This Row],[ID]]="","",COUNTIF(NOTA[ID_H],NOTA[[#This Row],[ID_H]]))</f>
        <v/>
      </c>
      <c r="AO789" s="25" t="str">
        <f ca="1">IF(NOTA[[#This Row],[TGL.NOTA]]="",IF(NOTA[[#This Row],[SUPPLIER_H]]="","",AO788),MONTH(NOTA[[#This Row],[TGL.NOTA]]))</f>
        <v/>
      </c>
      <c r="AP7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9" s="25"/>
      <c r="AU789" s="25" t="str">
        <f>IF(NOTA[[#This Row],[CONCAT1]]="","",MATCH(NOTA[[#This Row],[CONCAT1]],[3]!db[NB NOTA_C],0))</f>
        <v/>
      </c>
      <c r="AV789" s="25" t="str">
        <f>IF(NOTA[[#This Row],[QTY/ CTN]]="","",TRUE)</f>
        <v/>
      </c>
      <c r="AW789" s="25" t="str">
        <f ca="1">IF(NOTA[[#This Row],[ID_H]]="","",IF(NOTA[[#This Row],[Column3]]=TRUE,NOTA[[#This Row],[QTY/ CTN]],INDEX([3]!db[QTY/ CTN],NOTA[[#This Row],[//DB]])))</f>
        <v/>
      </c>
      <c r="AX7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9" s="25" t="str">
        <f ca="1">IF(NOTA[[#This Row],[ID_H]]="","",MATCH(NOTA[[#This Row],[NB NOTA_C_QTY]],[3]!db[NB NOTA_C_QTY+F],0))</f>
        <v/>
      </c>
      <c r="AZ789" s="38" t="str">
        <f ca="1">IF(NOTA[[#This Row],[NB NOTA_C_QTY]]="","",ROW()-2)</f>
        <v/>
      </c>
    </row>
    <row r="790" spans="1:52" ht="20.100000000000001" customHeight="1">
      <c r="A7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0" s="25" t="str">
        <f ca="1">IF(NOTA[[#This Row],[NAMA BARANG]]="","",INDEX(NOTA[ID],MATCH(,INDIRECT(ADDRESS(ROW(NOTA[ID]),COLUMN(NOTA[ID]))&amp;":"&amp;ADDRESS(ROW(),COLUMN(NOTA[ID]))),-1)))</f>
        <v/>
      </c>
      <c r="E790" s="33"/>
      <c r="H790" s="34"/>
      <c r="Q790" s="29"/>
      <c r="R790" s="35"/>
      <c r="S790" s="36"/>
      <c r="V790" s="37"/>
      <c r="W790" s="32"/>
      <c r="X790" s="37" t="str">
        <f>IF(NOTA[[#This Row],[HARGA/ CTN]]="",NOTA[[#This Row],[JUMLAH_H]],NOTA[[#This Row],[HARGA/ CTN]]*IF(NOTA[[#This Row],[C]]="",0,NOTA[[#This Row],[C]]))</f>
        <v/>
      </c>
      <c r="Y790" s="37" t="str">
        <f>IF(NOTA[[#This Row],[JUMLAH]]="","",NOTA[[#This Row],[JUMLAH]]*NOTA[[#This Row],[DISC 1]])</f>
        <v/>
      </c>
      <c r="Z790" s="37" t="str">
        <f>IF(NOTA[[#This Row],[JUMLAH]]="","",(NOTA[[#This Row],[JUMLAH]]-NOTA[[#This Row],[DISC 1-]])*NOTA[[#This Row],[DISC 2]])</f>
        <v/>
      </c>
      <c r="AA790" s="37" t="str">
        <f>IF(NOTA[[#This Row],[JUMLAH]]="","",(NOTA[[#This Row],[JUMLAH]]-NOTA[[#This Row],[DISC 1-]]-NOTA[[#This Row],[DISC 2-]])*NOTA[[#This Row],[DISC 3]])</f>
        <v/>
      </c>
      <c r="AB790" s="37" t="str">
        <f>IF(NOTA[[#This Row],[JUMLAH]]="","",NOTA[[#This Row],[DISC 1-]]+NOTA[[#This Row],[DISC 2-]]+NOTA[[#This Row],[DISC 3-]])</f>
        <v/>
      </c>
      <c r="AC790" s="37" t="str">
        <f>IF(NOTA[[#This Row],[JUMLAH]]="","",NOTA[[#This Row],[JUMLAH]]-NOTA[[#This Row],[DISC]])</f>
        <v/>
      </c>
      <c r="AD790" s="37"/>
      <c r="AE7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0" s="37" t="str">
        <f>IF(OR(NOTA[[#This Row],[QTY]]="",NOTA[[#This Row],[HARGA SATUAN]]="",),"",NOTA[[#This Row],[QTY]]*NOTA[[#This Row],[HARGA SATUAN]])</f>
        <v/>
      </c>
      <c r="AI790" s="26" t="str">
        <f ca="1">IF(NOTA[[#This Row],[ID_H]]="","",INDEX(NOTA[TANGGAL],MATCH(,INDIRECT(ADDRESS(ROW(NOTA[TANGGAL]),COLUMN(NOTA[TANGGAL]))&amp;":"&amp;ADDRESS(ROW(),COLUMN(NOTA[TANGGAL]))),-1)))</f>
        <v/>
      </c>
      <c r="AJ790" s="26" t="str">
        <f ca="1">IF(NOTA[[#This Row],[ID_H]]="","",INDEX(NOTA[TGL.NOTA],MATCH(,INDIRECT(ADDRESS(ROW(NOTA[TGL.NOTA]),COLUMN(NOTA[TGL.NOTA]))&amp;":"&amp;ADDRESS(ROW(),COLUMN(NOTA[TGL.NOTA]))),-1)))</f>
        <v/>
      </c>
      <c r="AK790" s="26" t="str">
        <f ca="1">IF(NOTA[[#This Row],[ID_H]]="","",INDEX(NOTA[NO.NOTA],MATCH(NOTA[[#This Row],[ID_H]],NOTA[ID_H],0)))</f>
        <v/>
      </c>
      <c r="AL790" s="28" t="str">
        <f ca="1">IF(NOTA[[#This Row],[NAMA BARANG]]="","",INDEX(NOTA[SUPPLIER],MATCH(,INDIRECT(ADDRESS(ROW(NOTA[ID]),COLUMN(NOTA[ID]))&amp;":"&amp;ADDRESS(ROW(),COLUMN(NOTA[ID]))),-1)))</f>
        <v/>
      </c>
      <c r="AM790" s="28" t="str">
        <f ca="1">IF(NOTA[[#This Row],[ID_H]]="","",IF(NOTA[[#This Row],[FAKTUR]]="",INDIRECT(ADDRESS(ROW()-1,COLUMN())),NOTA[[#This Row],[FAKTUR]]))</f>
        <v/>
      </c>
      <c r="AN790" s="25" t="str">
        <f ca="1">IF(NOTA[[#This Row],[ID]]="","",COUNTIF(NOTA[ID_H],NOTA[[#This Row],[ID_H]]))</f>
        <v/>
      </c>
      <c r="AO790" s="25" t="str">
        <f ca="1">IF(NOTA[[#This Row],[TGL.NOTA]]="",IF(NOTA[[#This Row],[SUPPLIER_H]]="","",AO789),MONTH(NOTA[[#This Row],[TGL.NOTA]]))</f>
        <v/>
      </c>
      <c r="AP7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0" s="25"/>
      <c r="AU790" s="25" t="str">
        <f>IF(NOTA[[#This Row],[CONCAT1]]="","",MATCH(NOTA[[#This Row],[CONCAT1]],[3]!db[NB NOTA_C],0))</f>
        <v/>
      </c>
      <c r="AV790" s="25" t="str">
        <f>IF(NOTA[[#This Row],[QTY/ CTN]]="","",TRUE)</f>
        <v/>
      </c>
      <c r="AW790" s="25" t="str">
        <f ca="1">IF(NOTA[[#This Row],[ID_H]]="","",IF(NOTA[[#This Row],[Column3]]=TRUE,NOTA[[#This Row],[QTY/ CTN]],INDEX([3]!db[QTY/ CTN],NOTA[[#This Row],[//DB]])))</f>
        <v/>
      </c>
      <c r="AX7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0" s="25" t="str">
        <f ca="1">IF(NOTA[[#This Row],[ID_H]]="","",MATCH(NOTA[[#This Row],[NB NOTA_C_QTY]],[3]!db[NB NOTA_C_QTY+F],0))</f>
        <v/>
      </c>
      <c r="AZ790" s="38" t="str">
        <f ca="1">IF(NOTA[[#This Row],[NB NOTA_C_QTY]]="","",ROW()-2)</f>
        <v/>
      </c>
    </row>
    <row r="791" spans="1:52" ht="20.100000000000001" customHeight="1">
      <c r="A7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1" s="25" t="str">
        <f ca="1">IF(NOTA[[#This Row],[NAMA BARANG]]="","",INDEX(NOTA[ID],MATCH(,INDIRECT(ADDRESS(ROW(NOTA[ID]),COLUMN(NOTA[ID]))&amp;":"&amp;ADDRESS(ROW(),COLUMN(NOTA[ID]))),-1)))</f>
        <v/>
      </c>
      <c r="E791" s="33"/>
      <c r="H791" s="34"/>
      <c r="Q791" s="29"/>
      <c r="R791" s="35"/>
      <c r="S791" s="36"/>
      <c r="V791" s="37"/>
      <c r="W791" s="32"/>
      <c r="X791" s="37" t="str">
        <f>IF(NOTA[[#This Row],[HARGA/ CTN]]="",NOTA[[#This Row],[JUMLAH_H]],NOTA[[#This Row],[HARGA/ CTN]]*IF(NOTA[[#This Row],[C]]="",0,NOTA[[#This Row],[C]]))</f>
        <v/>
      </c>
      <c r="Y791" s="37" t="str">
        <f>IF(NOTA[[#This Row],[JUMLAH]]="","",NOTA[[#This Row],[JUMLAH]]*NOTA[[#This Row],[DISC 1]])</f>
        <v/>
      </c>
      <c r="Z791" s="37" t="str">
        <f>IF(NOTA[[#This Row],[JUMLAH]]="","",(NOTA[[#This Row],[JUMLAH]]-NOTA[[#This Row],[DISC 1-]])*NOTA[[#This Row],[DISC 2]])</f>
        <v/>
      </c>
      <c r="AA791" s="37" t="str">
        <f>IF(NOTA[[#This Row],[JUMLAH]]="","",(NOTA[[#This Row],[JUMLAH]]-NOTA[[#This Row],[DISC 1-]]-NOTA[[#This Row],[DISC 2-]])*NOTA[[#This Row],[DISC 3]])</f>
        <v/>
      </c>
      <c r="AB791" s="37" t="str">
        <f>IF(NOTA[[#This Row],[JUMLAH]]="","",NOTA[[#This Row],[DISC 1-]]+NOTA[[#This Row],[DISC 2-]]+NOTA[[#This Row],[DISC 3-]])</f>
        <v/>
      </c>
      <c r="AC791" s="37" t="str">
        <f>IF(NOTA[[#This Row],[JUMLAH]]="","",NOTA[[#This Row],[JUMLAH]]-NOTA[[#This Row],[DISC]])</f>
        <v/>
      </c>
      <c r="AD791" s="37"/>
      <c r="AE7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1" s="37" t="str">
        <f>IF(OR(NOTA[[#This Row],[QTY]]="",NOTA[[#This Row],[HARGA SATUAN]]="",),"",NOTA[[#This Row],[QTY]]*NOTA[[#This Row],[HARGA SATUAN]])</f>
        <v/>
      </c>
      <c r="AI791" s="26" t="str">
        <f ca="1">IF(NOTA[[#This Row],[ID_H]]="","",INDEX(NOTA[TANGGAL],MATCH(,INDIRECT(ADDRESS(ROW(NOTA[TANGGAL]),COLUMN(NOTA[TANGGAL]))&amp;":"&amp;ADDRESS(ROW(),COLUMN(NOTA[TANGGAL]))),-1)))</f>
        <v/>
      </c>
      <c r="AJ791" s="26" t="str">
        <f ca="1">IF(NOTA[[#This Row],[ID_H]]="","",INDEX(NOTA[TGL.NOTA],MATCH(,INDIRECT(ADDRESS(ROW(NOTA[TGL.NOTA]),COLUMN(NOTA[TGL.NOTA]))&amp;":"&amp;ADDRESS(ROW(),COLUMN(NOTA[TGL.NOTA]))),-1)))</f>
        <v/>
      </c>
      <c r="AK791" s="26" t="str">
        <f ca="1">IF(NOTA[[#This Row],[ID_H]]="","",INDEX(NOTA[NO.NOTA],MATCH(NOTA[[#This Row],[ID_H]],NOTA[ID_H],0)))</f>
        <v/>
      </c>
      <c r="AL791" s="28" t="str">
        <f ca="1">IF(NOTA[[#This Row],[NAMA BARANG]]="","",INDEX(NOTA[SUPPLIER],MATCH(,INDIRECT(ADDRESS(ROW(NOTA[ID]),COLUMN(NOTA[ID]))&amp;":"&amp;ADDRESS(ROW(),COLUMN(NOTA[ID]))),-1)))</f>
        <v/>
      </c>
      <c r="AM791" s="28" t="str">
        <f ca="1">IF(NOTA[[#This Row],[ID_H]]="","",IF(NOTA[[#This Row],[FAKTUR]]="",INDIRECT(ADDRESS(ROW()-1,COLUMN())),NOTA[[#This Row],[FAKTUR]]))</f>
        <v/>
      </c>
      <c r="AN791" s="25" t="str">
        <f ca="1">IF(NOTA[[#This Row],[ID]]="","",COUNTIF(NOTA[ID_H],NOTA[[#This Row],[ID_H]]))</f>
        <v/>
      </c>
      <c r="AO791" s="25" t="str">
        <f ca="1">IF(NOTA[[#This Row],[TGL.NOTA]]="",IF(NOTA[[#This Row],[SUPPLIER_H]]="","",AO790),MONTH(NOTA[[#This Row],[TGL.NOTA]]))</f>
        <v/>
      </c>
      <c r="AP7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1" s="25"/>
      <c r="AU791" s="25" t="str">
        <f>IF(NOTA[[#This Row],[CONCAT1]]="","",MATCH(NOTA[[#This Row],[CONCAT1]],[3]!db[NB NOTA_C],0))</f>
        <v/>
      </c>
      <c r="AV791" s="25" t="str">
        <f>IF(NOTA[[#This Row],[QTY/ CTN]]="","",TRUE)</f>
        <v/>
      </c>
      <c r="AW791" s="25" t="str">
        <f ca="1">IF(NOTA[[#This Row],[ID_H]]="","",IF(NOTA[[#This Row],[Column3]]=TRUE,NOTA[[#This Row],[QTY/ CTN]],INDEX([3]!db[QTY/ CTN],NOTA[[#This Row],[//DB]])))</f>
        <v/>
      </c>
      <c r="AX7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1" s="25" t="str">
        <f ca="1">IF(NOTA[[#This Row],[ID_H]]="","",MATCH(NOTA[[#This Row],[NB NOTA_C_QTY]],[3]!db[NB NOTA_C_QTY+F],0))</f>
        <v/>
      </c>
      <c r="AZ791" s="38" t="str">
        <f ca="1">IF(NOTA[[#This Row],[NB NOTA_C_QTY]]="","",ROW()-2)</f>
        <v/>
      </c>
    </row>
    <row r="792" spans="1:52" ht="20.100000000000001" customHeight="1">
      <c r="A7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2" s="25" t="str">
        <f ca="1">IF(NOTA[[#This Row],[NAMA BARANG]]="","",INDEX(NOTA[ID],MATCH(,INDIRECT(ADDRESS(ROW(NOTA[ID]),COLUMN(NOTA[ID]))&amp;":"&amp;ADDRESS(ROW(),COLUMN(NOTA[ID]))),-1)))</f>
        <v/>
      </c>
      <c r="E792" s="33"/>
      <c r="H792" s="34"/>
      <c r="Q792" s="29"/>
      <c r="R792" s="35"/>
      <c r="S792" s="36"/>
      <c r="V792" s="37"/>
      <c r="W792" s="32"/>
      <c r="X792" s="37" t="str">
        <f>IF(NOTA[[#This Row],[HARGA/ CTN]]="",NOTA[[#This Row],[JUMLAH_H]],NOTA[[#This Row],[HARGA/ CTN]]*IF(NOTA[[#This Row],[C]]="",0,NOTA[[#This Row],[C]]))</f>
        <v/>
      </c>
      <c r="Y792" s="37" t="str">
        <f>IF(NOTA[[#This Row],[JUMLAH]]="","",NOTA[[#This Row],[JUMLAH]]*NOTA[[#This Row],[DISC 1]])</f>
        <v/>
      </c>
      <c r="Z792" s="37" t="str">
        <f>IF(NOTA[[#This Row],[JUMLAH]]="","",(NOTA[[#This Row],[JUMLAH]]-NOTA[[#This Row],[DISC 1-]])*NOTA[[#This Row],[DISC 2]])</f>
        <v/>
      </c>
      <c r="AA792" s="37" t="str">
        <f>IF(NOTA[[#This Row],[JUMLAH]]="","",(NOTA[[#This Row],[JUMLAH]]-NOTA[[#This Row],[DISC 1-]]-NOTA[[#This Row],[DISC 2-]])*NOTA[[#This Row],[DISC 3]])</f>
        <v/>
      </c>
      <c r="AB792" s="37" t="str">
        <f>IF(NOTA[[#This Row],[JUMLAH]]="","",NOTA[[#This Row],[DISC 1-]]+NOTA[[#This Row],[DISC 2-]]+NOTA[[#This Row],[DISC 3-]])</f>
        <v/>
      </c>
      <c r="AC792" s="37" t="str">
        <f>IF(NOTA[[#This Row],[JUMLAH]]="","",NOTA[[#This Row],[JUMLAH]]-NOTA[[#This Row],[DISC]])</f>
        <v/>
      </c>
      <c r="AD792" s="37"/>
      <c r="AE7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2" s="37" t="str">
        <f>IF(OR(NOTA[[#This Row],[QTY]]="",NOTA[[#This Row],[HARGA SATUAN]]="",),"",NOTA[[#This Row],[QTY]]*NOTA[[#This Row],[HARGA SATUAN]])</f>
        <v/>
      </c>
      <c r="AI792" s="26" t="str">
        <f ca="1">IF(NOTA[[#This Row],[ID_H]]="","",INDEX(NOTA[TANGGAL],MATCH(,INDIRECT(ADDRESS(ROW(NOTA[TANGGAL]),COLUMN(NOTA[TANGGAL]))&amp;":"&amp;ADDRESS(ROW(),COLUMN(NOTA[TANGGAL]))),-1)))</f>
        <v/>
      </c>
      <c r="AJ792" s="26" t="str">
        <f ca="1">IF(NOTA[[#This Row],[ID_H]]="","",INDEX(NOTA[TGL.NOTA],MATCH(,INDIRECT(ADDRESS(ROW(NOTA[TGL.NOTA]),COLUMN(NOTA[TGL.NOTA]))&amp;":"&amp;ADDRESS(ROW(),COLUMN(NOTA[TGL.NOTA]))),-1)))</f>
        <v/>
      </c>
      <c r="AK792" s="26" t="str">
        <f ca="1">IF(NOTA[[#This Row],[ID_H]]="","",INDEX(NOTA[NO.NOTA],MATCH(NOTA[[#This Row],[ID_H]],NOTA[ID_H],0)))</f>
        <v/>
      </c>
      <c r="AL792" s="28" t="str">
        <f ca="1">IF(NOTA[[#This Row],[NAMA BARANG]]="","",INDEX(NOTA[SUPPLIER],MATCH(,INDIRECT(ADDRESS(ROW(NOTA[ID]),COLUMN(NOTA[ID]))&amp;":"&amp;ADDRESS(ROW(),COLUMN(NOTA[ID]))),-1)))</f>
        <v/>
      </c>
      <c r="AM792" s="28" t="str">
        <f ca="1">IF(NOTA[[#This Row],[ID_H]]="","",IF(NOTA[[#This Row],[FAKTUR]]="",INDIRECT(ADDRESS(ROW()-1,COLUMN())),NOTA[[#This Row],[FAKTUR]]))</f>
        <v/>
      </c>
      <c r="AN792" s="25" t="str">
        <f ca="1">IF(NOTA[[#This Row],[ID]]="","",COUNTIF(NOTA[ID_H],NOTA[[#This Row],[ID_H]]))</f>
        <v/>
      </c>
      <c r="AO792" s="25" t="str">
        <f ca="1">IF(NOTA[[#This Row],[TGL.NOTA]]="",IF(NOTA[[#This Row],[SUPPLIER_H]]="","",AO791),MONTH(NOTA[[#This Row],[TGL.NOTA]]))</f>
        <v/>
      </c>
      <c r="AP7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2" s="25"/>
      <c r="AU792" s="25" t="str">
        <f>IF(NOTA[[#This Row],[CONCAT1]]="","",MATCH(NOTA[[#This Row],[CONCAT1]],[3]!db[NB NOTA_C],0))</f>
        <v/>
      </c>
      <c r="AV792" s="25" t="str">
        <f>IF(NOTA[[#This Row],[QTY/ CTN]]="","",TRUE)</f>
        <v/>
      </c>
      <c r="AW792" s="25" t="str">
        <f ca="1">IF(NOTA[[#This Row],[ID_H]]="","",IF(NOTA[[#This Row],[Column3]]=TRUE,NOTA[[#This Row],[QTY/ CTN]],INDEX([3]!db[QTY/ CTN],NOTA[[#This Row],[//DB]])))</f>
        <v/>
      </c>
      <c r="AX7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2" s="25" t="str">
        <f ca="1">IF(NOTA[[#This Row],[ID_H]]="","",MATCH(NOTA[[#This Row],[NB NOTA_C_QTY]],[3]!db[NB NOTA_C_QTY+F],0))</f>
        <v/>
      </c>
      <c r="AZ792" s="38" t="str">
        <f ca="1">IF(NOTA[[#This Row],[NB NOTA_C_QTY]]="","",ROW()-2)</f>
        <v/>
      </c>
    </row>
    <row r="793" spans="1:52" ht="20.100000000000001" customHeight="1">
      <c r="A7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3" s="25" t="str">
        <f ca="1">IF(NOTA[[#This Row],[NAMA BARANG]]="","",INDEX(NOTA[ID],MATCH(,INDIRECT(ADDRESS(ROW(NOTA[ID]),COLUMN(NOTA[ID]))&amp;":"&amp;ADDRESS(ROW(),COLUMN(NOTA[ID]))),-1)))</f>
        <v/>
      </c>
      <c r="E793" s="33"/>
      <c r="H793" s="34"/>
      <c r="Q793" s="29"/>
      <c r="R793" s="35"/>
      <c r="S793" s="36"/>
      <c r="V793" s="37"/>
      <c r="W793" s="32"/>
      <c r="X793" s="37" t="str">
        <f>IF(NOTA[[#This Row],[HARGA/ CTN]]="",NOTA[[#This Row],[JUMLAH_H]],NOTA[[#This Row],[HARGA/ CTN]]*IF(NOTA[[#This Row],[C]]="",0,NOTA[[#This Row],[C]]))</f>
        <v/>
      </c>
      <c r="Y793" s="37" t="str">
        <f>IF(NOTA[[#This Row],[JUMLAH]]="","",NOTA[[#This Row],[JUMLAH]]*NOTA[[#This Row],[DISC 1]])</f>
        <v/>
      </c>
      <c r="Z793" s="37" t="str">
        <f>IF(NOTA[[#This Row],[JUMLAH]]="","",(NOTA[[#This Row],[JUMLAH]]-NOTA[[#This Row],[DISC 1-]])*NOTA[[#This Row],[DISC 2]])</f>
        <v/>
      </c>
      <c r="AA793" s="37" t="str">
        <f>IF(NOTA[[#This Row],[JUMLAH]]="","",(NOTA[[#This Row],[JUMLAH]]-NOTA[[#This Row],[DISC 1-]]-NOTA[[#This Row],[DISC 2-]])*NOTA[[#This Row],[DISC 3]])</f>
        <v/>
      </c>
      <c r="AB793" s="37" t="str">
        <f>IF(NOTA[[#This Row],[JUMLAH]]="","",NOTA[[#This Row],[DISC 1-]]+NOTA[[#This Row],[DISC 2-]]+NOTA[[#This Row],[DISC 3-]])</f>
        <v/>
      </c>
      <c r="AC793" s="37" t="str">
        <f>IF(NOTA[[#This Row],[JUMLAH]]="","",NOTA[[#This Row],[JUMLAH]]-NOTA[[#This Row],[DISC]])</f>
        <v/>
      </c>
      <c r="AD793" s="37"/>
      <c r="AE7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3" s="37" t="str">
        <f>IF(OR(NOTA[[#This Row],[QTY]]="",NOTA[[#This Row],[HARGA SATUAN]]="",),"",NOTA[[#This Row],[QTY]]*NOTA[[#This Row],[HARGA SATUAN]])</f>
        <v/>
      </c>
      <c r="AI793" s="26" t="str">
        <f ca="1">IF(NOTA[[#This Row],[ID_H]]="","",INDEX(NOTA[TANGGAL],MATCH(,INDIRECT(ADDRESS(ROW(NOTA[TANGGAL]),COLUMN(NOTA[TANGGAL]))&amp;":"&amp;ADDRESS(ROW(),COLUMN(NOTA[TANGGAL]))),-1)))</f>
        <v/>
      </c>
      <c r="AJ793" s="26" t="str">
        <f ca="1">IF(NOTA[[#This Row],[ID_H]]="","",INDEX(NOTA[TGL.NOTA],MATCH(,INDIRECT(ADDRESS(ROW(NOTA[TGL.NOTA]),COLUMN(NOTA[TGL.NOTA]))&amp;":"&amp;ADDRESS(ROW(),COLUMN(NOTA[TGL.NOTA]))),-1)))</f>
        <v/>
      </c>
      <c r="AK793" s="26" t="str">
        <f ca="1">IF(NOTA[[#This Row],[ID_H]]="","",INDEX(NOTA[NO.NOTA],MATCH(NOTA[[#This Row],[ID_H]],NOTA[ID_H],0)))</f>
        <v/>
      </c>
      <c r="AL793" s="28" t="str">
        <f ca="1">IF(NOTA[[#This Row],[NAMA BARANG]]="","",INDEX(NOTA[SUPPLIER],MATCH(,INDIRECT(ADDRESS(ROW(NOTA[ID]),COLUMN(NOTA[ID]))&amp;":"&amp;ADDRESS(ROW(),COLUMN(NOTA[ID]))),-1)))</f>
        <v/>
      </c>
      <c r="AM793" s="28" t="str">
        <f ca="1">IF(NOTA[[#This Row],[ID_H]]="","",IF(NOTA[[#This Row],[FAKTUR]]="",INDIRECT(ADDRESS(ROW()-1,COLUMN())),NOTA[[#This Row],[FAKTUR]]))</f>
        <v/>
      </c>
      <c r="AN793" s="25" t="str">
        <f ca="1">IF(NOTA[[#This Row],[ID]]="","",COUNTIF(NOTA[ID_H],NOTA[[#This Row],[ID_H]]))</f>
        <v/>
      </c>
      <c r="AO793" s="25" t="str">
        <f ca="1">IF(NOTA[[#This Row],[TGL.NOTA]]="",IF(NOTA[[#This Row],[SUPPLIER_H]]="","",AO792),MONTH(NOTA[[#This Row],[TGL.NOTA]]))</f>
        <v/>
      </c>
      <c r="AP7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3" s="25"/>
      <c r="AU793" s="25" t="str">
        <f>IF(NOTA[[#This Row],[CONCAT1]]="","",MATCH(NOTA[[#This Row],[CONCAT1]],[3]!db[NB NOTA_C],0))</f>
        <v/>
      </c>
      <c r="AV793" s="25" t="str">
        <f>IF(NOTA[[#This Row],[QTY/ CTN]]="","",TRUE)</f>
        <v/>
      </c>
      <c r="AW793" s="25" t="str">
        <f ca="1">IF(NOTA[[#This Row],[ID_H]]="","",IF(NOTA[[#This Row],[Column3]]=TRUE,NOTA[[#This Row],[QTY/ CTN]],INDEX([3]!db[QTY/ CTN],NOTA[[#This Row],[//DB]])))</f>
        <v/>
      </c>
      <c r="AX7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3" s="25" t="str">
        <f ca="1">IF(NOTA[[#This Row],[ID_H]]="","",MATCH(NOTA[[#This Row],[NB NOTA_C_QTY]],[3]!db[NB NOTA_C_QTY+F],0))</f>
        <v/>
      </c>
      <c r="AZ793" s="38" t="str">
        <f ca="1">IF(NOTA[[#This Row],[NB NOTA_C_QTY]]="","",ROW()-2)</f>
        <v/>
      </c>
    </row>
    <row r="794" spans="1:52" ht="20.100000000000001" customHeight="1">
      <c r="A7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4" s="25" t="str">
        <f ca="1">IF(NOTA[[#This Row],[NAMA BARANG]]="","",INDEX(NOTA[ID],MATCH(,INDIRECT(ADDRESS(ROW(NOTA[ID]),COLUMN(NOTA[ID]))&amp;":"&amp;ADDRESS(ROW(),COLUMN(NOTA[ID]))),-1)))</f>
        <v/>
      </c>
      <c r="E794" s="33"/>
      <c r="H794" s="34"/>
      <c r="Q794" s="29"/>
      <c r="R794" s="35"/>
      <c r="S794" s="36"/>
      <c r="V794" s="37"/>
      <c r="W794" s="32"/>
      <c r="X794" s="37" t="str">
        <f>IF(NOTA[[#This Row],[HARGA/ CTN]]="",NOTA[[#This Row],[JUMLAH_H]],NOTA[[#This Row],[HARGA/ CTN]]*IF(NOTA[[#This Row],[C]]="",0,NOTA[[#This Row],[C]]))</f>
        <v/>
      </c>
      <c r="Y794" s="37" t="str">
        <f>IF(NOTA[[#This Row],[JUMLAH]]="","",NOTA[[#This Row],[JUMLAH]]*NOTA[[#This Row],[DISC 1]])</f>
        <v/>
      </c>
      <c r="Z794" s="37" t="str">
        <f>IF(NOTA[[#This Row],[JUMLAH]]="","",(NOTA[[#This Row],[JUMLAH]]-NOTA[[#This Row],[DISC 1-]])*NOTA[[#This Row],[DISC 2]])</f>
        <v/>
      </c>
      <c r="AA794" s="37" t="str">
        <f>IF(NOTA[[#This Row],[JUMLAH]]="","",(NOTA[[#This Row],[JUMLAH]]-NOTA[[#This Row],[DISC 1-]]-NOTA[[#This Row],[DISC 2-]])*NOTA[[#This Row],[DISC 3]])</f>
        <v/>
      </c>
      <c r="AB794" s="37" t="str">
        <f>IF(NOTA[[#This Row],[JUMLAH]]="","",NOTA[[#This Row],[DISC 1-]]+NOTA[[#This Row],[DISC 2-]]+NOTA[[#This Row],[DISC 3-]])</f>
        <v/>
      </c>
      <c r="AC794" s="37" t="str">
        <f>IF(NOTA[[#This Row],[JUMLAH]]="","",NOTA[[#This Row],[JUMLAH]]-NOTA[[#This Row],[DISC]])</f>
        <v/>
      </c>
      <c r="AD794" s="37"/>
      <c r="AE7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4" s="37" t="str">
        <f>IF(OR(NOTA[[#This Row],[QTY]]="",NOTA[[#This Row],[HARGA SATUAN]]="",),"",NOTA[[#This Row],[QTY]]*NOTA[[#This Row],[HARGA SATUAN]])</f>
        <v/>
      </c>
      <c r="AI794" s="26" t="str">
        <f ca="1">IF(NOTA[[#This Row],[ID_H]]="","",INDEX(NOTA[TANGGAL],MATCH(,INDIRECT(ADDRESS(ROW(NOTA[TANGGAL]),COLUMN(NOTA[TANGGAL]))&amp;":"&amp;ADDRESS(ROW(),COLUMN(NOTA[TANGGAL]))),-1)))</f>
        <v/>
      </c>
      <c r="AJ794" s="26" t="str">
        <f ca="1">IF(NOTA[[#This Row],[ID_H]]="","",INDEX(NOTA[TGL.NOTA],MATCH(,INDIRECT(ADDRESS(ROW(NOTA[TGL.NOTA]),COLUMN(NOTA[TGL.NOTA]))&amp;":"&amp;ADDRESS(ROW(),COLUMN(NOTA[TGL.NOTA]))),-1)))</f>
        <v/>
      </c>
      <c r="AK794" s="26" t="str">
        <f ca="1">IF(NOTA[[#This Row],[ID_H]]="","",INDEX(NOTA[NO.NOTA],MATCH(NOTA[[#This Row],[ID_H]],NOTA[ID_H],0)))</f>
        <v/>
      </c>
      <c r="AL794" s="28" t="str">
        <f ca="1">IF(NOTA[[#This Row],[NAMA BARANG]]="","",INDEX(NOTA[SUPPLIER],MATCH(,INDIRECT(ADDRESS(ROW(NOTA[ID]),COLUMN(NOTA[ID]))&amp;":"&amp;ADDRESS(ROW(),COLUMN(NOTA[ID]))),-1)))</f>
        <v/>
      </c>
      <c r="AM794" s="28" t="str">
        <f ca="1">IF(NOTA[[#This Row],[ID_H]]="","",IF(NOTA[[#This Row],[FAKTUR]]="",INDIRECT(ADDRESS(ROW()-1,COLUMN())),NOTA[[#This Row],[FAKTUR]]))</f>
        <v/>
      </c>
      <c r="AN794" s="25" t="str">
        <f ca="1">IF(NOTA[[#This Row],[ID]]="","",COUNTIF(NOTA[ID_H],NOTA[[#This Row],[ID_H]]))</f>
        <v/>
      </c>
      <c r="AO794" s="25" t="str">
        <f ca="1">IF(NOTA[[#This Row],[TGL.NOTA]]="",IF(NOTA[[#This Row],[SUPPLIER_H]]="","",AO793),MONTH(NOTA[[#This Row],[TGL.NOTA]]))</f>
        <v/>
      </c>
      <c r="AP7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4" s="25"/>
      <c r="AU794" s="25" t="str">
        <f>IF(NOTA[[#This Row],[CONCAT1]]="","",MATCH(NOTA[[#This Row],[CONCAT1]],[3]!db[NB NOTA_C],0))</f>
        <v/>
      </c>
      <c r="AV794" s="25" t="str">
        <f>IF(NOTA[[#This Row],[QTY/ CTN]]="","",TRUE)</f>
        <v/>
      </c>
      <c r="AW794" s="25" t="str">
        <f ca="1">IF(NOTA[[#This Row],[ID_H]]="","",IF(NOTA[[#This Row],[Column3]]=TRUE,NOTA[[#This Row],[QTY/ CTN]],INDEX([3]!db[QTY/ CTN],NOTA[[#This Row],[//DB]])))</f>
        <v/>
      </c>
      <c r="AX7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4" s="25" t="str">
        <f ca="1">IF(NOTA[[#This Row],[ID_H]]="","",MATCH(NOTA[[#This Row],[NB NOTA_C_QTY]],[3]!db[NB NOTA_C_QTY+F],0))</f>
        <v/>
      </c>
      <c r="AZ794" s="38" t="str">
        <f ca="1">IF(NOTA[[#This Row],[NB NOTA_C_QTY]]="","",ROW()-2)</f>
        <v/>
      </c>
    </row>
    <row r="795" spans="1:52" ht="20.100000000000001" customHeight="1">
      <c r="A7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5" s="25" t="str">
        <f ca="1">IF(NOTA[[#This Row],[NAMA BARANG]]="","",INDEX(NOTA[ID],MATCH(,INDIRECT(ADDRESS(ROW(NOTA[ID]),COLUMN(NOTA[ID]))&amp;":"&amp;ADDRESS(ROW(),COLUMN(NOTA[ID]))),-1)))</f>
        <v/>
      </c>
      <c r="E795" s="33"/>
      <c r="H795" s="34"/>
      <c r="Q795" s="29"/>
      <c r="R795" s="35"/>
      <c r="S795" s="36"/>
      <c r="V795" s="37"/>
      <c r="W795" s="32"/>
      <c r="X795" s="37" t="str">
        <f>IF(NOTA[[#This Row],[HARGA/ CTN]]="",NOTA[[#This Row],[JUMLAH_H]],NOTA[[#This Row],[HARGA/ CTN]]*IF(NOTA[[#This Row],[C]]="",0,NOTA[[#This Row],[C]]))</f>
        <v/>
      </c>
      <c r="Y795" s="37" t="str">
        <f>IF(NOTA[[#This Row],[JUMLAH]]="","",NOTA[[#This Row],[JUMLAH]]*NOTA[[#This Row],[DISC 1]])</f>
        <v/>
      </c>
      <c r="Z795" s="37" t="str">
        <f>IF(NOTA[[#This Row],[JUMLAH]]="","",(NOTA[[#This Row],[JUMLAH]]-NOTA[[#This Row],[DISC 1-]])*NOTA[[#This Row],[DISC 2]])</f>
        <v/>
      </c>
      <c r="AA795" s="37" t="str">
        <f>IF(NOTA[[#This Row],[JUMLAH]]="","",(NOTA[[#This Row],[JUMLAH]]-NOTA[[#This Row],[DISC 1-]]-NOTA[[#This Row],[DISC 2-]])*NOTA[[#This Row],[DISC 3]])</f>
        <v/>
      </c>
      <c r="AB795" s="37" t="str">
        <f>IF(NOTA[[#This Row],[JUMLAH]]="","",NOTA[[#This Row],[DISC 1-]]+NOTA[[#This Row],[DISC 2-]]+NOTA[[#This Row],[DISC 3-]])</f>
        <v/>
      </c>
      <c r="AC795" s="37" t="str">
        <f>IF(NOTA[[#This Row],[JUMLAH]]="","",NOTA[[#This Row],[JUMLAH]]-NOTA[[#This Row],[DISC]])</f>
        <v/>
      </c>
      <c r="AD795" s="37"/>
      <c r="AE7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5" s="37" t="str">
        <f>IF(OR(NOTA[[#This Row],[QTY]]="",NOTA[[#This Row],[HARGA SATUAN]]="",),"",NOTA[[#This Row],[QTY]]*NOTA[[#This Row],[HARGA SATUAN]])</f>
        <v/>
      </c>
      <c r="AI795" s="26" t="str">
        <f ca="1">IF(NOTA[[#This Row],[ID_H]]="","",INDEX(NOTA[TANGGAL],MATCH(,INDIRECT(ADDRESS(ROW(NOTA[TANGGAL]),COLUMN(NOTA[TANGGAL]))&amp;":"&amp;ADDRESS(ROW(),COLUMN(NOTA[TANGGAL]))),-1)))</f>
        <v/>
      </c>
      <c r="AJ795" s="26" t="str">
        <f ca="1">IF(NOTA[[#This Row],[ID_H]]="","",INDEX(NOTA[TGL.NOTA],MATCH(,INDIRECT(ADDRESS(ROW(NOTA[TGL.NOTA]),COLUMN(NOTA[TGL.NOTA]))&amp;":"&amp;ADDRESS(ROW(),COLUMN(NOTA[TGL.NOTA]))),-1)))</f>
        <v/>
      </c>
      <c r="AK795" s="26" t="str">
        <f ca="1">IF(NOTA[[#This Row],[ID_H]]="","",INDEX(NOTA[NO.NOTA],MATCH(NOTA[[#This Row],[ID_H]],NOTA[ID_H],0)))</f>
        <v/>
      </c>
      <c r="AL795" s="28" t="str">
        <f ca="1">IF(NOTA[[#This Row],[NAMA BARANG]]="","",INDEX(NOTA[SUPPLIER],MATCH(,INDIRECT(ADDRESS(ROW(NOTA[ID]),COLUMN(NOTA[ID]))&amp;":"&amp;ADDRESS(ROW(),COLUMN(NOTA[ID]))),-1)))</f>
        <v/>
      </c>
      <c r="AM795" s="28" t="str">
        <f ca="1">IF(NOTA[[#This Row],[ID_H]]="","",IF(NOTA[[#This Row],[FAKTUR]]="",INDIRECT(ADDRESS(ROW()-1,COLUMN())),NOTA[[#This Row],[FAKTUR]]))</f>
        <v/>
      </c>
      <c r="AN795" s="25" t="str">
        <f ca="1">IF(NOTA[[#This Row],[ID]]="","",COUNTIF(NOTA[ID_H],NOTA[[#This Row],[ID_H]]))</f>
        <v/>
      </c>
      <c r="AO795" s="25" t="str">
        <f ca="1">IF(NOTA[[#This Row],[TGL.NOTA]]="",IF(NOTA[[#This Row],[SUPPLIER_H]]="","",AO794),MONTH(NOTA[[#This Row],[TGL.NOTA]]))</f>
        <v/>
      </c>
      <c r="AP7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5" s="25"/>
      <c r="AU795" s="25" t="str">
        <f>IF(NOTA[[#This Row],[CONCAT1]]="","",MATCH(NOTA[[#This Row],[CONCAT1]],[3]!db[NB NOTA_C],0))</f>
        <v/>
      </c>
      <c r="AV795" s="25" t="str">
        <f>IF(NOTA[[#This Row],[QTY/ CTN]]="","",TRUE)</f>
        <v/>
      </c>
      <c r="AW795" s="25" t="str">
        <f ca="1">IF(NOTA[[#This Row],[ID_H]]="","",IF(NOTA[[#This Row],[Column3]]=TRUE,NOTA[[#This Row],[QTY/ CTN]],INDEX([3]!db[QTY/ CTN],NOTA[[#This Row],[//DB]])))</f>
        <v/>
      </c>
      <c r="AX7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5" s="25" t="str">
        <f ca="1">IF(NOTA[[#This Row],[ID_H]]="","",MATCH(NOTA[[#This Row],[NB NOTA_C_QTY]],[3]!db[NB NOTA_C_QTY+F],0))</f>
        <v/>
      </c>
      <c r="AZ795" s="38" t="str">
        <f ca="1">IF(NOTA[[#This Row],[NB NOTA_C_QTY]]="","",ROW()-2)</f>
        <v/>
      </c>
    </row>
    <row r="796" spans="1:52" ht="20.100000000000001" customHeight="1">
      <c r="A7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6" s="25" t="str">
        <f ca="1">IF(NOTA[[#This Row],[NAMA BARANG]]="","",INDEX(NOTA[ID],MATCH(,INDIRECT(ADDRESS(ROW(NOTA[ID]),COLUMN(NOTA[ID]))&amp;":"&amp;ADDRESS(ROW(),COLUMN(NOTA[ID]))),-1)))</f>
        <v/>
      </c>
      <c r="E796" s="33"/>
      <c r="H796" s="34"/>
      <c r="Q796" s="29"/>
      <c r="R796" s="35"/>
      <c r="S796" s="36"/>
      <c r="V796" s="37"/>
      <c r="W796" s="32"/>
      <c r="X796" s="37" t="str">
        <f>IF(NOTA[[#This Row],[HARGA/ CTN]]="",NOTA[[#This Row],[JUMLAH_H]],NOTA[[#This Row],[HARGA/ CTN]]*IF(NOTA[[#This Row],[C]]="",0,NOTA[[#This Row],[C]]))</f>
        <v/>
      </c>
      <c r="Y796" s="37" t="str">
        <f>IF(NOTA[[#This Row],[JUMLAH]]="","",NOTA[[#This Row],[JUMLAH]]*NOTA[[#This Row],[DISC 1]])</f>
        <v/>
      </c>
      <c r="Z796" s="37" t="str">
        <f>IF(NOTA[[#This Row],[JUMLAH]]="","",(NOTA[[#This Row],[JUMLAH]]-NOTA[[#This Row],[DISC 1-]])*NOTA[[#This Row],[DISC 2]])</f>
        <v/>
      </c>
      <c r="AA796" s="37" t="str">
        <f>IF(NOTA[[#This Row],[JUMLAH]]="","",(NOTA[[#This Row],[JUMLAH]]-NOTA[[#This Row],[DISC 1-]]-NOTA[[#This Row],[DISC 2-]])*NOTA[[#This Row],[DISC 3]])</f>
        <v/>
      </c>
      <c r="AB796" s="37" t="str">
        <f>IF(NOTA[[#This Row],[JUMLAH]]="","",NOTA[[#This Row],[DISC 1-]]+NOTA[[#This Row],[DISC 2-]]+NOTA[[#This Row],[DISC 3-]])</f>
        <v/>
      </c>
      <c r="AC796" s="37" t="str">
        <f>IF(NOTA[[#This Row],[JUMLAH]]="","",NOTA[[#This Row],[JUMLAH]]-NOTA[[#This Row],[DISC]])</f>
        <v/>
      </c>
      <c r="AD796" s="37"/>
      <c r="AE7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6" s="37" t="str">
        <f>IF(OR(NOTA[[#This Row],[QTY]]="",NOTA[[#This Row],[HARGA SATUAN]]="",),"",NOTA[[#This Row],[QTY]]*NOTA[[#This Row],[HARGA SATUAN]])</f>
        <v/>
      </c>
      <c r="AI796" s="26" t="str">
        <f ca="1">IF(NOTA[[#This Row],[ID_H]]="","",INDEX(NOTA[TANGGAL],MATCH(,INDIRECT(ADDRESS(ROW(NOTA[TANGGAL]),COLUMN(NOTA[TANGGAL]))&amp;":"&amp;ADDRESS(ROW(),COLUMN(NOTA[TANGGAL]))),-1)))</f>
        <v/>
      </c>
      <c r="AJ796" s="26" t="str">
        <f ca="1">IF(NOTA[[#This Row],[ID_H]]="","",INDEX(NOTA[TGL.NOTA],MATCH(,INDIRECT(ADDRESS(ROW(NOTA[TGL.NOTA]),COLUMN(NOTA[TGL.NOTA]))&amp;":"&amp;ADDRESS(ROW(),COLUMN(NOTA[TGL.NOTA]))),-1)))</f>
        <v/>
      </c>
      <c r="AK796" s="26" t="str">
        <f ca="1">IF(NOTA[[#This Row],[ID_H]]="","",INDEX(NOTA[NO.NOTA],MATCH(NOTA[[#This Row],[ID_H]],NOTA[ID_H],0)))</f>
        <v/>
      </c>
      <c r="AL796" s="28" t="str">
        <f ca="1">IF(NOTA[[#This Row],[NAMA BARANG]]="","",INDEX(NOTA[SUPPLIER],MATCH(,INDIRECT(ADDRESS(ROW(NOTA[ID]),COLUMN(NOTA[ID]))&amp;":"&amp;ADDRESS(ROW(),COLUMN(NOTA[ID]))),-1)))</f>
        <v/>
      </c>
      <c r="AM796" s="28" t="str">
        <f ca="1">IF(NOTA[[#This Row],[ID_H]]="","",IF(NOTA[[#This Row],[FAKTUR]]="",INDIRECT(ADDRESS(ROW()-1,COLUMN())),NOTA[[#This Row],[FAKTUR]]))</f>
        <v/>
      </c>
      <c r="AN796" s="25" t="str">
        <f ca="1">IF(NOTA[[#This Row],[ID]]="","",COUNTIF(NOTA[ID_H],NOTA[[#This Row],[ID_H]]))</f>
        <v/>
      </c>
      <c r="AO796" s="25" t="str">
        <f ca="1">IF(NOTA[[#This Row],[TGL.NOTA]]="",IF(NOTA[[#This Row],[SUPPLIER_H]]="","",AO795),MONTH(NOTA[[#This Row],[TGL.NOTA]]))</f>
        <v/>
      </c>
      <c r="AP7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6" s="25"/>
      <c r="AU796" s="25" t="str">
        <f>IF(NOTA[[#This Row],[CONCAT1]]="","",MATCH(NOTA[[#This Row],[CONCAT1]],[3]!db[NB NOTA_C],0))</f>
        <v/>
      </c>
      <c r="AV796" s="25" t="str">
        <f>IF(NOTA[[#This Row],[QTY/ CTN]]="","",TRUE)</f>
        <v/>
      </c>
      <c r="AW796" s="25" t="str">
        <f ca="1">IF(NOTA[[#This Row],[ID_H]]="","",IF(NOTA[[#This Row],[Column3]]=TRUE,NOTA[[#This Row],[QTY/ CTN]],INDEX([3]!db[QTY/ CTN],NOTA[[#This Row],[//DB]])))</f>
        <v/>
      </c>
      <c r="AX7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6" s="25" t="str">
        <f ca="1">IF(NOTA[[#This Row],[ID_H]]="","",MATCH(NOTA[[#This Row],[NB NOTA_C_QTY]],[3]!db[NB NOTA_C_QTY+F],0))</f>
        <v/>
      </c>
      <c r="AZ796" s="38" t="str">
        <f ca="1">IF(NOTA[[#This Row],[NB NOTA_C_QTY]]="","",ROW()-2)</f>
        <v/>
      </c>
    </row>
    <row r="797" spans="1:52" ht="20.100000000000001" customHeight="1">
      <c r="A7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7" s="25" t="str">
        <f ca="1">IF(NOTA[[#This Row],[NAMA BARANG]]="","",INDEX(NOTA[ID],MATCH(,INDIRECT(ADDRESS(ROW(NOTA[ID]),COLUMN(NOTA[ID]))&amp;":"&amp;ADDRESS(ROW(),COLUMN(NOTA[ID]))),-1)))</f>
        <v/>
      </c>
      <c r="E797" s="33"/>
      <c r="H797" s="34"/>
      <c r="Q797" s="29"/>
      <c r="R797" s="35"/>
      <c r="S797" s="36"/>
      <c r="V797" s="37"/>
      <c r="W797" s="32"/>
      <c r="X797" s="37" t="str">
        <f>IF(NOTA[[#This Row],[HARGA/ CTN]]="",NOTA[[#This Row],[JUMLAH_H]],NOTA[[#This Row],[HARGA/ CTN]]*IF(NOTA[[#This Row],[C]]="",0,NOTA[[#This Row],[C]]))</f>
        <v/>
      </c>
      <c r="Y797" s="37" t="str">
        <f>IF(NOTA[[#This Row],[JUMLAH]]="","",NOTA[[#This Row],[JUMLAH]]*NOTA[[#This Row],[DISC 1]])</f>
        <v/>
      </c>
      <c r="Z797" s="37" t="str">
        <f>IF(NOTA[[#This Row],[JUMLAH]]="","",(NOTA[[#This Row],[JUMLAH]]-NOTA[[#This Row],[DISC 1-]])*NOTA[[#This Row],[DISC 2]])</f>
        <v/>
      </c>
      <c r="AA797" s="37" t="str">
        <f>IF(NOTA[[#This Row],[JUMLAH]]="","",(NOTA[[#This Row],[JUMLAH]]-NOTA[[#This Row],[DISC 1-]]-NOTA[[#This Row],[DISC 2-]])*NOTA[[#This Row],[DISC 3]])</f>
        <v/>
      </c>
      <c r="AB797" s="37" t="str">
        <f>IF(NOTA[[#This Row],[JUMLAH]]="","",NOTA[[#This Row],[DISC 1-]]+NOTA[[#This Row],[DISC 2-]]+NOTA[[#This Row],[DISC 3-]])</f>
        <v/>
      </c>
      <c r="AC797" s="37" t="str">
        <f>IF(NOTA[[#This Row],[JUMLAH]]="","",NOTA[[#This Row],[JUMLAH]]-NOTA[[#This Row],[DISC]])</f>
        <v/>
      </c>
      <c r="AD797" s="37"/>
      <c r="AE7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7" s="37" t="str">
        <f>IF(OR(NOTA[[#This Row],[QTY]]="",NOTA[[#This Row],[HARGA SATUAN]]="",),"",NOTA[[#This Row],[QTY]]*NOTA[[#This Row],[HARGA SATUAN]])</f>
        <v/>
      </c>
      <c r="AI797" s="26" t="str">
        <f ca="1">IF(NOTA[[#This Row],[ID_H]]="","",INDEX(NOTA[TANGGAL],MATCH(,INDIRECT(ADDRESS(ROW(NOTA[TANGGAL]),COLUMN(NOTA[TANGGAL]))&amp;":"&amp;ADDRESS(ROW(),COLUMN(NOTA[TANGGAL]))),-1)))</f>
        <v/>
      </c>
      <c r="AJ797" s="26" t="str">
        <f ca="1">IF(NOTA[[#This Row],[ID_H]]="","",INDEX(NOTA[TGL.NOTA],MATCH(,INDIRECT(ADDRESS(ROW(NOTA[TGL.NOTA]),COLUMN(NOTA[TGL.NOTA]))&amp;":"&amp;ADDRESS(ROW(),COLUMN(NOTA[TGL.NOTA]))),-1)))</f>
        <v/>
      </c>
      <c r="AK797" s="26" t="str">
        <f ca="1">IF(NOTA[[#This Row],[ID_H]]="","",INDEX(NOTA[NO.NOTA],MATCH(NOTA[[#This Row],[ID_H]],NOTA[ID_H],0)))</f>
        <v/>
      </c>
      <c r="AL797" s="28" t="str">
        <f ca="1">IF(NOTA[[#This Row],[NAMA BARANG]]="","",INDEX(NOTA[SUPPLIER],MATCH(,INDIRECT(ADDRESS(ROW(NOTA[ID]),COLUMN(NOTA[ID]))&amp;":"&amp;ADDRESS(ROW(),COLUMN(NOTA[ID]))),-1)))</f>
        <v/>
      </c>
      <c r="AM797" s="28" t="str">
        <f ca="1">IF(NOTA[[#This Row],[ID_H]]="","",IF(NOTA[[#This Row],[FAKTUR]]="",INDIRECT(ADDRESS(ROW()-1,COLUMN())),NOTA[[#This Row],[FAKTUR]]))</f>
        <v/>
      </c>
      <c r="AN797" s="25" t="str">
        <f ca="1">IF(NOTA[[#This Row],[ID]]="","",COUNTIF(NOTA[ID_H],NOTA[[#This Row],[ID_H]]))</f>
        <v/>
      </c>
      <c r="AO797" s="25" t="str">
        <f ca="1">IF(NOTA[[#This Row],[TGL.NOTA]]="",IF(NOTA[[#This Row],[SUPPLIER_H]]="","",AO796),MONTH(NOTA[[#This Row],[TGL.NOTA]]))</f>
        <v/>
      </c>
      <c r="AP7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7" s="25"/>
      <c r="AU797" s="25" t="str">
        <f>IF(NOTA[[#This Row],[CONCAT1]]="","",MATCH(NOTA[[#This Row],[CONCAT1]],[3]!db[NB NOTA_C],0))</f>
        <v/>
      </c>
      <c r="AV797" s="25" t="str">
        <f>IF(NOTA[[#This Row],[QTY/ CTN]]="","",TRUE)</f>
        <v/>
      </c>
      <c r="AW797" s="25" t="str">
        <f ca="1">IF(NOTA[[#This Row],[ID_H]]="","",IF(NOTA[[#This Row],[Column3]]=TRUE,NOTA[[#This Row],[QTY/ CTN]],INDEX([3]!db[QTY/ CTN],NOTA[[#This Row],[//DB]])))</f>
        <v/>
      </c>
      <c r="AX7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7" s="25" t="str">
        <f ca="1">IF(NOTA[[#This Row],[ID_H]]="","",MATCH(NOTA[[#This Row],[NB NOTA_C_QTY]],[3]!db[NB NOTA_C_QTY+F],0))</f>
        <v/>
      </c>
      <c r="AZ797" s="38" t="str">
        <f ca="1">IF(NOTA[[#This Row],[NB NOTA_C_QTY]]="","",ROW()-2)</f>
        <v/>
      </c>
    </row>
    <row r="798" spans="1:52" ht="20.100000000000001" customHeight="1">
      <c r="A7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8" s="25" t="str">
        <f ca="1">IF(NOTA[[#This Row],[NAMA BARANG]]="","",INDEX(NOTA[ID],MATCH(,INDIRECT(ADDRESS(ROW(NOTA[ID]),COLUMN(NOTA[ID]))&amp;":"&amp;ADDRESS(ROW(),COLUMN(NOTA[ID]))),-1)))</f>
        <v/>
      </c>
      <c r="E798" s="33"/>
      <c r="H798" s="34"/>
      <c r="Q798" s="29"/>
      <c r="R798" s="35"/>
      <c r="S798" s="36"/>
      <c r="V798" s="37"/>
      <c r="W798" s="32"/>
      <c r="X798" s="37" t="str">
        <f>IF(NOTA[[#This Row],[HARGA/ CTN]]="",NOTA[[#This Row],[JUMLAH_H]],NOTA[[#This Row],[HARGA/ CTN]]*IF(NOTA[[#This Row],[C]]="",0,NOTA[[#This Row],[C]]))</f>
        <v/>
      </c>
      <c r="Y798" s="37" t="str">
        <f>IF(NOTA[[#This Row],[JUMLAH]]="","",NOTA[[#This Row],[JUMLAH]]*NOTA[[#This Row],[DISC 1]])</f>
        <v/>
      </c>
      <c r="Z798" s="37" t="str">
        <f>IF(NOTA[[#This Row],[JUMLAH]]="","",(NOTA[[#This Row],[JUMLAH]]-NOTA[[#This Row],[DISC 1-]])*NOTA[[#This Row],[DISC 2]])</f>
        <v/>
      </c>
      <c r="AA798" s="37" t="str">
        <f>IF(NOTA[[#This Row],[JUMLAH]]="","",(NOTA[[#This Row],[JUMLAH]]-NOTA[[#This Row],[DISC 1-]]-NOTA[[#This Row],[DISC 2-]])*NOTA[[#This Row],[DISC 3]])</f>
        <v/>
      </c>
      <c r="AB798" s="37" t="str">
        <f>IF(NOTA[[#This Row],[JUMLAH]]="","",NOTA[[#This Row],[DISC 1-]]+NOTA[[#This Row],[DISC 2-]]+NOTA[[#This Row],[DISC 3-]])</f>
        <v/>
      </c>
      <c r="AC798" s="37" t="str">
        <f>IF(NOTA[[#This Row],[JUMLAH]]="","",NOTA[[#This Row],[JUMLAH]]-NOTA[[#This Row],[DISC]])</f>
        <v/>
      </c>
      <c r="AD798" s="37"/>
      <c r="AE7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8" s="37" t="str">
        <f>IF(OR(NOTA[[#This Row],[QTY]]="",NOTA[[#This Row],[HARGA SATUAN]]="",),"",NOTA[[#This Row],[QTY]]*NOTA[[#This Row],[HARGA SATUAN]])</f>
        <v/>
      </c>
      <c r="AI798" s="26" t="str">
        <f ca="1">IF(NOTA[[#This Row],[ID_H]]="","",INDEX(NOTA[TANGGAL],MATCH(,INDIRECT(ADDRESS(ROW(NOTA[TANGGAL]),COLUMN(NOTA[TANGGAL]))&amp;":"&amp;ADDRESS(ROW(),COLUMN(NOTA[TANGGAL]))),-1)))</f>
        <v/>
      </c>
      <c r="AJ798" s="26" t="str">
        <f ca="1">IF(NOTA[[#This Row],[ID_H]]="","",INDEX(NOTA[TGL.NOTA],MATCH(,INDIRECT(ADDRESS(ROW(NOTA[TGL.NOTA]),COLUMN(NOTA[TGL.NOTA]))&amp;":"&amp;ADDRESS(ROW(),COLUMN(NOTA[TGL.NOTA]))),-1)))</f>
        <v/>
      </c>
      <c r="AK798" s="26" t="str">
        <f ca="1">IF(NOTA[[#This Row],[ID_H]]="","",INDEX(NOTA[NO.NOTA],MATCH(NOTA[[#This Row],[ID_H]],NOTA[ID_H],0)))</f>
        <v/>
      </c>
      <c r="AL798" s="28" t="str">
        <f ca="1">IF(NOTA[[#This Row],[NAMA BARANG]]="","",INDEX(NOTA[SUPPLIER],MATCH(,INDIRECT(ADDRESS(ROW(NOTA[ID]),COLUMN(NOTA[ID]))&amp;":"&amp;ADDRESS(ROW(),COLUMN(NOTA[ID]))),-1)))</f>
        <v/>
      </c>
      <c r="AM798" s="28" t="str">
        <f ca="1">IF(NOTA[[#This Row],[ID_H]]="","",IF(NOTA[[#This Row],[FAKTUR]]="",INDIRECT(ADDRESS(ROW()-1,COLUMN())),NOTA[[#This Row],[FAKTUR]]))</f>
        <v/>
      </c>
      <c r="AN798" s="25" t="str">
        <f ca="1">IF(NOTA[[#This Row],[ID]]="","",COUNTIF(NOTA[ID_H],NOTA[[#This Row],[ID_H]]))</f>
        <v/>
      </c>
      <c r="AO798" s="25" t="str">
        <f ca="1">IF(NOTA[[#This Row],[TGL.NOTA]]="",IF(NOTA[[#This Row],[SUPPLIER_H]]="","",AO797),MONTH(NOTA[[#This Row],[TGL.NOTA]]))</f>
        <v/>
      </c>
      <c r="AP7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8" s="25"/>
      <c r="AU798" s="25" t="str">
        <f>IF(NOTA[[#This Row],[CONCAT1]]="","",MATCH(NOTA[[#This Row],[CONCAT1]],[3]!db[NB NOTA_C],0))</f>
        <v/>
      </c>
      <c r="AV798" s="25" t="str">
        <f>IF(NOTA[[#This Row],[QTY/ CTN]]="","",TRUE)</f>
        <v/>
      </c>
      <c r="AW798" s="25" t="str">
        <f ca="1">IF(NOTA[[#This Row],[ID_H]]="","",IF(NOTA[[#This Row],[Column3]]=TRUE,NOTA[[#This Row],[QTY/ CTN]],INDEX([3]!db[QTY/ CTN],NOTA[[#This Row],[//DB]])))</f>
        <v/>
      </c>
      <c r="AX7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8" s="25" t="str">
        <f ca="1">IF(NOTA[[#This Row],[ID_H]]="","",MATCH(NOTA[[#This Row],[NB NOTA_C_QTY]],[3]!db[NB NOTA_C_QTY+F],0))</f>
        <v/>
      </c>
      <c r="AZ798" s="38" t="str">
        <f ca="1">IF(NOTA[[#This Row],[NB NOTA_C_QTY]]="","",ROW()-2)</f>
        <v/>
      </c>
    </row>
    <row r="799" spans="1:52" ht="20.100000000000001" customHeight="1">
      <c r="A7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9" s="25" t="str">
        <f ca="1">IF(NOTA[[#This Row],[NAMA BARANG]]="","",INDEX(NOTA[ID],MATCH(,INDIRECT(ADDRESS(ROW(NOTA[ID]),COLUMN(NOTA[ID]))&amp;":"&amp;ADDRESS(ROW(),COLUMN(NOTA[ID]))),-1)))</f>
        <v/>
      </c>
      <c r="E799" s="33"/>
      <c r="H799" s="34"/>
      <c r="Q799" s="29"/>
      <c r="R799" s="35"/>
      <c r="S799" s="36"/>
      <c r="V799" s="37"/>
      <c r="W799" s="32"/>
      <c r="X799" s="37" t="str">
        <f>IF(NOTA[[#This Row],[HARGA/ CTN]]="",NOTA[[#This Row],[JUMLAH_H]],NOTA[[#This Row],[HARGA/ CTN]]*IF(NOTA[[#This Row],[C]]="",0,NOTA[[#This Row],[C]]))</f>
        <v/>
      </c>
      <c r="Y799" s="37" t="str">
        <f>IF(NOTA[[#This Row],[JUMLAH]]="","",NOTA[[#This Row],[JUMLAH]]*NOTA[[#This Row],[DISC 1]])</f>
        <v/>
      </c>
      <c r="Z799" s="37" t="str">
        <f>IF(NOTA[[#This Row],[JUMLAH]]="","",(NOTA[[#This Row],[JUMLAH]]-NOTA[[#This Row],[DISC 1-]])*NOTA[[#This Row],[DISC 2]])</f>
        <v/>
      </c>
      <c r="AA799" s="37" t="str">
        <f>IF(NOTA[[#This Row],[JUMLAH]]="","",(NOTA[[#This Row],[JUMLAH]]-NOTA[[#This Row],[DISC 1-]]-NOTA[[#This Row],[DISC 2-]])*NOTA[[#This Row],[DISC 3]])</f>
        <v/>
      </c>
      <c r="AB799" s="37" t="str">
        <f>IF(NOTA[[#This Row],[JUMLAH]]="","",NOTA[[#This Row],[DISC 1-]]+NOTA[[#This Row],[DISC 2-]]+NOTA[[#This Row],[DISC 3-]])</f>
        <v/>
      </c>
      <c r="AC799" s="37" t="str">
        <f>IF(NOTA[[#This Row],[JUMLAH]]="","",NOTA[[#This Row],[JUMLAH]]-NOTA[[#This Row],[DISC]])</f>
        <v/>
      </c>
      <c r="AD799" s="37"/>
      <c r="AE7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9" s="37" t="str">
        <f>IF(OR(NOTA[[#This Row],[QTY]]="",NOTA[[#This Row],[HARGA SATUAN]]="",),"",NOTA[[#This Row],[QTY]]*NOTA[[#This Row],[HARGA SATUAN]])</f>
        <v/>
      </c>
      <c r="AI799" s="26" t="str">
        <f ca="1">IF(NOTA[[#This Row],[ID_H]]="","",INDEX(NOTA[TANGGAL],MATCH(,INDIRECT(ADDRESS(ROW(NOTA[TANGGAL]),COLUMN(NOTA[TANGGAL]))&amp;":"&amp;ADDRESS(ROW(),COLUMN(NOTA[TANGGAL]))),-1)))</f>
        <v/>
      </c>
      <c r="AJ799" s="26" t="str">
        <f ca="1">IF(NOTA[[#This Row],[ID_H]]="","",INDEX(NOTA[TGL.NOTA],MATCH(,INDIRECT(ADDRESS(ROW(NOTA[TGL.NOTA]),COLUMN(NOTA[TGL.NOTA]))&amp;":"&amp;ADDRESS(ROW(),COLUMN(NOTA[TGL.NOTA]))),-1)))</f>
        <v/>
      </c>
      <c r="AK799" s="26" t="str">
        <f ca="1">IF(NOTA[[#This Row],[ID_H]]="","",INDEX(NOTA[NO.NOTA],MATCH(NOTA[[#This Row],[ID_H]],NOTA[ID_H],0)))</f>
        <v/>
      </c>
      <c r="AL799" s="28" t="str">
        <f ca="1">IF(NOTA[[#This Row],[NAMA BARANG]]="","",INDEX(NOTA[SUPPLIER],MATCH(,INDIRECT(ADDRESS(ROW(NOTA[ID]),COLUMN(NOTA[ID]))&amp;":"&amp;ADDRESS(ROW(),COLUMN(NOTA[ID]))),-1)))</f>
        <v/>
      </c>
      <c r="AM799" s="28" t="str">
        <f ca="1">IF(NOTA[[#This Row],[ID_H]]="","",IF(NOTA[[#This Row],[FAKTUR]]="",INDIRECT(ADDRESS(ROW()-1,COLUMN())),NOTA[[#This Row],[FAKTUR]]))</f>
        <v/>
      </c>
      <c r="AN799" s="25" t="str">
        <f ca="1">IF(NOTA[[#This Row],[ID]]="","",COUNTIF(NOTA[ID_H],NOTA[[#This Row],[ID_H]]))</f>
        <v/>
      </c>
      <c r="AO799" s="25" t="str">
        <f ca="1">IF(NOTA[[#This Row],[TGL.NOTA]]="",IF(NOTA[[#This Row],[SUPPLIER_H]]="","",AO798),MONTH(NOTA[[#This Row],[TGL.NOTA]]))</f>
        <v/>
      </c>
      <c r="AP7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9" s="25"/>
      <c r="AU799" s="25" t="str">
        <f>IF(NOTA[[#This Row],[CONCAT1]]="","",MATCH(NOTA[[#This Row],[CONCAT1]],[3]!db[NB NOTA_C],0))</f>
        <v/>
      </c>
      <c r="AV799" s="25" t="str">
        <f>IF(NOTA[[#This Row],[QTY/ CTN]]="","",TRUE)</f>
        <v/>
      </c>
      <c r="AW799" s="25" t="str">
        <f ca="1">IF(NOTA[[#This Row],[ID_H]]="","",IF(NOTA[[#This Row],[Column3]]=TRUE,NOTA[[#This Row],[QTY/ CTN]],INDEX([3]!db[QTY/ CTN],NOTA[[#This Row],[//DB]])))</f>
        <v/>
      </c>
      <c r="AX7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9" s="25" t="str">
        <f ca="1">IF(NOTA[[#This Row],[ID_H]]="","",MATCH(NOTA[[#This Row],[NB NOTA_C_QTY]],[3]!db[NB NOTA_C_QTY+F],0))</f>
        <v/>
      </c>
      <c r="AZ799" s="38" t="str">
        <f ca="1">IF(NOTA[[#This Row],[NB NOTA_C_QTY]]="","",ROW()-2)</f>
        <v/>
      </c>
    </row>
    <row r="800" spans="1:52" ht="20.100000000000001" customHeight="1">
      <c r="A8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0" s="25" t="str">
        <f ca="1">IF(NOTA[[#This Row],[NAMA BARANG]]="","",INDEX(NOTA[ID],MATCH(,INDIRECT(ADDRESS(ROW(NOTA[ID]),COLUMN(NOTA[ID]))&amp;":"&amp;ADDRESS(ROW(),COLUMN(NOTA[ID]))),-1)))</f>
        <v/>
      </c>
      <c r="E800" s="33"/>
      <c r="H800" s="34"/>
      <c r="Q800" s="29"/>
      <c r="R800" s="35"/>
      <c r="S800" s="36"/>
      <c r="V800" s="37"/>
      <c r="W800" s="32"/>
      <c r="X800" s="37" t="str">
        <f>IF(NOTA[[#This Row],[HARGA/ CTN]]="",NOTA[[#This Row],[JUMLAH_H]],NOTA[[#This Row],[HARGA/ CTN]]*IF(NOTA[[#This Row],[C]]="",0,NOTA[[#This Row],[C]]))</f>
        <v/>
      </c>
      <c r="Y800" s="37" t="str">
        <f>IF(NOTA[[#This Row],[JUMLAH]]="","",NOTA[[#This Row],[JUMLAH]]*NOTA[[#This Row],[DISC 1]])</f>
        <v/>
      </c>
      <c r="Z800" s="37" t="str">
        <f>IF(NOTA[[#This Row],[JUMLAH]]="","",(NOTA[[#This Row],[JUMLAH]]-NOTA[[#This Row],[DISC 1-]])*NOTA[[#This Row],[DISC 2]])</f>
        <v/>
      </c>
      <c r="AA800" s="37" t="str">
        <f>IF(NOTA[[#This Row],[JUMLAH]]="","",(NOTA[[#This Row],[JUMLAH]]-NOTA[[#This Row],[DISC 1-]]-NOTA[[#This Row],[DISC 2-]])*NOTA[[#This Row],[DISC 3]])</f>
        <v/>
      </c>
      <c r="AB800" s="37" t="str">
        <f>IF(NOTA[[#This Row],[JUMLAH]]="","",NOTA[[#This Row],[DISC 1-]]+NOTA[[#This Row],[DISC 2-]]+NOTA[[#This Row],[DISC 3-]])</f>
        <v/>
      </c>
      <c r="AC800" s="37" t="str">
        <f>IF(NOTA[[#This Row],[JUMLAH]]="","",NOTA[[#This Row],[JUMLAH]]-NOTA[[#This Row],[DISC]])</f>
        <v/>
      </c>
      <c r="AD800" s="37"/>
      <c r="AE8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0" s="37" t="str">
        <f>IF(OR(NOTA[[#This Row],[QTY]]="",NOTA[[#This Row],[HARGA SATUAN]]="",),"",NOTA[[#This Row],[QTY]]*NOTA[[#This Row],[HARGA SATUAN]])</f>
        <v/>
      </c>
      <c r="AI800" s="26" t="str">
        <f ca="1">IF(NOTA[[#This Row],[ID_H]]="","",INDEX(NOTA[TANGGAL],MATCH(,INDIRECT(ADDRESS(ROW(NOTA[TANGGAL]),COLUMN(NOTA[TANGGAL]))&amp;":"&amp;ADDRESS(ROW(),COLUMN(NOTA[TANGGAL]))),-1)))</f>
        <v/>
      </c>
      <c r="AJ800" s="26" t="str">
        <f ca="1">IF(NOTA[[#This Row],[ID_H]]="","",INDEX(NOTA[TGL.NOTA],MATCH(,INDIRECT(ADDRESS(ROW(NOTA[TGL.NOTA]),COLUMN(NOTA[TGL.NOTA]))&amp;":"&amp;ADDRESS(ROW(),COLUMN(NOTA[TGL.NOTA]))),-1)))</f>
        <v/>
      </c>
      <c r="AK800" s="26" t="str">
        <f ca="1">IF(NOTA[[#This Row],[ID_H]]="","",INDEX(NOTA[NO.NOTA],MATCH(NOTA[[#This Row],[ID_H]],NOTA[ID_H],0)))</f>
        <v/>
      </c>
      <c r="AL800" s="28" t="str">
        <f ca="1">IF(NOTA[[#This Row],[NAMA BARANG]]="","",INDEX(NOTA[SUPPLIER],MATCH(,INDIRECT(ADDRESS(ROW(NOTA[ID]),COLUMN(NOTA[ID]))&amp;":"&amp;ADDRESS(ROW(),COLUMN(NOTA[ID]))),-1)))</f>
        <v/>
      </c>
      <c r="AM800" s="28" t="str">
        <f ca="1">IF(NOTA[[#This Row],[ID_H]]="","",IF(NOTA[[#This Row],[FAKTUR]]="",INDIRECT(ADDRESS(ROW()-1,COLUMN())),NOTA[[#This Row],[FAKTUR]]))</f>
        <v/>
      </c>
      <c r="AN800" s="25" t="str">
        <f ca="1">IF(NOTA[[#This Row],[ID]]="","",COUNTIF(NOTA[ID_H],NOTA[[#This Row],[ID_H]]))</f>
        <v/>
      </c>
      <c r="AO800" s="25" t="str">
        <f ca="1">IF(NOTA[[#This Row],[TGL.NOTA]]="",IF(NOTA[[#This Row],[SUPPLIER_H]]="","",AO799),MONTH(NOTA[[#This Row],[TGL.NOTA]]))</f>
        <v/>
      </c>
      <c r="AP8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0" s="25"/>
      <c r="AU800" s="25" t="str">
        <f>IF(NOTA[[#This Row],[CONCAT1]]="","",MATCH(NOTA[[#This Row],[CONCAT1]],[3]!db[NB NOTA_C],0))</f>
        <v/>
      </c>
      <c r="AV800" s="25" t="str">
        <f>IF(NOTA[[#This Row],[QTY/ CTN]]="","",TRUE)</f>
        <v/>
      </c>
      <c r="AW800" s="25" t="str">
        <f ca="1">IF(NOTA[[#This Row],[ID_H]]="","",IF(NOTA[[#This Row],[Column3]]=TRUE,NOTA[[#This Row],[QTY/ CTN]],INDEX([3]!db[QTY/ CTN],NOTA[[#This Row],[//DB]])))</f>
        <v/>
      </c>
      <c r="AX8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0" s="25" t="str">
        <f ca="1">IF(NOTA[[#This Row],[ID_H]]="","",MATCH(NOTA[[#This Row],[NB NOTA_C_QTY]],[3]!db[NB NOTA_C_QTY+F],0))</f>
        <v/>
      </c>
      <c r="AZ800" s="38" t="str">
        <f ca="1">IF(NOTA[[#This Row],[NB NOTA_C_QTY]]="","",ROW()-2)</f>
        <v/>
      </c>
    </row>
    <row r="801" spans="1:52" ht="20.100000000000001" customHeight="1">
      <c r="A8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1" s="25" t="str">
        <f ca="1">IF(NOTA[[#This Row],[NAMA BARANG]]="","",INDEX(NOTA[ID],MATCH(,INDIRECT(ADDRESS(ROW(NOTA[ID]),COLUMN(NOTA[ID]))&amp;":"&amp;ADDRESS(ROW(),COLUMN(NOTA[ID]))),-1)))</f>
        <v/>
      </c>
      <c r="E801" s="33"/>
      <c r="H801" s="34"/>
      <c r="Q801" s="29"/>
      <c r="R801" s="35"/>
      <c r="S801" s="36"/>
      <c r="V801" s="37"/>
      <c r="W801" s="32"/>
      <c r="X801" s="37" t="str">
        <f>IF(NOTA[[#This Row],[HARGA/ CTN]]="",NOTA[[#This Row],[JUMLAH_H]],NOTA[[#This Row],[HARGA/ CTN]]*IF(NOTA[[#This Row],[C]]="",0,NOTA[[#This Row],[C]]))</f>
        <v/>
      </c>
      <c r="Y801" s="37" t="str">
        <f>IF(NOTA[[#This Row],[JUMLAH]]="","",NOTA[[#This Row],[JUMLAH]]*NOTA[[#This Row],[DISC 1]])</f>
        <v/>
      </c>
      <c r="Z801" s="37" t="str">
        <f>IF(NOTA[[#This Row],[JUMLAH]]="","",(NOTA[[#This Row],[JUMLAH]]-NOTA[[#This Row],[DISC 1-]])*NOTA[[#This Row],[DISC 2]])</f>
        <v/>
      </c>
      <c r="AA801" s="37" t="str">
        <f>IF(NOTA[[#This Row],[JUMLAH]]="","",(NOTA[[#This Row],[JUMLAH]]-NOTA[[#This Row],[DISC 1-]]-NOTA[[#This Row],[DISC 2-]])*NOTA[[#This Row],[DISC 3]])</f>
        <v/>
      </c>
      <c r="AB801" s="37" t="str">
        <f>IF(NOTA[[#This Row],[JUMLAH]]="","",NOTA[[#This Row],[DISC 1-]]+NOTA[[#This Row],[DISC 2-]]+NOTA[[#This Row],[DISC 3-]])</f>
        <v/>
      </c>
      <c r="AC801" s="37" t="str">
        <f>IF(NOTA[[#This Row],[JUMLAH]]="","",NOTA[[#This Row],[JUMLAH]]-NOTA[[#This Row],[DISC]])</f>
        <v/>
      </c>
      <c r="AD801" s="37"/>
      <c r="AE8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1" s="37" t="str">
        <f>IF(OR(NOTA[[#This Row],[QTY]]="",NOTA[[#This Row],[HARGA SATUAN]]="",),"",NOTA[[#This Row],[QTY]]*NOTA[[#This Row],[HARGA SATUAN]])</f>
        <v/>
      </c>
      <c r="AI801" s="26" t="str">
        <f ca="1">IF(NOTA[[#This Row],[ID_H]]="","",INDEX(NOTA[TANGGAL],MATCH(,INDIRECT(ADDRESS(ROW(NOTA[TANGGAL]),COLUMN(NOTA[TANGGAL]))&amp;":"&amp;ADDRESS(ROW(),COLUMN(NOTA[TANGGAL]))),-1)))</f>
        <v/>
      </c>
      <c r="AJ801" s="26" t="str">
        <f ca="1">IF(NOTA[[#This Row],[ID_H]]="","",INDEX(NOTA[TGL.NOTA],MATCH(,INDIRECT(ADDRESS(ROW(NOTA[TGL.NOTA]),COLUMN(NOTA[TGL.NOTA]))&amp;":"&amp;ADDRESS(ROW(),COLUMN(NOTA[TGL.NOTA]))),-1)))</f>
        <v/>
      </c>
      <c r="AK801" s="26" t="str">
        <f ca="1">IF(NOTA[[#This Row],[ID_H]]="","",INDEX(NOTA[NO.NOTA],MATCH(NOTA[[#This Row],[ID_H]],NOTA[ID_H],0)))</f>
        <v/>
      </c>
      <c r="AL801" s="28" t="str">
        <f ca="1">IF(NOTA[[#This Row],[NAMA BARANG]]="","",INDEX(NOTA[SUPPLIER],MATCH(,INDIRECT(ADDRESS(ROW(NOTA[ID]),COLUMN(NOTA[ID]))&amp;":"&amp;ADDRESS(ROW(),COLUMN(NOTA[ID]))),-1)))</f>
        <v/>
      </c>
      <c r="AM801" s="28" t="str">
        <f ca="1">IF(NOTA[[#This Row],[ID_H]]="","",IF(NOTA[[#This Row],[FAKTUR]]="",INDIRECT(ADDRESS(ROW()-1,COLUMN())),NOTA[[#This Row],[FAKTUR]]))</f>
        <v/>
      </c>
      <c r="AN801" s="25" t="str">
        <f ca="1">IF(NOTA[[#This Row],[ID]]="","",COUNTIF(NOTA[ID_H],NOTA[[#This Row],[ID_H]]))</f>
        <v/>
      </c>
      <c r="AO801" s="25" t="str">
        <f ca="1">IF(NOTA[[#This Row],[TGL.NOTA]]="",IF(NOTA[[#This Row],[SUPPLIER_H]]="","",AO800),MONTH(NOTA[[#This Row],[TGL.NOTA]]))</f>
        <v/>
      </c>
      <c r="AP8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1" s="25"/>
      <c r="AU801" s="25" t="str">
        <f>IF(NOTA[[#This Row],[CONCAT1]]="","",MATCH(NOTA[[#This Row],[CONCAT1]],[3]!db[NB NOTA_C],0))</f>
        <v/>
      </c>
      <c r="AV801" s="25" t="str">
        <f>IF(NOTA[[#This Row],[QTY/ CTN]]="","",TRUE)</f>
        <v/>
      </c>
      <c r="AW801" s="25" t="str">
        <f ca="1">IF(NOTA[[#This Row],[ID_H]]="","",IF(NOTA[[#This Row],[Column3]]=TRUE,NOTA[[#This Row],[QTY/ CTN]],INDEX([3]!db[QTY/ CTN],NOTA[[#This Row],[//DB]])))</f>
        <v/>
      </c>
      <c r="AX8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1" s="25" t="str">
        <f ca="1">IF(NOTA[[#This Row],[ID_H]]="","",MATCH(NOTA[[#This Row],[NB NOTA_C_QTY]],[3]!db[NB NOTA_C_QTY+F],0))</f>
        <v/>
      </c>
      <c r="AZ801" s="38" t="str">
        <f ca="1">IF(NOTA[[#This Row],[NB NOTA_C_QTY]]="","",ROW()-2)</f>
        <v/>
      </c>
    </row>
    <row r="802" spans="1:52" ht="20.100000000000001" customHeight="1">
      <c r="A8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2" s="25" t="str">
        <f ca="1">IF(NOTA[[#This Row],[NAMA BARANG]]="","",INDEX(NOTA[ID],MATCH(,INDIRECT(ADDRESS(ROW(NOTA[ID]),COLUMN(NOTA[ID]))&amp;":"&amp;ADDRESS(ROW(),COLUMN(NOTA[ID]))),-1)))</f>
        <v/>
      </c>
      <c r="E802" s="33"/>
      <c r="H802" s="34"/>
      <c r="Q802" s="29"/>
      <c r="R802" s="35"/>
      <c r="S802" s="36"/>
      <c r="V802" s="37"/>
      <c r="W802" s="32"/>
      <c r="X802" s="37" t="str">
        <f>IF(NOTA[[#This Row],[HARGA/ CTN]]="",NOTA[[#This Row],[JUMLAH_H]],NOTA[[#This Row],[HARGA/ CTN]]*IF(NOTA[[#This Row],[C]]="",0,NOTA[[#This Row],[C]]))</f>
        <v/>
      </c>
      <c r="Y802" s="37" t="str">
        <f>IF(NOTA[[#This Row],[JUMLAH]]="","",NOTA[[#This Row],[JUMLAH]]*NOTA[[#This Row],[DISC 1]])</f>
        <v/>
      </c>
      <c r="Z802" s="37" t="str">
        <f>IF(NOTA[[#This Row],[JUMLAH]]="","",(NOTA[[#This Row],[JUMLAH]]-NOTA[[#This Row],[DISC 1-]])*NOTA[[#This Row],[DISC 2]])</f>
        <v/>
      </c>
      <c r="AA802" s="37" t="str">
        <f>IF(NOTA[[#This Row],[JUMLAH]]="","",(NOTA[[#This Row],[JUMLAH]]-NOTA[[#This Row],[DISC 1-]]-NOTA[[#This Row],[DISC 2-]])*NOTA[[#This Row],[DISC 3]])</f>
        <v/>
      </c>
      <c r="AB802" s="37" t="str">
        <f>IF(NOTA[[#This Row],[JUMLAH]]="","",NOTA[[#This Row],[DISC 1-]]+NOTA[[#This Row],[DISC 2-]]+NOTA[[#This Row],[DISC 3-]])</f>
        <v/>
      </c>
      <c r="AC802" s="37" t="str">
        <f>IF(NOTA[[#This Row],[JUMLAH]]="","",NOTA[[#This Row],[JUMLAH]]-NOTA[[#This Row],[DISC]])</f>
        <v/>
      </c>
      <c r="AD802" s="37"/>
      <c r="AE8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2" s="37" t="str">
        <f>IF(OR(NOTA[[#This Row],[QTY]]="",NOTA[[#This Row],[HARGA SATUAN]]="",),"",NOTA[[#This Row],[QTY]]*NOTA[[#This Row],[HARGA SATUAN]])</f>
        <v/>
      </c>
      <c r="AI802" s="26" t="str">
        <f ca="1">IF(NOTA[[#This Row],[ID_H]]="","",INDEX(NOTA[TANGGAL],MATCH(,INDIRECT(ADDRESS(ROW(NOTA[TANGGAL]),COLUMN(NOTA[TANGGAL]))&amp;":"&amp;ADDRESS(ROW(),COLUMN(NOTA[TANGGAL]))),-1)))</f>
        <v/>
      </c>
      <c r="AJ802" s="26" t="str">
        <f ca="1">IF(NOTA[[#This Row],[ID_H]]="","",INDEX(NOTA[TGL.NOTA],MATCH(,INDIRECT(ADDRESS(ROW(NOTA[TGL.NOTA]),COLUMN(NOTA[TGL.NOTA]))&amp;":"&amp;ADDRESS(ROW(),COLUMN(NOTA[TGL.NOTA]))),-1)))</f>
        <v/>
      </c>
      <c r="AK802" s="26" t="str">
        <f ca="1">IF(NOTA[[#This Row],[ID_H]]="","",INDEX(NOTA[NO.NOTA],MATCH(NOTA[[#This Row],[ID_H]],NOTA[ID_H],0)))</f>
        <v/>
      </c>
      <c r="AL802" s="28" t="str">
        <f ca="1">IF(NOTA[[#This Row],[NAMA BARANG]]="","",INDEX(NOTA[SUPPLIER],MATCH(,INDIRECT(ADDRESS(ROW(NOTA[ID]),COLUMN(NOTA[ID]))&amp;":"&amp;ADDRESS(ROW(),COLUMN(NOTA[ID]))),-1)))</f>
        <v/>
      </c>
      <c r="AM802" s="28" t="str">
        <f ca="1">IF(NOTA[[#This Row],[ID_H]]="","",IF(NOTA[[#This Row],[FAKTUR]]="",INDIRECT(ADDRESS(ROW()-1,COLUMN())),NOTA[[#This Row],[FAKTUR]]))</f>
        <v/>
      </c>
      <c r="AN802" s="25" t="str">
        <f ca="1">IF(NOTA[[#This Row],[ID]]="","",COUNTIF(NOTA[ID_H],NOTA[[#This Row],[ID_H]]))</f>
        <v/>
      </c>
      <c r="AO802" s="25" t="str">
        <f ca="1">IF(NOTA[[#This Row],[TGL.NOTA]]="",IF(NOTA[[#This Row],[SUPPLIER_H]]="","",AO801),MONTH(NOTA[[#This Row],[TGL.NOTA]]))</f>
        <v/>
      </c>
      <c r="AP8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2" s="25"/>
      <c r="AU802" s="25" t="str">
        <f>IF(NOTA[[#This Row],[CONCAT1]]="","",MATCH(NOTA[[#This Row],[CONCAT1]],[3]!db[NB NOTA_C],0))</f>
        <v/>
      </c>
      <c r="AV802" s="25" t="str">
        <f>IF(NOTA[[#This Row],[QTY/ CTN]]="","",TRUE)</f>
        <v/>
      </c>
      <c r="AW802" s="25" t="str">
        <f ca="1">IF(NOTA[[#This Row],[ID_H]]="","",IF(NOTA[[#This Row],[Column3]]=TRUE,NOTA[[#This Row],[QTY/ CTN]],INDEX([3]!db[QTY/ CTN],NOTA[[#This Row],[//DB]])))</f>
        <v/>
      </c>
      <c r="AX8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2" s="25" t="str">
        <f ca="1">IF(NOTA[[#This Row],[ID_H]]="","",MATCH(NOTA[[#This Row],[NB NOTA_C_QTY]],[3]!db[NB NOTA_C_QTY+F],0))</f>
        <v/>
      </c>
      <c r="AZ802" s="38" t="str">
        <f ca="1">IF(NOTA[[#This Row],[NB NOTA_C_QTY]]="","",ROW()-2)</f>
        <v/>
      </c>
    </row>
    <row r="803" spans="1:52" ht="20.100000000000001" customHeight="1">
      <c r="A8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3" s="25" t="str">
        <f ca="1">IF(NOTA[[#This Row],[NAMA BARANG]]="","",INDEX(NOTA[ID],MATCH(,INDIRECT(ADDRESS(ROW(NOTA[ID]),COLUMN(NOTA[ID]))&amp;":"&amp;ADDRESS(ROW(),COLUMN(NOTA[ID]))),-1)))</f>
        <v/>
      </c>
      <c r="E803" s="33"/>
      <c r="H803" s="34"/>
      <c r="Q803" s="29"/>
      <c r="R803" s="35"/>
      <c r="S803" s="36"/>
      <c r="V803" s="37"/>
      <c r="W803" s="32"/>
      <c r="X803" s="37" t="str">
        <f>IF(NOTA[[#This Row],[HARGA/ CTN]]="",NOTA[[#This Row],[JUMLAH_H]],NOTA[[#This Row],[HARGA/ CTN]]*IF(NOTA[[#This Row],[C]]="",0,NOTA[[#This Row],[C]]))</f>
        <v/>
      </c>
      <c r="Y803" s="37" t="str">
        <f>IF(NOTA[[#This Row],[JUMLAH]]="","",NOTA[[#This Row],[JUMLAH]]*NOTA[[#This Row],[DISC 1]])</f>
        <v/>
      </c>
      <c r="Z803" s="37" t="str">
        <f>IF(NOTA[[#This Row],[JUMLAH]]="","",(NOTA[[#This Row],[JUMLAH]]-NOTA[[#This Row],[DISC 1-]])*NOTA[[#This Row],[DISC 2]])</f>
        <v/>
      </c>
      <c r="AA803" s="37" t="str">
        <f>IF(NOTA[[#This Row],[JUMLAH]]="","",(NOTA[[#This Row],[JUMLAH]]-NOTA[[#This Row],[DISC 1-]]-NOTA[[#This Row],[DISC 2-]])*NOTA[[#This Row],[DISC 3]])</f>
        <v/>
      </c>
      <c r="AB803" s="37" t="str">
        <f>IF(NOTA[[#This Row],[JUMLAH]]="","",NOTA[[#This Row],[DISC 1-]]+NOTA[[#This Row],[DISC 2-]]+NOTA[[#This Row],[DISC 3-]])</f>
        <v/>
      </c>
      <c r="AC803" s="37" t="str">
        <f>IF(NOTA[[#This Row],[JUMLAH]]="","",NOTA[[#This Row],[JUMLAH]]-NOTA[[#This Row],[DISC]])</f>
        <v/>
      </c>
      <c r="AD803" s="37"/>
      <c r="AE8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3" s="37" t="str">
        <f>IF(OR(NOTA[[#This Row],[QTY]]="",NOTA[[#This Row],[HARGA SATUAN]]="",),"",NOTA[[#This Row],[QTY]]*NOTA[[#This Row],[HARGA SATUAN]])</f>
        <v/>
      </c>
      <c r="AI803" s="26" t="str">
        <f ca="1">IF(NOTA[[#This Row],[ID_H]]="","",INDEX(NOTA[TANGGAL],MATCH(,INDIRECT(ADDRESS(ROW(NOTA[TANGGAL]),COLUMN(NOTA[TANGGAL]))&amp;":"&amp;ADDRESS(ROW(),COLUMN(NOTA[TANGGAL]))),-1)))</f>
        <v/>
      </c>
      <c r="AJ803" s="26" t="str">
        <f ca="1">IF(NOTA[[#This Row],[ID_H]]="","",INDEX(NOTA[TGL.NOTA],MATCH(,INDIRECT(ADDRESS(ROW(NOTA[TGL.NOTA]),COLUMN(NOTA[TGL.NOTA]))&amp;":"&amp;ADDRESS(ROW(),COLUMN(NOTA[TGL.NOTA]))),-1)))</f>
        <v/>
      </c>
      <c r="AK803" s="26" t="str">
        <f ca="1">IF(NOTA[[#This Row],[ID_H]]="","",INDEX(NOTA[NO.NOTA],MATCH(NOTA[[#This Row],[ID_H]],NOTA[ID_H],0)))</f>
        <v/>
      </c>
      <c r="AL803" s="28" t="str">
        <f ca="1">IF(NOTA[[#This Row],[NAMA BARANG]]="","",INDEX(NOTA[SUPPLIER],MATCH(,INDIRECT(ADDRESS(ROW(NOTA[ID]),COLUMN(NOTA[ID]))&amp;":"&amp;ADDRESS(ROW(),COLUMN(NOTA[ID]))),-1)))</f>
        <v/>
      </c>
      <c r="AM803" s="28" t="str">
        <f ca="1">IF(NOTA[[#This Row],[ID_H]]="","",IF(NOTA[[#This Row],[FAKTUR]]="",INDIRECT(ADDRESS(ROW()-1,COLUMN())),NOTA[[#This Row],[FAKTUR]]))</f>
        <v/>
      </c>
      <c r="AN803" s="25" t="str">
        <f ca="1">IF(NOTA[[#This Row],[ID]]="","",COUNTIF(NOTA[ID_H],NOTA[[#This Row],[ID_H]]))</f>
        <v/>
      </c>
      <c r="AO803" s="25" t="str">
        <f ca="1">IF(NOTA[[#This Row],[TGL.NOTA]]="",IF(NOTA[[#This Row],[SUPPLIER_H]]="","",AO802),MONTH(NOTA[[#This Row],[TGL.NOTA]]))</f>
        <v/>
      </c>
      <c r="AP8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3" s="25"/>
      <c r="AU803" s="25" t="str">
        <f>IF(NOTA[[#This Row],[CONCAT1]]="","",MATCH(NOTA[[#This Row],[CONCAT1]],[3]!db[NB NOTA_C],0))</f>
        <v/>
      </c>
      <c r="AV803" s="25" t="str">
        <f>IF(NOTA[[#This Row],[QTY/ CTN]]="","",TRUE)</f>
        <v/>
      </c>
      <c r="AW803" s="25" t="str">
        <f ca="1">IF(NOTA[[#This Row],[ID_H]]="","",IF(NOTA[[#This Row],[Column3]]=TRUE,NOTA[[#This Row],[QTY/ CTN]],INDEX([3]!db[QTY/ CTN],NOTA[[#This Row],[//DB]])))</f>
        <v/>
      </c>
      <c r="AX8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3" s="25" t="str">
        <f ca="1">IF(NOTA[[#This Row],[ID_H]]="","",MATCH(NOTA[[#This Row],[NB NOTA_C_QTY]],[3]!db[NB NOTA_C_QTY+F],0))</f>
        <v/>
      </c>
      <c r="AZ803" s="38" t="str">
        <f ca="1">IF(NOTA[[#This Row],[NB NOTA_C_QTY]]="","",ROW()-2)</f>
        <v/>
      </c>
    </row>
    <row r="804" spans="1:52" ht="20.100000000000001" customHeight="1">
      <c r="A8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4" s="25" t="str">
        <f ca="1">IF(NOTA[[#This Row],[NAMA BARANG]]="","",INDEX(NOTA[ID],MATCH(,INDIRECT(ADDRESS(ROW(NOTA[ID]),COLUMN(NOTA[ID]))&amp;":"&amp;ADDRESS(ROW(),COLUMN(NOTA[ID]))),-1)))</f>
        <v/>
      </c>
      <c r="E804" s="33"/>
      <c r="H804" s="34"/>
      <c r="Q804" s="29"/>
      <c r="R804" s="35"/>
      <c r="S804" s="36"/>
      <c r="V804" s="37"/>
      <c r="W804" s="32"/>
      <c r="X804" s="37" t="str">
        <f>IF(NOTA[[#This Row],[HARGA/ CTN]]="",NOTA[[#This Row],[JUMLAH_H]],NOTA[[#This Row],[HARGA/ CTN]]*IF(NOTA[[#This Row],[C]]="",0,NOTA[[#This Row],[C]]))</f>
        <v/>
      </c>
      <c r="Y804" s="37" t="str">
        <f>IF(NOTA[[#This Row],[JUMLAH]]="","",NOTA[[#This Row],[JUMLAH]]*NOTA[[#This Row],[DISC 1]])</f>
        <v/>
      </c>
      <c r="Z804" s="37" t="str">
        <f>IF(NOTA[[#This Row],[JUMLAH]]="","",(NOTA[[#This Row],[JUMLAH]]-NOTA[[#This Row],[DISC 1-]])*NOTA[[#This Row],[DISC 2]])</f>
        <v/>
      </c>
      <c r="AA804" s="37" t="str">
        <f>IF(NOTA[[#This Row],[JUMLAH]]="","",(NOTA[[#This Row],[JUMLAH]]-NOTA[[#This Row],[DISC 1-]]-NOTA[[#This Row],[DISC 2-]])*NOTA[[#This Row],[DISC 3]])</f>
        <v/>
      </c>
      <c r="AB804" s="37" t="str">
        <f>IF(NOTA[[#This Row],[JUMLAH]]="","",NOTA[[#This Row],[DISC 1-]]+NOTA[[#This Row],[DISC 2-]]+NOTA[[#This Row],[DISC 3-]])</f>
        <v/>
      </c>
      <c r="AC804" s="37" t="str">
        <f>IF(NOTA[[#This Row],[JUMLAH]]="","",NOTA[[#This Row],[JUMLAH]]-NOTA[[#This Row],[DISC]])</f>
        <v/>
      </c>
      <c r="AD804" s="37"/>
      <c r="AE8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4" s="37" t="str">
        <f>IF(OR(NOTA[[#This Row],[QTY]]="",NOTA[[#This Row],[HARGA SATUAN]]="",),"",NOTA[[#This Row],[QTY]]*NOTA[[#This Row],[HARGA SATUAN]])</f>
        <v/>
      </c>
      <c r="AI804" s="26" t="str">
        <f ca="1">IF(NOTA[[#This Row],[ID_H]]="","",INDEX(NOTA[TANGGAL],MATCH(,INDIRECT(ADDRESS(ROW(NOTA[TANGGAL]),COLUMN(NOTA[TANGGAL]))&amp;":"&amp;ADDRESS(ROW(),COLUMN(NOTA[TANGGAL]))),-1)))</f>
        <v/>
      </c>
      <c r="AJ804" s="26" t="str">
        <f ca="1">IF(NOTA[[#This Row],[ID_H]]="","",INDEX(NOTA[TGL.NOTA],MATCH(,INDIRECT(ADDRESS(ROW(NOTA[TGL.NOTA]),COLUMN(NOTA[TGL.NOTA]))&amp;":"&amp;ADDRESS(ROW(),COLUMN(NOTA[TGL.NOTA]))),-1)))</f>
        <v/>
      </c>
      <c r="AK804" s="26" t="str">
        <f ca="1">IF(NOTA[[#This Row],[ID_H]]="","",INDEX(NOTA[NO.NOTA],MATCH(NOTA[[#This Row],[ID_H]],NOTA[ID_H],0)))</f>
        <v/>
      </c>
      <c r="AL804" s="28" t="str">
        <f ca="1">IF(NOTA[[#This Row],[NAMA BARANG]]="","",INDEX(NOTA[SUPPLIER],MATCH(,INDIRECT(ADDRESS(ROW(NOTA[ID]),COLUMN(NOTA[ID]))&amp;":"&amp;ADDRESS(ROW(),COLUMN(NOTA[ID]))),-1)))</f>
        <v/>
      </c>
      <c r="AM804" s="28" t="str">
        <f ca="1">IF(NOTA[[#This Row],[ID_H]]="","",IF(NOTA[[#This Row],[FAKTUR]]="",INDIRECT(ADDRESS(ROW()-1,COLUMN())),NOTA[[#This Row],[FAKTUR]]))</f>
        <v/>
      </c>
      <c r="AN804" s="25" t="str">
        <f ca="1">IF(NOTA[[#This Row],[ID]]="","",COUNTIF(NOTA[ID_H],NOTA[[#This Row],[ID_H]]))</f>
        <v/>
      </c>
      <c r="AO804" s="25" t="str">
        <f ca="1">IF(NOTA[[#This Row],[TGL.NOTA]]="",IF(NOTA[[#This Row],[SUPPLIER_H]]="","",AO803),MONTH(NOTA[[#This Row],[TGL.NOTA]]))</f>
        <v/>
      </c>
      <c r="AP8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4" s="25"/>
      <c r="AU804" s="25" t="str">
        <f>IF(NOTA[[#This Row],[CONCAT1]]="","",MATCH(NOTA[[#This Row],[CONCAT1]],[3]!db[NB NOTA_C],0))</f>
        <v/>
      </c>
      <c r="AV804" s="25" t="str">
        <f>IF(NOTA[[#This Row],[QTY/ CTN]]="","",TRUE)</f>
        <v/>
      </c>
      <c r="AW804" s="25" t="str">
        <f ca="1">IF(NOTA[[#This Row],[ID_H]]="","",IF(NOTA[[#This Row],[Column3]]=TRUE,NOTA[[#This Row],[QTY/ CTN]],INDEX([3]!db[QTY/ CTN],NOTA[[#This Row],[//DB]])))</f>
        <v/>
      </c>
      <c r="AX8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4" s="25" t="str">
        <f ca="1">IF(NOTA[[#This Row],[ID_H]]="","",MATCH(NOTA[[#This Row],[NB NOTA_C_QTY]],[3]!db[NB NOTA_C_QTY+F],0))</f>
        <v/>
      </c>
      <c r="AZ804" s="38" t="str">
        <f ca="1">IF(NOTA[[#This Row],[NB NOTA_C_QTY]]="","",ROW()-2)</f>
        <v/>
      </c>
    </row>
    <row r="805" spans="1:52" ht="20.100000000000001" customHeight="1">
      <c r="A8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5" s="25" t="str">
        <f ca="1">IF(NOTA[[#This Row],[NAMA BARANG]]="","",INDEX(NOTA[ID],MATCH(,INDIRECT(ADDRESS(ROW(NOTA[ID]),COLUMN(NOTA[ID]))&amp;":"&amp;ADDRESS(ROW(),COLUMN(NOTA[ID]))),-1)))</f>
        <v/>
      </c>
      <c r="E805" s="33"/>
      <c r="H805" s="34"/>
      <c r="Q805" s="29"/>
      <c r="R805" s="35"/>
      <c r="S805" s="36"/>
      <c r="V805" s="37"/>
      <c r="W805" s="32"/>
      <c r="X805" s="37" t="str">
        <f>IF(NOTA[[#This Row],[HARGA/ CTN]]="",NOTA[[#This Row],[JUMLAH_H]],NOTA[[#This Row],[HARGA/ CTN]]*IF(NOTA[[#This Row],[C]]="",0,NOTA[[#This Row],[C]]))</f>
        <v/>
      </c>
      <c r="Y805" s="37" t="str">
        <f>IF(NOTA[[#This Row],[JUMLAH]]="","",NOTA[[#This Row],[JUMLAH]]*NOTA[[#This Row],[DISC 1]])</f>
        <v/>
      </c>
      <c r="Z805" s="37" t="str">
        <f>IF(NOTA[[#This Row],[JUMLAH]]="","",(NOTA[[#This Row],[JUMLAH]]-NOTA[[#This Row],[DISC 1-]])*NOTA[[#This Row],[DISC 2]])</f>
        <v/>
      </c>
      <c r="AA805" s="37" t="str">
        <f>IF(NOTA[[#This Row],[JUMLAH]]="","",(NOTA[[#This Row],[JUMLAH]]-NOTA[[#This Row],[DISC 1-]]-NOTA[[#This Row],[DISC 2-]])*NOTA[[#This Row],[DISC 3]])</f>
        <v/>
      </c>
      <c r="AB805" s="37" t="str">
        <f>IF(NOTA[[#This Row],[JUMLAH]]="","",NOTA[[#This Row],[DISC 1-]]+NOTA[[#This Row],[DISC 2-]]+NOTA[[#This Row],[DISC 3-]])</f>
        <v/>
      </c>
      <c r="AC805" s="37" t="str">
        <f>IF(NOTA[[#This Row],[JUMLAH]]="","",NOTA[[#This Row],[JUMLAH]]-NOTA[[#This Row],[DISC]])</f>
        <v/>
      </c>
      <c r="AD805" s="37"/>
      <c r="AE8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5" s="37" t="str">
        <f>IF(OR(NOTA[[#This Row],[QTY]]="",NOTA[[#This Row],[HARGA SATUAN]]="",),"",NOTA[[#This Row],[QTY]]*NOTA[[#This Row],[HARGA SATUAN]])</f>
        <v/>
      </c>
      <c r="AI805" s="26" t="str">
        <f ca="1">IF(NOTA[[#This Row],[ID_H]]="","",INDEX(NOTA[TANGGAL],MATCH(,INDIRECT(ADDRESS(ROW(NOTA[TANGGAL]),COLUMN(NOTA[TANGGAL]))&amp;":"&amp;ADDRESS(ROW(),COLUMN(NOTA[TANGGAL]))),-1)))</f>
        <v/>
      </c>
      <c r="AJ805" s="26" t="str">
        <f ca="1">IF(NOTA[[#This Row],[ID_H]]="","",INDEX(NOTA[TGL.NOTA],MATCH(,INDIRECT(ADDRESS(ROW(NOTA[TGL.NOTA]),COLUMN(NOTA[TGL.NOTA]))&amp;":"&amp;ADDRESS(ROW(),COLUMN(NOTA[TGL.NOTA]))),-1)))</f>
        <v/>
      </c>
      <c r="AK805" s="26" t="str">
        <f ca="1">IF(NOTA[[#This Row],[ID_H]]="","",INDEX(NOTA[NO.NOTA],MATCH(NOTA[[#This Row],[ID_H]],NOTA[ID_H],0)))</f>
        <v/>
      </c>
      <c r="AL805" s="28" t="str">
        <f ca="1">IF(NOTA[[#This Row],[NAMA BARANG]]="","",INDEX(NOTA[SUPPLIER],MATCH(,INDIRECT(ADDRESS(ROW(NOTA[ID]),COLUMN(NOTA[ID]))&amp;":"&amp;ADDRESS(ROW(),COLUMN(NOTA[ID]))),-1)))</f>
        <v/>
      </c>
      <c r="AM805" s="28" t="str">
        <f ca="1">IF(NOTA[[#This Row],[ID_H]]="","",IF(NOTA[[#This Row],[FAKTUR]]="",INDIRECT(ADDRESS(ROW()-1,COLUMN())),NOTA[[#This Row],[FAKTUR]]))</f>
        <v/>
      </c>
      <c r="AN805" s="25" t="str">
        <f ca="1">IF(NOTA[[#This Row],[ID]]="","",COUNTIF(NOTA[ID_H],NOTA[[#This Row],[ID_H]]))</f>
        <v/>
      </c>
      <c r="AO805" s="25" t="str">
        <f ca="1">IF(NOTA[[#This Row],[TGL.NOTA]]="",IF(NOTA[[#This Row],[SUPPLIER_H]]="","",AO804),MONTH(NOTA[[#This Row],[TGL.NOTA]]))</f>
        <v/>
      </c>
      <c r="AP8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5" s="25"/>
      <c r="AU805" s="25" t="str">
        <f>IF(NOTA[[#This Row],[CONCAT1]]="","",MATCH(NOTA[[#This Row],[CONCAT1]],[3]!db[NB NOTA_C],0))</f>
        <v/>
      </c>
      <c r="AV805" s="25" t="str">
        <f>IF(NOTA[[#This Row],[QTY/ CTN]]="","",TRUE)</f>
        <v/>
      </c>
      <c r="AW805" s="25" t="str">
        <f ca="1">IF(NOTA[[#This Row],[ID_H]]="","",IF(NOTA[[#This Row],[Column3]]=TRUE,NOTA[[#This Row],[QTY/ CTN]],INDEX([3]!db[QTY/ CTN],NOTA[[#This Row],[//DB]])))</f>
        <v/>
      </c>
      <c r="AX8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5" s="25" t="str">
        <f ca="1">IF(NOTA[[#This Row],[ID_H]]="","",MATCH(NOTA[[#This Row],[NB NOTA_C_QTY]],[3]!db[NB NOTA_C_QTY+F],0))</f>
        <v/>
      </c>
      <c r="AZ805" s="38" t="str">
        <f ca="1">IF(NOTA[[#This Row],[NB NOTA_C_QTY]]="","",ROW()-2)</f>
        <v/>
      </c>
    </row>
    <row r="806" spans="1:52" ht="20.100000000000001" customHeight="1">
      <c r="A8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6" s="25" t="str">
        <f ca="1">IF(NOTA[[#This Row],[NAMA BARANG]]="","",INDEX(NOTA[ID],MATCH(,INDIRECT(ADDRESS(ROW(NOTA[ID]),COLUMN(NOTA[ID]))&amp;":"&amp;ADDRESS(ROW(),COLUMN(NOTA[ID]))),-1)))</f>
        <v/>
      </c>
      <c r="E806" s="33"/>
      <c r="H806" s="34"/>
      <c r="Q806" s="29"/>
      <c r="R806" s="35"/>
      <c r="S806" s="36"/>
      <c r="V806" s="37"/>
      <c r="W806" s="32"/>
      <c r="X806" s="37" t="str">
        <f>IF(NOTA[[#This Row],[HARGA/ CTN]]="",NOTA[[#This Row],[JUMLAH_H]],NOTA[[#This Row],[HARGA/ CTN]]*IF(NOTA[[#This Row],[C]]="",0,NOTA[[#This Row],[C]]))</f>
        <v/>
      </c>
      <c r="Y806" s="37" t="str">
        <f>IF(NOTA[[#This Row],[JUMLAH]]="","",NOTA[[#This Row],[JUMLAH]]*NOTA[[#This Row],[DISC 1]])</f>
        <v/>
      </c>
      <c r="Z806" s="37" t="str">
        <f>IF(NOTA[[#This Row],[JUMLAH]]="","",(NOTA[[#This Row],[JUMLAH]]-NOTA[[#This Row],[DISC 1-]])*NOTA[[#This Row],[DISC 2]])</f>
        <v/>
      </c>
      <c r="AA806" s="37" t="str">
        <f>IF(NOTA[[#This Row],[JUMLAH]]="","",(NOTA[[#This Row],[JUMLAH]]-NOTA[[#This Row],[DISC 1-]]-NOTA[[#This Row],[DISC 2-]])*NOTA[[#This Row],[DISC 3]])</f>
        <v/>
      </c>
      <c r="AB806" s="37" t="str">
        <f>IF(NOTA[[#This Row],[JUMLAH]]="","",NOTA[[#This Row],[DISC 1-]]+NOTA[[#This Row],[DISC 2-]]+NOTA[[#This Row],[DISC 3-]])</f>
        <v/>
      </c>
      <c r="AC806" s="37" t="str">
        <f>IF(NOTA[[#This Row],[JUMLAH]]="","",NOTA[[#This Row],[JUMLAH]]-NOTA[[#This Row],[DISC]])</f>
        <v/>
      </c>
      <c r="AD806" s="37"/>
      <c r="AE8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6" s="37" t="str">
        <f>IF(OR(NOTA[[#This Row],[QTY]]="",NOTA[[#This Row],[HARGA SATUAN]]="",),"",NOTA[[#This Row],[QTY]]*NOTA[[#This Row],[HARGA SATUAN]])</f>
        <v/>
      </c>
      <c r="AI806" s="26" t="str">
        <f ca="1">IF(NOTA[[#This Row],[ID_H]]="","",INDEX(NOTA[TANGGAL],MATCH(,INDIRECT(ADDRESS(ROW(NOTA[TANGGAL]),COLUMN(NOTA[TANGGAL]))&amp;":"&amp;ADDRESS(ROW(),COLUMN(NOTA[TANGGAL]))),-1)))</f>
        <v/>
      </c>
      <c r="AJ806" s="26" t="str">
        <f ca="1">IF(NOTA[[#This Row],[ID_H]]="","",INDEX(NOTA[TGL.NOTA],MATCH(,INDIRECT(ADDRESS(ROW(NOTA[TGL.NOTA]),COLUMN(NOTA[TGL.NOTA]))&amp;":"&amp;ADDRESS(ROW(),COLUMN(NOTA[TGL.NOTA]))),-1)))</f>
        <v/>
      </c>
      <c r="AK806" s="26" t="str">
        <f ca="1">IF(NOTA[[#This Row],[ID_H]]="","",INDEX(NOTA[NO.NOTA],MATCH(NOTA[[#This Row],[ID_H]],NOTA[ID_H],0)))</f>
        <v/>
      </c>
      <c r="AL806" s="28" t="str">
        <f ca="1">IF(NOTA[[#This Row],[NAMA BARANG]]="","",INDEX(NOTA[SUPPLIER],MATCH(,INDIRECT(ADDRESS(ROW(NOTA[ID]),COLUMN(NOTA[ID]))&amp;":"&amp;ADDRESS(ROW(),COLUMN(NOTA[ID]))),-1)))</f>
        <v/>
      </c>
      <c r="AM806" s="28" t="str">
        <f ca="1">IF(NOTA[[#This Row],[ID_H]]="","",IF(NOTA[[#This Row],[FAKTUR]]="",INDIRECT(ADDRESS(ROW()-1,COLUMN())),NOTA[[#This Row],[FAKTUR]]))</f>
        <v/>
      </c>
      <c r="AN806" s="25" t="str">
        <f ca="1">IF(NOTA[[#This Row],[ID]]="","",COUNTIF(NOTA[ID_H],NOTA[[#This Row],[ID_H]]))</f>
        <v/>
      </c>
      <c r="AO806" s="25" t="str">
        <f ca="1">IF(NOTA[[#This Row],[TGL.NOTA]]="",IF(NOTA[[#This Row],[SUPPLIER_H]]="","",AO805),MONTH(NOTA[[#This Row],[TGL.NOTA]]))</f>
        <v/>
      </c>
      <c r="AP8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6" s="25"/>
      <c r="AU806" s="25" t="str">
        <f>IF(NOTA[[#This Row],[CONCAT1]]="","",MATCH(NOTA[[#This Row],[CONCAT1]],[3]!db[NB NOTA_C],0))</f>
        <v/>
      </c>
      <c r="AV806" s="25" t="str">
        <f>IF(NOTA[[#This Row],[QTY/ CTN]]="","",TRUE)</f>
        <v/>
      </c>
      <c r="AW806" s="25" t="str">
        <f ca="1">IF(NOTA[[#This Row],[ID_H]]="","",IF(NOTA[[#This Row],[Column3]]=TRUE,NOTA[[#This Row],[QTY/ CTN]],INDEX([3]!db[QTY/ CTN],NOTA[[#This Row],[//DB]])))</f>
        <v/>
      </c>
      <c r="AX8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6" s="25" t="str">
        <f ca="1">IF(NOTA[[#This Row],[ID_H]]="","",MATCH(NOTA[[#This Row],[NB NOTA_C_QTY]],[3]!db[NB NOTA_C_QTY+F],0))</f>
        <v/>
      </c>
      <c r="AZ806" s="38" t="str">
        <f ca="1">IF(NOTA[[#This Row],[NB NOTA_C_QTY]]="","",ROW()-2)</f>
        <v/>
      </c>
    </row>
    <row r="807" spans="1:52" ht="20.100000000000001" customHeight="1">
      <c r="A8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7" s="25" t="str">
        <f ca="1">IF(NOTA[[#This Row],[NAMA BARANG]]="","",INDEX(NOTA[ID],MATCH(,INDIRECT(ADDRESS(ROW(NOTA[ID]),COLUMN(NOTA[ID]))&amp;":"&amp;ADDRESS(ROW(),COLUMN(NOTA[ID]))),-1)))</f>
        <v/>
      </c>
      <c r="E807" s="33"/>
      <c r="H807" s="34"/>
      <c r="Q807" s="29"/>
      <c r="R807" s="35"/>
      <c r="S807" s="36"/>
      <c r="V807" s="37"/>
      <c r="W807" s="32"/>
      <c r="X807" s="37" t="str">
        <f>IF(NOTA[[#This Row],[HARGA/ CTN]]="",NOTA[[#This Row],[JUMLAH_H]],NOTA[[#This Row],[HARGA/ CTN]]*IF(NOTA[[#This Row],[C]]="",0,NOTA[[#This Row],[C]]))</f>
        <v/>
      </c>
      <c r="Y807" s="37" t="str">
        <f>IF(NOTA[[#This Row],[JUMLAH]]="","",NOTA[[#This Row],[JUMLAH]]*NOTA[[#This Row],[DISC 1]])</f>
        <v/>
      </c>
      <c r="Z807" s="37" t="str">
        <f>IF(NOTA[[#This Row],[JUMLAH]]="","",(NOTA[[#This Row],[JUMLAH]]-NOTA[[#This Row],[DISC 1-]])*NOTA[[#This Row],[DISC 2]])</f>
        <v/>
      </c>
      <c r="AA807" s="37" t="str">
        <f>IF(NOTA[[#This Row],[JUMLAH]]="","",(NOTA[[#This Row],[JUMLAH]]-NOTA[[#This Row],[DISC 1-]]-NOTA[[#This Row],[DISC 2-]])*NOTA[[#This Row],[DISC 3]])</f>
        <v/>
      </c>
      <c r="AB807" s="37" t="str">
        <f>IF(NOTA[[#This Row],[JUMLAH]]="","",NOTA[[#This Row],[DISC 1-]]+NOTA[[#This Row],[DISC 2-]]+NOTA[[#This Row],[DISC 3-]])</f>
        <v/>
      </c>
      <c r="AC807" s="37" t="str">
        <f>IF(NOTA[[#This Row],[JUMLAH]]="","",NOTA[[#This Row],[JUMLAH]]-NOTA[[#This Row],[DISC]])</f>
        <v/>
      </c>
      <c r="AD807" s="37"/>
      <c r="AE8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7" s="37" t="str">
        <f>IF(OR(NOTA[[#This Row],[QTY]]="",NOTA[[#This Row],[HARGA SATUAN]]="",),"",NOTA[[#This Row],[QTY]]*NOTA[[#This Row],[HARGA SATUAN]])</f>
        <v/>
      </c>
      <c r="AI807" s="26" t="str">
        <f ca="1">IF(NOTA[[#This Row],[ID_H]]="","",INDEX(NOTA[TANGGAL],MATCH(,INDIRECT(ADDRESS(ROW(NOTA[TANGGAL]),COLUMN(NOTA[TANGGAL]))&amp;":"&amp;ADDRESS(ROW(),COLUMN(NOTA[TANGGAL]))),-1)))</f>
        <v/>
      </c>
      <c r="AJ807" s="26" t="str">
        <f ca="1">IF(NOTA[[#This Row],[ID_H]]="","",INDEX(NOTA[TGL.NOTA],MATCH(,INDIRECT(ADDRESS(ROW(NOTA[TGL.NOTA]),COLUMN(NOTA[TGL.NOTA]))&amp;":"&amp;ADDRESS(ROW(),COLUMN(NOTA[TGL.NOTA]))),-1)))</f>
        <v/>
      </c>
      <c r="AK807" s="26" t="str">
        <f ca="1">IF(NOTA[[#This Row],[ID_H]]="","",INDEX(NOTA[NO.NOTA],MATCH(NOTA[[#This Row],[ID_H]],NOTA[ID_H],0)))</f>
        <v/>
      </c>
      <c r="AL807" s="28" t="str">
        <f ca="1">IF(NOTA[[#This Row],[NAMA BARANG]]="","",INDEX(NOTA[SUPPLIER],MATCH(,INDIRECT(ADDRESS(ROW(NOTA[ID]),COLUMN(NOTA[ID]))&amp;":"&amp;ADDRESS(ROW(),COLUMN(NOTA[ID]))),-1)))</f>
        <v/>
      </c>
      <c r="AM807" s="28" t="str">
        <f ca="1">IF(NOTA[[#This Row],[ID_H]]="","",IF(NOTA[[#This Row],[FAKTUR]]="",INDIRECT(ADDRESS(ROW()-1,COLUMN())),NOTA[[#This Row],[FAKTUR]]))</f>
        <v/>
      </c>
      <c r="AN807" s="25" t="str">
        <f ca="1">IF(NOTA[[#This Row],[ID]]="","",COUNTIF(NOTA[ID_H],NOTA[[#This Row],[ID_H]]))</f>
        <v/>
      </c>
      <c r="AO807" s="25" t="str">
        <f ca="1">IF(NOTA[[#This Row],[TGL.NOTA]]="",IF(NOTA[[#This Row],[SUPPLIER_H]]="","",AO806),MONTH(NOTA[[#This Row],[TGL.NOTA]]))</f>
        <v/>
      </c>
      <c r="AP8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7" s="25"/>
      <c r="AU807" s="25" t="str">
        <f>IF(NOTA[[#This Row],[CONCAT1]]="","",MATCH(NOTA[[#This Row],[CONCAT1]],[3]!db[NB NOTA_C],0))</f>
        <v/>
      </c>
      <c r="AV807" s="25" t="str">
        <f>IF(NOTA[[#This Row],[QTY/ CTN]]="","",TRUE)</f>
        <v/>
      </c>
      <c r="AW807" s="25" t="str">
        <f ca="1">IF(NOTA[[#This Row],[ID_H]]="","",IF(NOTA[[#This Row],[Column3]]=TRUE,NOTA[[#This Row],[QTY/ CTN]],INDEX([3]!db[QTY/ CTN],NOTA[[#This Row],[//DB]])))</f>
        <v/>
      </c>
      <c r="AX8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7" s="25" t="str">
        <f ca="1">IF(NOTA[[#This Row],[ID_H]]="","",MATCH(NOTA[[#This Row],[NB NOTA_C_QTY]],[3]!db[NB NOTA_C_QTY+F],0))</f>
        <v/>
      </c>
      <c r="AZ807" s="38" t="str">
        <f ca="1">IF(NOTA[[#This Row],[NB NOTA_C_QTY]]="","",ROW()-2)</f>
        <v/>
      </c>
    </row>
    <row r="808" spans="1:52" ht="20.100000000000001" customHeight="1">
      <c r="A8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8" s="25" t="str">
        <f ca="1">IF(NOTA[[#This Row],[NAMA BARANG]]="","",INDEX(NOTA[ID],MATCH(,INDIRECT(ADDRESS(ROW(NOTA[ID]),COLUMN(NOTA[ID]))&amp;":"&amp;ADDRESS(ROW(),COLUMN(NOTA[ID]))),-1)))</f>
        <v/>
      </c>
      <c r="E808" s="33"/>
      <c r="H808" s="34"/>
      <c r="Q808" s="29"/>
      <c r="R808" s="35"/>
      <c r="S808" s="36"/>
      <c r="V808" s="37"/>
      <c r="W808" s="32"/>
      <c r="X808" s="37" t="str">
        <f>IF(NOTA[[#This Row],[HARGA/ CTN]]="",NOTA[[#This Row],[JUMLAH_H]],NOTA[[#This Row],[HARGA/ CTN]]*IF(NOTA[[#This Row],[C]]="",0,NOTA[[#This Row],[C]]))</f>
        <v/>
      </c>
      <c r="Y808" s="37" t="str">
        <f>IF(NOTA[[#This Row],[JUMLAH]]="","",NOTA[[#This Row],[JUMLAH]]*NOTA[[#This Row],[DISC 1]])</f>
        <v/>
      </c>
      <c r="Z808" s="37" t="str">
        <f>IF(NOTA[[#This Row],[JUMLAH]]="","",(NOTA[[#This Row],[JUMLAH]]-NOTA[[#This Row],[DISC 1-]])*NOTA[[#This Row],[DISC 2]])</f>
        <v/>
      </c>
      <c r="AA808" s="37" t="str">
        <f>IF(NOTA[[#This Row],[JUMLAH]]="","",(NOTA[[#This Row],[JUMLAH]]-NOTA[[#This Row],[DISC 1-]]-NOTA[[#This Row],[DISC 2-]])*NOTA[[#This Row],[DISC 3]])</f>
        <v/>
      </c>
      <c r="AB808" s="37" t="str">
        <f>IF(NOTA[[#This Row],[JUMLAH]]="","",NOTA[[#This Row],[DISC 1-]]+NOTA[[#This Row],[DISC 2-]]+NOTA[[#This Row],[DISC 3-]])</f>
        <v/>
      </c>
      <c r="AC808" s="37" t="str">
        <f>IF(NOTA[[#This Row],[JUMLAH]]="","",NOTA[[#This Row],[JUMLAH]]-NOTA[[#This Row],[DISC]])</f>
        <v/>
      </c>
      <c r="AD808" s="37"/>
      <c r="AE8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8" s="37" t="str">
        <f>IF(OR(NOTA[[#This Row],[QTY]]="",NOTA[[#This Row],[HARGA SATUAN]]="",),"",NOTA[[#This Row],[QTY]]*NOTA[[#This Row],[HARGA SATUAN]])</f>
        <v/>
      </c>
      <c r="AI808" s="26" t="str">
        <f ca="1">IF(NOTA[[#This Row],[ID_H]]="","",INDEX(NOTA[TANGGAL],MATCH(,INDIRECT(ADDRESS(ROW(NOTA[TANGGAL]),COLUMN(NOTA[TANGGAL]))&amp;":"&amp;ADDRESS(ROW(),COLUMN(NOTA[TANGGAL]))),-1)))</f>
        <v/>
      </c>
      <c r="AJ808" s="26" t="str">
        <f ca="1">IF(NOTA[[#This Row],[ID_H]]="","",INDEX(NOTA[TGL.NOTA],MATCH(,INDIRECT(ADDRESS(ROW(NOTA[TGL.NOTA]),COLUMN(NOTA[TGL.NOTA]))&amp;":"&amp;ADDRESS(ROW(),COLUMN(NOTA[TGL.NOTA]))),-1)))</f>
        <v/>
      </c>
      <c r="AK808" s="26" t="str">
        <f ca="1">IF(NOTA[[#This Row],[ID_H]]="","",INDEX(NOTA[NO.NOTA],MATCH(NOTA[[#This Row],[ID_H]],NOTA[ID_H],0)))</f>
        <v/>
      </c>
      <c r="AL808" s="28" t="str">
        <f ca="1">IF(NOTA[[#This Row],[NAMA BARANG]]="","",INDEX(NOTA[SUPPLIER],MATCH(,INDIRECT(ADDRESS(ROW(NOTA[ID]),COLUMN(NOTA[ID]))&amp;":"&amp;ADDRESS(ROW(),COLUMN(NOTA[ID]))),-1)))</f>
        <v/>
      </c>
      <c r="AM808" s="28" t="str">
        <f ca="1">IF(NOTA[[#This Row],[ID_H]]="","",IF(NOTA[[#This Row],[FAKTUR]]="",INDIRECT(ADDRESS(ROW()-1,COLUMN())),NOTA[[#This Row],[FAKTUR]]))</f>
        <v/>
      </c>
      <c r="AN808" s="25" t="str">
        <f ca="1">IF(NOTA[[#This Row],[ID]]="","",COUNTIF(NOTA[ID_H],NOTA[[#This Row],[ID_H]]))</f>
        <v/>
      </c>
      <c r="AO808" s="25" t="str">
        <f ca="1">IF(NOTA[[#This Row],[TGL.NOTA]]="",IF(NOTA[[#This Row],[SUPPLIER_H]]="","",AO807),MONTH(NOTA[[#This Row],[TGL.NOTA]]))</f>
        <v/>
      </c>
      <c r="AP8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8" s="25"/>
      <c r="AU808" s="25" t="str">
        <f>IF(NOTA[[#This Row],[CONCAT1]]="","",MATCH(NOTA[[#This Row],[CONCAT1]],[3]!db[NB NOTA_C],0))</f>
        <v/>
      </c>
      <c r="AV808" s="25" t="str">
        <f>IF(NOTA[[#This Row],[QTY/ CTN]]="","",TRUE)</f>
        <v/>
      </c>
      <c r="AW808" s="25" t="str">
        <f ca="1">IF(NOTA[[#This Row],[ID_H]]="","",IF(NOTA[[#This Row],[Column3]]=TRUE,NOTA[[#This Row],[QTY/ CTN]],INDEX([3]!db[QTY/ CTN],NOTA[[#This Row],[//DB]])))</f>
        <v/>
      </c>
      <c r="AX8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8" s="25" t="str">
        <f ca="1">IF(NOTA[[#This Row],[ID_H]]="","",MATCH(NOTA[[#This Row],[NB NOTA_C_QTY]],[3]!db[NB NOTA_C_QTY+F],0))</f>
        <v/>
      </c>
      <c r="AZ808" s="38" t="str">
        <f ca="1">IF(NOTA[[#This Row],[NB NOTA_C_QTY]]="","",ROW()-2)</f>
        <v/>
      </c>
    </row>
    <row r="809" spans="1:52" ht="20.100000000000001" customHeight="1">
      <c r="A8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9" s="25" t="str">
        <f ca="1">IF(NOTA[[#This Row],[NAMA BARANG]]="","",INDEX(NOTA[ID],MATCH(,INDIRECT(ADDRESS(ROW(NOTA[ID]),COLUMN(NOTA[ID]))&amp;":"&amp;ADDRESS(ROW(),COLUMN(NOTA[ID]))),-1)))</f>
        <v/>
      </c>
      <c r="E809" s="33"/>
      <c r="H809" s="34"/>
      <c r="Q809" s="29"/>
      <c r="R809" s="35"/>
      <c r="S809" s="36"/>
      <c r="V809" s="37"/>
      <c r="W809" s="32"/>
      <c r="X809" s="37" t="str">
        <f>IF(NOTA[[#This Row],[HARGA/ CTN]]="",NOTA[[#This Row],[JUMLAH_H]],NOTA[[#This Row],[HARGA/ CTN]]*IF(NOTA[[#This Row],[C]]="",0,NOTA[[#This Row],[C]]))</f>
        <v/>
      </c>
      <c r="Y809" s="37" t="str">
        <f>IF(NOTA[[#This Row],[JUMLAH]]="","",NOTA[[#This Row],[JUMLAH]]*NOTA[[#This Row],[DISC 1]])</f>
        <v/>
      </c>
      <c r="Z809" s="37" t="str">
        <f>IF(NOTA[[#This Row],[JUMLAH]]="","",(NOTA[[#This Row],[JUMLAH]]-NOTA[[#This Row],[DISC 1-]])*NOTA[[#This Row],[DISC 2]])</f>
        <v/>
      </c>
      <c r="AA809" s="37" t="str">
        <f>IF(NOTA[[#This Row],[JUMLAH]]="","",(NOTA[[#This Row],[JUMLAH]]-NOTA[[#This Row],[DISC 1-]]-NOTA[[#This Row],[DISC 2-]])*NOTA[[#This Row],[DISC 3]])</f>
        <v/>
      </c>
      <c r="AB809" s="37" t="str">
        <f>IF(NOTA[[#This Row],[JUMLAH]]="","",NOTA[[#This Row],[DISC 1-]]+NOTA[[#This Row],[DISC 2-]]+NOTA[[#This Row],[DISC 3-]])</f>
        <v/>
      </c>
      <c r="AC809" s="37" t="str">
        <f>IF(NOTA[[#This Row],[JUMLAH]]="","",NOTA[[#This Row],[JUMLAH]]-NOTA[[#This Row],[DISC]])</f>
        <v/>
      </c>
      <c r="AD809" s="37"/>
      <c r="AE8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9" s="37" t="str">
        <f>IF(OR(NOTA[[#This Row],[QTY]]="",NOTA[[#This Row],[HARGA SATUAN]]="",),"",NOTA[[#This Row],[QTY]]*NOTA[[#This Row],[HARGA SATUAN]])</f>
        <v/>
      </c>
      <c r="AI809" s="26" t="str">
        <f ca="1">IF(NOTA[[#This Row],[ID_H]]="","",INDEX(NOTA[TANGGAL],MATCH(,INDIRECT(ADDRESS(ROW(NOTA[TANGGAL]),COLUMN(NOTA[TANGGAL]))&amp;":"&amp;ADDRESS(ROW(),COLUMN(NOTA[TANGGAL]))),-1)))</f>
        <v/>
      </c>
      <c r="AJ809" s="26" t="str">
        <f ca="1">IF(NOTA[[#This Row],[ID_H]]="","",INDEX(NOTA[TGL.NOTA],MATCH(,INDIRECT(ADDRESS(ROW(NOTA[TGL.NOTA]),COLUMN(NOTA[TGL.NOTA]))&amp;":"&amp;ADDRESS(ROW(),COLUMN(NOTA[TGL.NOTA]))),-1)))</f>
        <v/>
      </c>
      <c r="AK809" s="26" t="str">
        <f ca="1">IF(NOTA[[#This Row],[ID_H]]="","",INDEX(NOTA[NO.NOTA],MATCH(NOTA[[#This Row],[ID_H]],NOTA[ID_H],0)))</f>
        <v/>
      </c>
      <c r="AL809" s="28" t="str">
        <f ca="1">IF(NOTA[[#This Row],[NAMA BARANG]]="","",INDEX(NOTA[SUPPLIER],MATCH(,INDIRECT(ADDRESS(ROW(NOTA[ID]),COLUMN(NOTA[ID]))&amp;":"&amp;ADDRESS(ROW(),COLUMN(NOTA[ID]))),-1)))</f>
        <v/>
      </c>
      <c r="AM809" s="28" t="str">
        <f ca="1">IF(NOTA[[#This Row],[ID_H]]="","",IF(NOTA[[#This Row],[FAKTUR]]="",INDIRECT(ADDRESS(ROW()-1,COLUMN())),NOTA[[#This Row],[FAKTUR]]))</f>
        <v/>
      </c>
      <c r="AN809" s="25" t="str">
        <f ca="1">IF(NOTA[[#This Row],[ID]]="","",COUNTIF(NOTA[ID_H],NOTA[[#This Row],[ID_H]]))</f>
        <v/>
      </c>
      <c r="AO809" s="25" t="str">
        <f ca="1">IF(NOTA[[#This Row],[TGL.NOTA]]="",IF(NOTA[[#This Row],[SUPPLIER_H]]="","",AO808),MONTH(NOTA[[#This Row],[TGL.NOTA]]))</f>
        <v/>
      </c>
      <c r="AP8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9" s="25"/>
      <c r="AU809" s="25" t="str">
        <f>IF(NOTA[[#This Row],[CONCAT1]]="","",MATCH(NOTA[[#This Row],[CONCAT1]],[3]!db[NB NOTA_C],0))</f>
        <v/>
      </c>
      <c r="AV809" s="25" t="str">
        <f>IF(NOTA[[#This Row],[QTY/ CTN]]="","",TRUE)</f>
        <v/>
      </c>
      <c r="AW809" s="25" t="str">
        <f ca="1">IF(NOTA[[#This Row],[ID_H]]="","",IF(NOTA[[#This Row],[Column3]]=TRUE,NOTA[[#This Row],[QTY/ CTN]],INDEX([3]!db[QTY/ CTN],NOTA[[#This Row],[//DB]])))</f>
        <v/>
      </c>
      <c r="AX8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9" s="25" t="str">
        <f ca="1">IF(NOTA[[#This Row],[ID_H]]="","",MATCH(NOTA[[#This Row],[NB NOTA_C_QTY]],[3]!db[NB NOTA_C_QTY+F],0))</f>
        <v/>
      </c>
      <c r="AZ809" s="38" t="str">
        <f ca="1">IF(NOTA[[#This Row],[NB NOTA_C_QTY]]="","",ROW()-2)</f>
        <v/>
      </c>
    </row>
    <row r="810" spans="1:52" ht="20.100000000000001" customHeight="1">
      <c r="A8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0" s="25" t="str">
        <f ca="1">IF(NOTA[[#This Row],[NAMA BARANG]]="","",INDEX(NOTA[ID],MATCH(,INDIRECT(ADDRESS(ROW(NOTA[ID]),COLUMN(NOTA[ID]))&amp;":"&amp;ADDRESS(ROW(),COLUMN(NOTA[ID]))),-1)))</f>
        <v/>
      </c>
      <c r="E810" s="33"/>
      <c r="H810" s="34"/>
      <c r="Q810" s="29"/>
      <c r="R810" s="35"/>
      <c r="S810" s="36"/>
      <c r="V810" s="37"/>
      <c r="W810" s="32"/>
      <c r="X810" s="37" t="str">
        <f>IF(NOTA[[#This Row],[HARGA/ CTN]]="",NOTA[[#This Row],[JUMLAH_H]],NOTA[[#This Row],[HARGA/ CTN]]*IF(NOTA[[#This Row],[C]]="",0,NOTA[[#This Row],[C]]))</f>
        <v/>
      </c>
      <c r="Y810" s="37" t="str">
        <f>IF(NOTA[[#This Row],[JUMLAH]]="","",NOTA[[#This Row],[JUMLAH]]*NOTA[[#This Row],[DISC 1]])</f>
        <v/>
      </c>
      <c r="Z810" s="37" t="str">
        <f>IF(NOTA[[#This Row],[JUMLAH]]="","",(NOTA[[#This Row],[JUMLAH]]-NOTA[[#This Row],[DISC 1-]])*NOTA[[#This Row],[DISC 2]])</f>
        <v/>
      </c>
      <c r="AA810" s="37" t="str">
        <f>IF(NOTA[[#This Row],[JUMLAH]]="","",(NOTA[[#This Row],[JUMLAH]]-NOTA[[#This Row],[DISC 1-]]-NOTA[[#This Row],[DISC 2-]])*NOTA[[#This Row],[DISC 3]])</f>
        <v/>
      </c>
      <c r="AB810" s="37" t="str">
        <f>IF(NOTA[[#This Row],[JUMLAH]]="","",NOTA[[#This Row],[DISC 1-]]+NOTA[[#This Row],[DISC 2-]]+NOTA[[#This Row],[DISC 3-]])</f>
        <v/>
      </c>
      <c r="AC810" s="37" t="str">
        <f>IF(NOTA[[#This Row],[JUMLAH]]="","",NOTA[[#This Row],[JUMLAH]]-NOTA[[#This Row],[DISC]])</f>
        <v/>
      </c>
      <c r="AD810" s="37"/>
      <c r="AE8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0" s="37" t="str">
        <f>IF(OR(NOTA[[#This Row],[QTY]]="",NOTA[[#This Row],[HARGA SATUAN]]="",),"",NOTA[[#This Row],[QTY]]*NOTA[[#This Row],[HARGA SATUAN]])</f>
        <v/>
      </c>
      <c r="AI810" s="26" t="str">
        <f ca="1">IF(NOTA[[#This Row],[ID_H]]="","",INDEX(NOTA[TANGGAL],MATCH(,INDIRECT(ADDRESS(ROW(NOTA[TANGGAL]),COLUMN(NOTA[TANGGAL]))&amp;":"&amp;ADDRESS(ROW(),COLUMN(NOTA[TANGGAL]))),-1)))</f>
        <v/>
      </c>
      <c r="AJ810" s="26" t="str">
        <f ca="1">IF(NOTA[[#This Row],[ID_H]]="","",INDEX(NOTA[TGL.NOTA],MATCH(,INDIRECT(ADDRESS(ROW(NOTA[TGL.NOTA]),COLUMN(NOTA[TGL.NOTA]))&amp;":"&amp;ADDRESS(ROW(),COLUMN(NOTA[TGL.NOTA]))),-1)))</f>
        <v/>
      </c>
      <c r="AK810" s="26" t="str">
        <f ca="1">IF(NOTA[[#This Row],[ID_H]]="","",INDEX(NOTA[NO.NOTA],MATCH(NOTA[[#This Row],[ID_H]],NOTA[ID_H],0)))</f>
        <v/>
      </c>
      <c r="AL810" s="28" t="str">
        <f ca="1">IF(NOTA[[#This Row],[NAMA BARANG]]="","",INDEX(NOTA[SUPPLIER],MATCH(,INDIRECT(ADDRESS(ROW(NOTA[ID]),COLUMN(NOTA[ID]))&amp;":"&amp;ADDRESS(ROW(),COLUMN(NOTA[ID]))),-1)))</f>
        <v/>
      </c>
      <c r="AM810" s="28" t="str">
        <f ca="1">IF(NOTA[[#This Row],[ID_H]]="","",IF(NOTA[[#This Row],[FAKTUR]]="",INDIRECT(ADDRESS(ROW()-1,COLUMN())),NOTA[[#This Row],[FAKTUR]]))</f>
        <v/>
      </c>
      <c r="AN810" s="25" t="str">
        <f ca="1">IF(NOTA[[#This Row],[ID]]="","",COUNTIF(NOTA[ID_H],NOTA[[#This Row],[ID_H]]))</f>
        <v/>
      </c>
      <c r="AO810" s="25" t="str">
        <f ca="1">IF(NOTA[[#This Row],[TGL.NOTA]]="",IF(NOTA[[#This Row],[SUPPLIER_H]]="","",AO809),MONTH(NOTA[[#This Row],[TGL.NOTA]]))</f>
        <v/>
      </c>
      <c r="AP8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0" s="25"/>
      <c r="AU810" s="25" t="str">
        <f>IF(NOTA[[#This Row],[CONCAT1]]="","",MATCH(NOTA[[#This Row],[CONCAT1]],[3]!db[NB NOTA_C],0))</f>
        <v/>
      </c>
      <c r="AV810" s="25" t="str">
        <f>IF(NOTA[[#This Row],[QTY/ CTN]]="","",TRUE)</f>
        <v/>
      </c>
      <c r="AW810" s="25" t="str">
        <f ca="1">IF(NOTA[[#This Row],[ID_H]]="","",IF(NOTA[[#This Row],[Column3]]=TRUE,NOTA[[#This Row],[QTY/ CTN]],INDEX([3]!db[QTY/ CTN],NOTA[[#This Row],[//DB]])))</f>
        <v/>
      </c>
      <c r="AX8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0" s="25" t="str">
        <f ca="1">IF(NOTA[[#This Row],[ID_H]]="","",MATCH(NOTA[[#This Row],[NB NOTA_C_QTY]],[3]!db[NB NOTA_C_QTY+F],0))</f>
        <v/>
      </c>
      <c r="AZ810" s="38" t="str">
        <f ca="1">IF(NOTA[[#This Row],[NB NOTA_C_QTY]]="","",ROW()-2)</f>
        <v/>
      </c>
    </row>
    <row r="811" spans="1:52" ht="20.100000000000001" customHeight="1">
      <c r="A8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1" s="25" t="str">
        <f ca="1">IF(NOTA[[#This Row],[NAMA BARANG]]="","",INDEX(NOTA[ID],MATCH(,INDIRECT(ADDRESS(ROW(NOTA[ID]),COLUMN(NOTA[ID]))&amp;":"&amp;ADDRESS(ROW(),COLUMN(NOTA[ID]))),-1)))</f>
        <v/>
      </c>
      <c r="E811" s="33"/>
      <c r="H811" s="34"/>
      <c r="Q811" s="29"/>
      <c r="R811" s="35"/>
      <c r="S811" s="36"/>
      <c r="V811" s="37"/>
      <c r="W811" s="32"/>
      <c r="X811" s="37" t="str">
        <f>IF(NOTA[[#This Row],[HARGA/ CTN]]="",NOTA[[#This Row],[JUMLAH_H]],NOTA[[#This Row],[HARGA/ CTN]]*IF(NOTA[[#This Row],[C]]="",0,NOTA[[#This Row],[C]]))</f>
        <v/>
      </c>
      <c r="Y811" s="37" t="str">
        <f>IF(NOTA[[#This Row],[JUMLAH]]="","",NOTA[[#This Row],[JUMLAH]]*NOTA[[#This Row],[DISC 1]])</f>
        <v/>
      </c>
      <c r="Z811" s="37" t="str">
        <f>IF(NOTA[[#This Row],[JUMLAH]]="","",(NOTA[[#This Row],[JUMLAH]]-NOTA[[#This Row],[DISC 1-]])*NOTA[[#This Row],[DISC 2]])</f>
        <v/>
      </c>
      <c r="AA811" s="37" t="str">
        <f>IF(NOTA[[#This Row],[JUMLAH]]="","",(NOTA[[#This Row],[JUMLAH]]-NOTA[[#This Row],[DISC 1-]]-NOTA[[#This Row],[DISC 2-]])*NOTA[[#This Row],[DISC 3]])</f>
        <v/>
      </c>
      <c r="AB811" s="37" t="str">
        <f>IF(NOTA[[#This Row],[JUMLAH]]="","",NOTA[[#This Row],[DISC 1-]]+NOTA[[#This Row],[DISC 2-]]+NOTA[[#This Row],[DISC 3-]])</f>
        <v/>
      </c>
      <c r="AC811" s="37" t="str">
        <f>IF(NOTA[[#This Row],[JUMLAH]]="","",NOTA[[#This Row],[JUMLAH]]-NOTA[[#This Row],[DISC]])</f>
        <v/>
      </c>
      <c r="AD811" s="37"/>
      <c r="AE8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1" s="37" t="str">
        <f>IF(OR(NOTA[[#This Row],[QTY]]="",NOTA[[#This Row],[HARGA SATUAN]]="",),"",NOTA[[#This Row],[QTY]]*NOTA[[#This Row],[HARGA SATUAN]])</f>
        <v/>
      </c>
      <c r="AI811" s="26" t="str">
        <f ca="1">IF(NOTA[[#This Row],[ID_H]]="","",INDEX(NOTA[TANGGAL],MATCH(,INDIRECT(ADDRESS(ROW(NOTA[TANGGAL]),COLUMN(NOTA[TANGGAL]))&amp;":"&amp;ADDRESS(ROW(),COLUMN(NOTA[TANGGAL]))),-1)))</f>
        <v/>
      </c>
      <c r="AJ811" s="26" t="str">
        <f ca="1">IF(NOTA[[#This Row],[ID_H]]="","",INDEX(NOTA[TGL.NOTA],MATCH(,INDIRECT(ADDRESS(ROW(NOTA[TGL.NOTA]),COLUMN(NOTA[TGL.NOTA]))&amp;":"&amp;ADDRESS(ROW(),COLUMN(NOTA[TGL.NOTA]))),-1)))</f>
        <v/>
      </c>
      <c r="AK811" s="26" t="str">
        <f ca="1">IF(NOTA[[#This Row],[ID_H]]="","",INDEX(NOTA[NO.NOTA],MATCH(NOTA[[#This Row],[ID_H]],NOTA[ID_H],0)))</f>
        <v/>
      </c>
      <c r="AL811" s="28" t="str">
        <f ca="1">IF(NOTA[[#This Row],[NAMA BARANG]]="","",INDEX(NOTA[SUPPLIER],MATCH(,INDIRECT(ADDRESS(ROW(NOTA[ID]),COLUMN(NOTA[ID]))&amp;":"&amp;ADDRESS(ROW(),COLUMN(NOTA[ID]))),-1)))</f>
        <v/>
      </c>
      <c r="AM811" s="28" t="str">
        <f ca="1">IF(NOTA[[#This Row],[ID_H]]="","",IF(NOTA[[#This Row],[FAKTUR]]="",INDIRECT(ADDRESS(ROW()-1,COLUMN())),NOTA[[#This Row],[FAKTUR]]))</f>
        <v/>
      </c>
      <c r="AN811" s="25" t="str">
        <f ca="1">IF(NOTA[[#This Row],[ID]]="","",COUNTIF(NOTA[ID_H],NOTA[[#This Row],[ID_H]]))</f>
        <v/>
      </c>
      <c r="AO811" s="25" t="str">
        <f ca="1">IF(NOTA[[#This Row],[TGL.NOTA]]="",IF(NOTA[[#This Row],[SUPPLIER_H]]="","",AO810),MONTH(NOTA[[#This Row],[TGL.NOTA]]))</f>
        <v/>
      </c>
      <c r="AP8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1" s="25"/>
      <c r="AU811" s="25" t="str">
        <f>IF(NOTA[[#This Row],[CONCAT1]]="","",MATCH(NOTA[[#This Row],[CONCAT1]],[3]!db[NB NOTA_C],0))</f>
        <v/>
      </c>
      <c r="AV811" s="25" t="str">
        <f>IF(NOTA[[#This Row],[QTY/ CTN]]="","",TRUE)</f>
        <v/>
      </c>
      <c r="AW811" s="25" t="str">
        <f ca="1">IF(NOTA[[#This Row],[ID_H]]="","",IF(NOTA[[#This Row],[Column3]]=TRUE,NOTA[[#This Row],[QTY/ CTN]],INDEX([3]!db[QTY/ CTN],NOTA[[#This Row],[//DB]])))</f>
        <v/>
      </c>
      <c r="AX8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1" s="25" t="str">
        <f ca="1">IF(NOTA[[#This Row],[ID_H]]="","",MATCH(NOTA[[#This Row],[NB NOTA_C_QTY]],[3]!db[NB NOTA_C_QTY+F],0))</f>
        <v/>
      </c>
      <c r="AZ811" s="38" t="str">
        <f ca="1">IF(NOTA[[#This Row],[NB NOTA_C_QTY]]="","",ROW()-2)</f>
        <v/>
      </c>
    </row>
    <row r="812" spans="1:52" ht="20.100000000000001" customHeight="1">
      <c r="A8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2" s="25" t="str">
        <f ca="1">IF(NOTA[[#This Row],[NAMA BARANG]]="","",INDEX(NOTA[ID],MATCH(,INDIRECT(ADDRESS(ROW(NOTA[ID]),COLUMN(NOTA[ID]))&amp;":"&amp;ADDRESS(ROW(),COLUMN(NOTA[ID]))),-1)))</f>
        <v/>
      </c>
      <c r="E812" s="33"/>
      <c r="H812" s="34"/>
      <c r="Q812" s="29"/>
      <c r="R812" s="35"/>
      <c r="S812" s="36"/>
      <c r="V812" s="37"/>
      <c r="W812" s="32"/>
      <c r="X812" s="37" t="str">
        <f>IF(NOTA[[#This Row],[HARGA/ CTN]]="",NOTA[[#This Row],[JUMLAH_H]],NOTA[[#This Row],[HARGA/ CTN]]*IF(NOTA[[#This Row],[C]]="",0,NOTA[[#This Row],[C]]))</f>
        <v/>
      </c>
      <c r="Y812" s="37" t="str">
        <f>IF(NOTA[[#This Row],[JUMLAH]]="","",NOTA[[#This Row],[JUMLAH]]*NOTA[[#This Row],[DISC 1]])</f>
        <v/>
      </c>
      <c r="Z812" s="37" t="str">
        <f>IF(NOTA[[#This Row],[JUMLAH]]="","",(NOTA[[#This Row],[JUMLAH]]-NOTA[[#This Row],[DISC 1-]])*NOTA[[#This Row],[DISC 2]])</f>
        <v/>
      </c>
      <c r="AA812" s="37" t="str">
        <f>IF(NOTA[[#This Row],[JUMLAH]]="","",(NOTA[[#This Row],[JUMLAH]]-NOTA[[#This Row],[DISC 1-]]-NOTA[[#This Row],[DISC 2-]])*NOTA[[#This Row],[DISC 3]])</f>
        <v/>
      </c>
      <c r="AB812" s="37" t="str">
        <f>IF(NOTA[[#This Row],[JUMLAH]]="","",NOTA[[#This Row],[DISC 1-]]+NOTA[[#This Row],[DISC 2-]]+NOTA[[#This Row],[DISC 3-]])</f>
        <v/>
      </c>
      <c r="AC812" s="37" t="str">
        <f>IF(NOTA[[#This Row],[JUMLAH]]="","",NOTA[[#This Row],[JUMLAH]]-NOTA[[#This Row],[DISC]])</f>
        <v/>
      </c>
      <c r="AD812" s="37"/>
      <c r="AE8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2" s="37" t="str">
        <f>IF(OR(NOTA[[#This Row],[QTY]]="",NOTA[[#This Row],[HARGA SATUAN]]="",),"",NOTA[[#This Row],[QTY]]*NOTA[[#This Row],[HARGA SATUAN]])</f>
        <v/>
      </c>
      <c r="AI812" s="26" t="str">
        <f ca="1">IF(NOTA[[#This Row],[ID_H]]="","",INDEX(NOTA[TANGGAL],MATCH(,INDIRECT(ADDRESS(ROW(NOTA[TANGGAL]),COLUMN(NOTA[TANGGAL]))&amp;":"&amp;ADDRESS(ROW(),COLUMN(NOTA[TANGGAL]))),-1)))</f>
        <v/>
      </c>
      <c r="AJ812" s="26" t="str">
        <f ca="1">IF(NOTA[[#This Row],[ID_H]]="","",INDEX(NOTA[TGL.NOTA],MATCH(,INDIRECT(ADDRESS(ROW(NOTA[TGL.NOTA]),COLUMN(NOTA[TGL.NOTA]))&amp;":"&amp;ADDRESS(ROW(),COLUMN(NOTA[TGL.NOTA]))),-1)))</f>
        <v/>
      </c>
      <c r="AK812" s="26" t="str">
        <f ca="1">IF(NOTA[[#This Row],[ID_H]]="","",INDEX(NOTA[NO.NOTA],MATCH(NOTA[[#This Row],[ID_H]],NOTA[ID_H],0)))</f>
        <v/>
      </c>
      <c r="AL812" s="28" t="str">
        <f ca="1">IF(NOTA[[#This Row],[NAMA BARANG]]="","",INDEX(NOTA[SUPPLIER],MATCH(,INDIRECT(ADDRESS(ROW(NOTA[ID]),COLUMN(NOTA[ID]))&amp;":"&amp;ADDRESS(ROW(),COLUMN(NOTA[ID]))),-1)))</f>
        <v/>
      </c>
      <c r="AM812" s="28" t="str">
        <f ca="1">IF(NOTA[[#This Row],[ID_H]]="","",IF(NOTA[[#This Row],[FAKTUR]]="",INDIRECT(ADDRESS(ROW()-1,COLUMN())),NOTA[[#This Row],[FAKTUR]]))</f>
        <v/>
      </c>
      <c r="AN812" s="25" t="str">
        <f ca="1">IF(NOTA[[#This Row],[ID]]="","",COUNTIF(NOTA[ID_H],NOTA[[#This Row],[ID_H]]))</f>
        <v/>
      </c>
      <c r="AO812" s="25" t="str">
        <f ca="1">IF(NOTA[[#This Row],[TGL.NOTA]]="",IF(NOTA[[#This Row],[SUPPLIER_H]]="","",AO811),MONTH(NOTA[[#This Row],[TGL.NOTA]]))</f>
        <v/>
      </c>
      <c r="AP8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2" s="25"/>
      <c r="AU812" s="25" t="str">
        <f>IF(NOTA[[#This Row],[CONCAT1]]="","",MATCH(NOTA[[#This Row],[CONCAT1]],[3]!db[NB NOTA_C],0))</f>
        <v/>
      </c>
      <c r="AV812" s="25" t="str">
        <f>IF(NOTA[[#This Row],[QTY/ CTN]]="","",TRUE)</f>
        <v/>
      </c>
      <c r="AW812" s="25" t="str">
        <f ca="1">IF(NOTA[[#This Row],[ID_H]]="","",IF(NOTA[[#This Row],[Column3]]=TRUE,NOTA[[#This Row],[QTY/ CTN]],INDEX([3]!db[QTY/ CTN],NOTA[[#This Row],[//DB]])))</f>
        <v/>
      </c>
      <c r="AX8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2" s="25" t="str">
        <f ca="1">IF(NOTA[[#This Row],[ID_H]]="","",MATCH(NOTA[[#This Row],[NB NOTA_C_QTY]],[3]!db[NB NOTA_C_QTY+F],0))</f>
        <v/>
      </c>
      <c r="AZ812" s="38" t="str">
        <f ca="1">IF(NOTA[[#This Row],[NB NOTA_C_QTY]]="","",ROW()-2)</f>
        <v/>
      </c>
    </row>
    <row r="813" spans="1:52" ht="20.100000000000001" customHeight="1">
      <c r="A8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3" s="25" t="str">
        <f ca="1">IF(NOTA[[#This Row],[NAMA BARANG]]="","",INDEX(NOTA[ID],MATCH(,INDIRECT(ADDRESS(ROW(NOTA[ID]),COLUMN(NOTA[ID]))&amp;":"&amp;ADDRESS(ROW(),COLUMN(NOTA[ID]))),-1)))</f>
        <v/>
      </c>
      <c r="E813" s="33"/>
      <c r="H813" s="34"/>
      <c r="Q813" s="29"/>
      <c r="R813" s="35"/>
      <c r="S813" s="36"/>
      <c r="V813" s="37"/>
      <c r="W813" s="32"/>
      <c r="X813" s="37" t="str">
        <f>IF(NOTA[[#This Row],[HARGA/ CTN]]="",NOTA[[#This Row],[JUMLAH_H]],NOTA[[#This Row],[HARGA/ CTN]]*IF(NOTA[[#This Row],[C]]="",0,NOTA[[#This Row],[C]]))</f>
        <v/>
      </c>
      <c r="Y813" s="37" t="str">
        <f>IF(NOTA[[#This Row],[JUMLAH]]="","",NOTA[[#This Row],[JUMLAH]]*NOTA[[#This Row],[DISC 1]])</f>
        <v/>
      </c>
      <c r="Z813" s="37" t="str">
        <f>IF(NOTA[[#This Row],[JUMLAH]]="","",(NOTA[[#This Row],[JUMLAH]]-NOTA[[#This Row],[DISC 1-]])*NOTA[[#This Row],[DISC 2]])</f>
        <v/>
      </c>
      <c r="AA813" s="37" t="str">
        <f>IF(NOTA[[#This Row],[JUMLAH]]="","",(NOTA[[#This Row],[JUMLAH]]-NOTA[[#This Row],[DISC 1-]]-NOTA[[#This Row],[DISC 2-]])*NOTA[[#This Row],[DISC 3]])</f>
        <v/>
      </c>
      <c r="AB813" s="37" t="str">
        <f>IF(NOTA[[#This Row],[JUMLAH]]="","",NOTA[[#This Row],[DISC 1-]]+NOTA[[#This Row],[DISC 2-]]+NOTA[[#This Row],[DISC 3-]])</f>
        <v/>
      </c>
      <c r="AC813" s="37" t="str">
        <f>IF(NOTA[[#This Row],[JUMLAH]]="","",NOTA[[#This Row],[JUMLAH]]-NOTA[[#This Row],[DISC]])</f>
        <v/>
      </c>
      <c r="AD813" s="37"/>
      <c r="AE8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3" s="37" t="str">
        <f>IF(OR(NOTA[[#This Row],[QTY]]="",NOTA[[#This Row],[HARGA SATUAN]]="",),"",NOTA[[#This Row],[QTY]]*NOTA[[#This Row],[HARGA SATUAN]])</f>
        <v/>
      </c>
      <c r="AI813" s="26" t="str">
        <f ca="1">IF(NOTA[[#This Row],[ID_H]]="","",INDEX(NOTA[TANGGAL],MATCH(,INDIRECT(ADDRESS(ROW(NOTA[TANGGAL]),COLUMN(NOTA[TANGGAL]))&amp;":"&amp;ADDRESS(ROW(),COLUMN(NOTA[TANGGAL]))),-1)))</f>
        <v/>
      </c>
      <c r="AJ813" s="26" t="str">
        <f ca="1">IF(NOTA[[#This Row],[ID_H]]="","",INDEX(NOTA[TGL.NOTA],MATCH(,INDIRECT(ADDRESS(ROW(NOTA[TGL.NOTA]),COLUMN(NOTA[TGL.NOTA]))&amp;":"&amp;ADDRESS(ROW(),COLUMN(NOTA[TGL.NOTA]))),-1)))</f>
        <v/>
      </c>
      <c r="AK813" s="26" t="str">
        <f ca="1">IF(NOTA[[#This Row],[ID_H]]="","",INDEX(NOTA[NO.NOTA],MATCH(NOTA[[#This Row],[ID_H]],NOTA[ID_H],0)))</f>
        <v/>
      </c>
      <c r="AL813" s="28" t="str">
        <f ca="1">IF(NOTA[[#This Row],[NAMA BARANG]]="","",INDEX(NOTA[SUPPLIER],MATCH(,INDIRECT(ADDRESS(ROW(NOTA[ID]),COLUMN(NOTA[ID]))&amp;":"&amp;ADDRESS(ROW(),COLUMN(NOTA[ID]))),-1)))</f>
        <v/>
      </c>
      <c r="AM813" s="28" t="str">
        <f ca="1">IF(NOTA[[#This Row],[ID_H]]="","",IF(NOTA[[#This Row],[FAKTUR]]="",INDIRECT(ADDRESS(ROW()-1,COLUMN())),NOTA[[#This Row],[FAKTUR]]))</f>
        <v/>
      </c>
      <c r="AN813" s="25" t="str">
        <f ca="1">IF(NOTA[[#This Row],[ID]]="","",COUNTIF(NOTA[ID_H],NOTA[[#This Row],[ID_H]]))</f>
        <v/>
      </c>
      <c r="AO813" s="25" t="str">
        <f ca="1">IF(NOTA[[#This Row],[TGL.NOTA]]="",IF(NOTA[[#This Row],[SUPPLIER_H]]="","",AO812),MONTH(NOTA[[#This Row],[TGL.NOTA]]))</f>
        <v/>
      </c>
      <c r="AP8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3" s="25"/>
      <c r="AU813" s="25" t="str">
        <f>IF(NOTA[[#This Row],[CONCAT1]]="","",MATCH(NOTA[[#This Row],[CONCAT1]],[3]!db[NB NOTA_C],0))</f>
        <v/>
      </c>
      <c r="AV813" s="25" t="str">
        <f>IF(NOTA[[#This Row],[QTY/ CTN]]="","",TRUE)</f>
        <v/>
      </c>
      <c r="AW813" s="25" t="str">
        <f ca="1">IF(NOTA[[#This Row],[ID_H]]="","",IF(NOTA[[#This Row],[Column3]]=TRUE,NOTA[[#This Row],[QTY/ CTN]],INDEX([3]!db[QTY/ CTN],NOTA[[#This Row],[//DB]])))</f>
        <v/>
      </c>
      <c r="AX8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3" s="25" t="str">
        <f ca="1">IF(NOTA[[#This Row],[ID_H]]="","",MATCH(NOTA[[#This Row],[NB NOTA_C_QTY]],[3]!db[NB NOTA_C_QTY+F],0))</f>
        <v/>
      </c>
      <c r="AZ813" s="38" t="str">
        <f ca="1">IF(NOTA[[#This Row],[NB NOTA_C_QTY]]="","",ROW()-2)</f>
        <v/>
      </c>
    </row>
    <row r="814" spans="1:52" ht="20.100000000000001" customHeight="1">
      <c r="A8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4" s="25" t="str">
        <f ca="1">IF(NOTA[[#This Row],[NAMA BARANG]]="","",INDEX(NOTA[ID],MATCH(,INDIRECT(ADDRESS(ROW(NOTA[ID]),COLUMN(NOTA[ID]))&amp;":"&amp;ADDRESS(ROW(),COLUMN(NOTA[ID]))),-1)))</f>
        <v/>
      </c>
      <c r="E814" s="33"/>
      <c r="H814" s="34"/>
      <c r="Q814" s="29"/>
      <c r="R814" s="35"/>
      <c r="S814" s="36"/>
      <c r="V814" s="37"/>
      <c r="W814" s="32"/>
      <c r="X814" s="37" t="str">
        <f>IF(NOTA[[#This Row],[HARGA/ CTN]]="",NOTA[[#This Row],[JUMLAH_H]],NOTA[[#This Row],[HARGA/ CTN]]*IF(NOTA[[#This Row],[C]]="",0,NOTA[[#This Row],[C]]))</f>
        <v/>
      </c>
      <c r="Y814" s="37" t="str">
        <f>IF(NOTA[[#This Row],[JUMLAH]]="","",NOTA[[#This Row],[JUMLAH]]*NOTA[[#This Row],[DISC 1]])</f>
        <v/>
      </c>
      <c r="Z814" s="37" t="str">
        <f>IF(NOTA[[#This Row],[JUMLAH]]="","",(NOTA[[#This Row],[JUMLAH]]-NOTA[[#This Row],[DISC 1-]])*NOTA[[#This Row],[DISC 2]])</f>
        <v/>
      </c>
      <c r="AA814" s="37" t="str">
        <f>IF(NOTA[[#This Row],[JUMLAH]]="","",(NOTA[[#This Row],[JUMLAH]]-NOTA[[#This Row],[DISC 1-]]-NOTA[[#This Row],[DISC 2-]])*NOTA[[#This Row],[DISC 3]])</f>
        <v/>
      </c>
      <c r="AB814" s="37" t="str">
        <f>IF(NOTA[[#This Row],[JUMLAH]]="","",NOTA[[#This Row],[DISC 1-]]+NOTA[[#This Row],[DISC 2-]]+NOTA[[#This Row],[DISC 3-]])</f>
        <v/>
      </c>
      <c r="AC814" s="37" t="str">
        <f>IF(NOTA[[#This Row],[JUMLAH]]="","",NOTA[[#This Row],[JUMLAH]]-NOTA[[#This Row],[DISC]])</f>
        <v/>
      </c>
      <c r="AD814" s="37"/>
      <c r="AE8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4" s="37" t="str">
        <f>IF(OR(NOTA[[#This Row],[QTY]]="",NOTA[[#This Row],[HARGA SATUAN]]="",),"",NOTA[[#This Row],[QTY]]*NOTA[[#This Row],[HARGA SATUAN]])</f>
        <v/>
      </c>
      <c r="AI814" s="26" t="str">
        <f ca="1">IF(NOTA[[#This Row],[ID_H]]="","",INDEX(NOTA[TANGGAL],MATCH(,INDIRECT(ADDRESS(ROW(NOTA[TANGGAL]),COLUMN(NOTA[TANGGAL]))&amp;":"&amp;ADDRESS(ROW(),COLUMN(NOTA[TANGGAL]))),-1)))</f>
        <v/>
      </c>
      <c r="AJ814" s="26" t="str">
        <f ca="1">IF(NOTA[[#This Row],[ID_H]]="","",INDEX(NOTA[TGL.NOTA],MATCH(,INDIRECT(ADDRESS(ROW(NOTA[TGL.NOTA]),COLUMN(NOTA[TGL.NOTA]))&amp;":"&amp;ADDRESS(ROW(),COLUMN(NOTA[TGL.NOTA]))),-1)))</f>
        <v/>
      </c>
      <c r="AK814" s="26" t="str">
        <f ca="1">IF(NOTA[[#This Row],[ID_H]]="","",INDEX(NOTA[NO.NOTA],MATCH(NOTA[[#This Row],[ID_H]],NOTA[ID_H],0)))</f>
        <v/>
      </c>
      <c r="AL814" s="28" t="str">
        <f ca="1">IF(NOTA[[#This Row],[NAMA BARANG]]="","",INDEX(NOTA[SUPPLIER],MATCH(,INDIRECT(ADDRESS(ROW(NOTA[ID]),COLUMN(NOTA[ID]))&amp;":"&amp;ADDRESS(ROW(),COLUMN(NOTA[ID]))),-1)))</f>
        <v/>
      </c>
      <c r="AM814" s="28" t="str">
        <f ca="1">IF(NOTA[[#This Row],[ID_H]]="","",IF(NOTA[[#This Row],[FAKTUR]]="",INDIRECT(ADDRESS(ROW()-1,COLUMN())),NOTA[[#This Row],[FAKTUR]]))</f>
        <v/>
      </c>
      <c r="AN814" s="25" t="str">
        <f ca="1">IF(NOTA[[#This Row],[ID]]="","",COUNTIF(NOTA[ID_H],NOTA[[#This Row],[ID_H]]))</f>
        <v/>
      </c>
      <c r="AO814" s="25" t="str">
        <f ca="1">IF(NOTA[[#This Row],[TGL.NOTA]]="",IF(NOTA[[#This Row],[SUPPLIER_H]]="","",AO813),MONTH(NOTA[[#This Row],[TGL.NOTA]]))</f>
        <v/>
      </c>
      <c r="AP8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4" s="25"/>
      <c r="AU814" s="25" t="str">
        <f>IF(NOTA[[#This Row],[CONCAT1]]="","",MATCH(NOTA[[#This Row],[CONCAT1]],[3]!db[NB NOTA_C],0))</f>
        <v/>
      </c>
      <c r="AV814" s="25" t="str">
        <f>IF(NOTA[[#This Row],[QTY/ CTN]]="","",TRUE)</f>
        <v/>
      </c>
      <c r="AW814" s="25" t="str">
        <f ca="1">IF(NOTA[[#This Row],[ID_H]]="","",IF(NOTA[[#This Row],[Column3]]=TRUE,NOTA[[#This Row],[QTY/ CTN]],INDEX([3]!db[QTY/ CTN],NOTA[[#This Row],[//DB]])))</f>
        <v/>
      </c>
      <c r="AX8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4" s="25" t="str">
        <f ca="1">IF(NOTA[[#This Row],[ID_H]]="","",MATCH(NOTA[[#This Row],[NB NOTA_C_QTY]],[3]!db[NB NOTA_C_QTY+F],0))</f>
        <v/>
      </c>
      <c r="AZ814" s="38" t="str">
        <f ca="1">IF(NOTA[[#This Row],[NB NOTA_C_QTY]]="","",ROW()-2)</f>
        <v/>
      </c>
    </row>
    <row r="815" spans="1:52" ht="20.100000000000001" customHeight="1">
      <c r="A8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5" s="25" t="str">
        <f ca="1">IF(NOTA[[#This Row],[NAMA BARANG]]="","",INDEX(NOTA[ID],MATCH(,INDIRECT(ADDRESS(ROW(NOTA[ID]),COLUMN(NOTA[ID]))&amp;":"&amp;ADDRESS(ROW(),COLUMN(NOTA[ID]))),-1)))</f>
        <v/>
      </c>
      <c r="E815" s="33"/>
      <c r="H815" s="34"/>
      <c r="Q815" s="29"/>
      <c r="R815" s="35"/>
      <c r="S815" s="36"/>
      <c r="V815" s="37"/>
      <c r="W815" s="32"/>
      <c r="X815" s="37" t="str">
        <f>IF(NOTA[[#This Row],[HARGA/ CTN]]="",NOTA[[#This Row],[JUMLAH_H]],NOTA[[#This Row],[HARGA/ CTN]]*IF(NOTA[[#This Row],[C]]="",0,NOTA[[#This Row],[C]]))</f>
        <v/>
      </c>
      <c r="Y815" s="37" t="str">
        <f>IF(NOTA[[#This Row],[JUMLAH]]="","",NOTA[[#This Row],[JUMLAH]]*NOTA[[#This Row],[DISC 1]])</f>
        <v/>
      </c>
      <c r="Z815" s="37" t="str">
        <f>IF(NOTA[[#This Row],[JUMLAH]]="","",(NOTA[[#This Row],[JUMLAH]]-NOTA[[#This Row],[DISC 1-]])*NOTA[[#This Row],[DISC 2]])</f>
        <v/>
      </c>
      <c r="AA815" s="37" t="str">
        <f>IF(NOTA[[#This Row],[JUMLAH]]="","",(NOTA[[#This Row],[JUMLAH]]-NOTA[[#This Row],[DISC 1-]]-NOTA[[#This Row],[DISC 2-]])*NOTA[[#This Row],[DISC 3]])</f>
        <v/>
      </c>
      <c r="AB815" s="37" t="str">
        <f>IF(NOTA[[#This Row],[JUMLAH]]="","",NOTA[[#This Row],[DISC 1-]]+NOTA[[#This Row],[DISC 2-]]+NOTA[[#This Row],[DISC 3-]])</f>
        <v/>
      </c>
      <c r="AC815" s="37" t="str">
        <f>IF(NOTA[[#This Row],[JUMLAH]]="","",NOTA[[#This Row],[JUMLAH]]-NOTA[[#This Row],[DISC]])</f>
        <v/>
      </c>
      <c r="AD815" s="37"/>
      <c r="AE8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5" s="37" t="str">
        <f>IF(OR(NOTA[[#This Row],[QTY]]="",NOTA[[#This Row],[HARGA SATUAN]]="",),"",NOTA[[#This Row],[QTY]]*NOTA[[#This Row],[HARGA SATUAN]])</f>
        <v/>
      </c>
      <c r="AI815" s="26" t="str">
        <f ca="1">IF(NOTA[[#This Row],[ID_H]]="","",INDEX(NOTA[TANGGAL],MATCH(,INDIRECT(ADDRESS(ROW(NOTA[TANGGAL]),COLUMN(NOTA[TANGGAL]))&amp;":"&amp;ADDRESS(ROW(),COLUMN(NOTA[TANGGAL]))),-1)))</f>
        <v/>
      </c>
      <c r="AJ815" s="26" t="str">
        <f ca="1">IF(NOTA[[#This Row],[ID_H]]="","",INDEX(NOTA[TGL.NOTA],MATCH(,INDIRECT(ADDRESS(ROW(NOTA[TGL.NOTA]),COLUMN(NOTA[TGL.NOTA]))&amp;":"&amp;ADDRESS(ROW(),COLUMN(NOTA[TGL.NOTA]))),-1)))</f>
        <v/>
      </c>
      <c r="AK815" s="26" t="str">
        <f ca="1">IF(NOTA[[#This Row],[ID_H]]="","",INDEX(NOTA[NO.NOTA],MATCH(NOTA[[#This Row],[ID_H]],NOTA[ID_H],0)))</f>
        <v/>
      </c>
      <c r="AL815" s="28" t="str">
        <f ca="1">IF(NOTA[[#This Row],[NAMA BARANG]]="","",INDEX(NOTA[SUPPLIER],MATCH(,INDIRECT(ADDRESS(ROW(NOTA[ID]),COLUMN(NOTA[ID]))&amp;":"&amp;ADDRESS(ROW(),COLUMN(NOTA[ID]))),-1)))</f>
        <v/>
      </c>
      <c r="AM815" s="28" t="str">
        <f ca="1">IF(NOTA[[#This Row],[ID_H]]="","",IF(NOTA[[#This Row],[FAKTUR]]="",INDIRECT(ADDRESS(ROW()-1,COLUMN())),NOTA[[#This Row],[FAKTUR]]))</f>
        <v/>
      </c>
      <c r="AN815" s="25" t="str">
        <f ca="1">IF(NOTA[[#This Row],[ID]]="","",COUNTIF(NOTA[ID_H],NOTA[[#This Row],[ID_H]]))</f>
        <v/>
      </c>
      <c r="AO815" s="25" t="str">
        <f ca="1">IF(NOTA[[#This Row],[TGL.NOTA]]="",IF(NOTA[[#This Row],[SUPPLIER_H]]="","",AO814),MONTH(NOTA[[#This Row],[TGL.NOTA]]))</f>
        <v/>
      </c>
      <c r="AP8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5" s="25"/>
      <c r="AU815" s="25" t="str">
        <f>IF(NOTA[[#This Row],[CONCAT1]]="","",MATCH(NOTA[[#This Row],[CONCAT1]],[3]!db[NB NOTA_C],0))</f>
        <v/>
      </c>
      <c r="AV815" s="25" t="str">
        <f>IF(NOTA[[#This Row],[QTY/ CTN]]="","",TRUE)</f>
        <v/>
      </c>
      <c r="AW815" s="25" t="str">
        <f ca="1">IF(NOTA[[#This Row],[ID_H]]="","",IF(NOTA[[#This Row],[Column3]]=TRUE,NOTA[[#This Row],[QTY/ CTN]],INDEX([3]!db[QTY/ CTN],NOTA[[#This Row],[//DB]])))</f>
        <v/>
      </c>
      <c r="AX8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5" s="25" t="str">
        <f ca="1">IF(NOTA[[#This Row],[ID_H]]="","",MATCH(NOTA[[#This Row],[NB NOTA_C_QTY]],[3]!db[NB NOTA_C_QTY+F],0))</f>
        <v/>
      </c>
      <c r="AZ815" s="38" t="str">
        <f ca="1">IF(NOTA[[#This Row],[NB NOTA_C_QTY]]="","",ROW()-2)</f>
        <v/>
      </c>
    </row>
    <row r="816" spans="1:52" ht="20.100000000000001" customHeight="1">
      <c r="A8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6" s="25" t="str">
        <f ca="1">IF(NOTA[[#This Row],[NAMA BARANG]]="","",INDEX(NOTA[ID],MATCH(,INDIRECT(ADDRESS(ROW(NOTA[ID]),COLUMN(NOTA[ID]))&amp;":"&amp;ADDRESS(ROW(),COLUMN(NOTA[ID]))),-1)))</f>
        <v/>
      </c>
      <c r="E816" s="33"/>
      <c r="H816" s="34"/>
      <c r="Q816" s="29"/>
      <c r="R816" s="35"/>
      <c r="S816" s="36"/>
      <c r="V816" s="37"/>
      <c r="W816" s="32"/>
      <c r="X816" s="37" t="str">
        <f>IF(NOTA[[#This Row],[HARGA/ CTN]]="",NOTA[[#This Row],[JUMLAH_H]],NOTA[[#This Row],[HARGA/ CTN]]*IF(NOTA[[#This Row],[C]]="",0,NOTA[[#This Row],[C]]))</f>
        <v/>
      </c>
      <c r="Y816" s="37" t="str">
        <f>IF(NOTA[[#This Row],[JUMLAH]]="","",NOTA[[#This Row],[JUMLAH]]*NOTA[[#This Row],[DISC 1]])</f>
        <v/>
      </c>
      <c r="Z816" s="37" t="str">
        <f>IF(NOTA[[#This Row],[JUMLAH]]="","",(NOTA[[#This Row],[JUMLAH]]-NOTA[[#This Row],[DISC 1-]])*NOTA[[#This Row],[DISC 2]])</f>
        <v/>
      </c>
      <c r="AA816" s="37" t="str">
        <f>IF(NOTA[[#This Row],[JUMLAH]]="","",(NOTA[[#This Row],[JUMLAH]]-NOTA[[#This Row],[DISC 1-]]-NOTA[[#This Row],[DISC 2-]])*NOTA[[#This Row],[DISC 3]])</f>
        <v/>
      </c>
      <c r="AB816" s="37" t="str">
        <f>IF(NOTA[[#This Row],[JUMLAH]]="","",NOTA[[#This Row],[DISC 1-]]+NOTA[[#This Row],[DISC 2-]]+NOTA[[#This Row],[DISC 3-]])</f>
        <v/>
      </c>
      <c r="AC816" s="37" t="str">
        <f>IF(NOTA[[#This Row],[JUMLAH]]="","",NOTA[[#This Row],[JUMLAH]]-NOTA[[#This Row],[DISC]])</f>
        <v/>
      </c>
      <c r="AD816" s="37"/>
      <c r="AE8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6" s="37" t="str">
        <f>IF(OR(NOTA[[#This Row],[QTY]]="",NOTA[[#This Row],[HARGA SATUAN]]="",),"",NOTA[[#This Row],[QTY]]*NOTA[[#This Row],[HARGA SATUAN]])</f>
        <v/>
      </c>
      <c r="AI816" s="26" t="str">
        <f ca="1">IF(NOTA[[#This Row],[ID_H]]="","",INDEX(NOTA[TANGGAL],MATCH(,INDIRECT(ADDRESS(ROW(NOTA[TANGGAL]),COLUMN(NOTA[TANGGAL]))&amp;":"&amp;ADDRESS(ROW(),COLUMN(NOTA[TANGGAL]))),-1)))</f>
        <v/>
      </c>
      <c r="AJ816" s="26" t="str">
        <f ca="1">IF(NOTA[[#This Row],[ID_H]]="","",INDEX(NOTA[TGL.NOTA],MATCH(,INDIRECT(ADDRESS(ROW(NOTA[TGL.NOTA]),COLUMN(NOTA[TGL.NOTA]))&amp;":"&amp;ADDRESS(ROW(),COLUMN(NOTA[TGL.NOTA]))),-1)))</f>
        <v/>
      </c>
      <c r="AK816" s="26" t="str">
        <f ca="1">IF(NOTA[[#This Row],[ID_H]]="","",INDEX(NOTA[NO.NOTA],MATCH(NOTA[[#This Row],[ID_H]],NOTA[ID_H],0)))</f>
        <v/>
      </c>
      <c r="AL816" s="28" t="str">
        <f ca="1">IF(NOTA[[#This Row],[NAMA BARANG]]="","",INDEX(NOTA[SUPPLIER],MATCH(,INDIRECT(ADDRESS(ROW(NOTA[ID]),COLUMN(NOTA[ID]))&amp;":"&amp;ADDRESS(ROW(),COLUMN(NOTA[ID]))),-1)))</f>
        <v/>
      </c>
      <c r="AM816" s="28" t="str">
        <f ca="1">IF(NOTA[[#This Row],[ID_H]]="","",IF(NOTA[[#This Row],[FAKTUR]]="",INDIRECT(ADDRESS(ROW()-1,COLUMN())),NOTA[[#This Row],[FAKTUR]]))</f>
        <v/>
      </c>
      <c r="AN816" s="25" t="str">
        <f ca="1">IF(NOTA[[#This Row],[ID]]="","",COUNTIF(NOTA[ID_H],NOTA[[#This Row],[ID_H]]))</f>
        <v/>
      </c>
      <c r="AO816" s="25" t="str">
        <f ca="1">IF(NOTA[[#This Row],[TGL.NOTA]]="",IF(NOTA[[#This Row],[SUPPLIER_H]]="","",AO815),MONTH(NOTA[[#This Row],[TGL.NOTA]]))</f>
        <v/>
      </c>
      <c r="AP8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6" s="25"/>
      <c r="AU816" s="25" t="str">
        <f>IF(NOTA[[#This Row],[CONCAT1]]="","",MATCH(NOTA[[#This Row],[CONCAT1]],[3]!db[NB NOTA_C],0))</f>
        <v/>
      </c>
      <c r="AV816" s="25" t="str">
        <f>IF(NOTA[[#This Row],[QTY/ CTN]]="","",TRUE)</f>
        <v/>
      </c>
      <c r="AW816" s="25" t="str">
        <f ca="1">IF(NOTA[[#This Row],[ID_H]]="","",IF(NOTA[[#This Row],[Column3]]=TRUE,NOTA[[#This Row],[QTY/ CTN]],INDEX([3]!db[QTY/ CTN],NOTA[[#This Row],[//DB]])))</f>
        <v/>
      </c>
      <c r="AX8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6" s="25" t="str">
        <f ca="1">IF(NOTA[[#This Row],[ID_H]]="","",MATCH(NOTA[[#This Row],[NB NOTA_C_QTY]],[3]!db[NB NOTA_C_QTY+F],0))</f>
        <v/>
      </c>
      <c r="AZ816" s="38" t="str">
        <f ca="1">IF(NOTA[[#This Row],[NB NOTA_C_QTY]]="","",ROW()-2)</f>
        <v/>
      </c>
    </row>
    <row r="817" spans="1:52" ht="20.100000000000001" customHeight="1">
      <c r="A8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7" s="25" t="str">
        <f ca="1">IF(NOTA[[#This Row],[NAMA BARANG]]="","",INDEX(NOTA[ID],MATCH(,INDIRECT(ADDRESS(ROW(NOTA[ID]),COLUMN(NOTA[ID]))&amp;":"&amp;ADDRESS(ROW(),COLUMN(NOTA[ID]))),-1)))</f>
        <v/>
      </c>
      <c r="E817" s="33"/>
      <c r="H817" s="34"/>
      <c r="Q817" s="29"/>
      <c r="R817" s="35"/>
      <c r="S817" s="36"/>
      <c r="V817" s="37"/>
      <c r="W817" s="32"/>
      <c r="X817" s="37" t="str">
        <f>IF(NOTA[[#This Row],[HARGA/ CTN]]="",NOTA[[#This Row],[JUMLAH_H]],NOTA[[#This Row],[HARGA/ CTN]]*IF(NOTA[[#This Row],[C]]="",0,NOTA[[#This Row],[C]]))</f>
        <v/>
      </c>
      <c r="Y817" s="37" t="str">
        <f>IF(NOTA[[#This Row],[JUMLAH]]="","",NOTA[[#This Row],[JUMLAH]]*NOTA[[#This Row],[DISC 1]])</f>
        <v/>
      </c>
      <c r="Z817" s="37" t="str">
        <f>IF(NOTA[[#This Row],[JUMLAH]]="","",(NOTA[[#This Row],[JUMLAH]]-NOTA[[#This Row],[DISC 1-]])*NOTA[[#This Row],[DISC 2]])</f>
        <v/>
      </c>
      <c r="AA817" s="37" t="str">
        <f>IF(NOTA[[#This Row],[JUMLAH]]="","",(NOTA[[#This Row],[JUMLAH]]-NOTA[[#This Row],[DISC 1-]]-NOTA[[#This Row],[DISC 2-]])*NOTA[[#This Row],[DISC 3]])</f>
        <v/>
      </c>
      <c r="AB817" s="37" t="str">
        <f>IF(NOTA[[#This Row],[JUMLAH]]="","",NOTA[[#This Row],[DISC 1-]]+NOTA[[#This Row],[DISC 2-]]+NOTA[[#This Row],[DISC 3-]])</f>
        <v/>
      </c>
      <c r="AC817" s="37" t="str">
        <f>IF(NOTA[[#This Row],[JUMLAH]]="","",NOTA[[#This Row],[JUMLAH]]-NOTA[[#This Row],[DISC]])</f>
        <v/>
      </c>
      <c r="AD817" s="37"/>
      <c r="AE8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7" s="37" t="str">
        <f>IF(OR(NOTA[[#This Row],[QTY]]="",NOTA[[#This Row],[HARGA SATUAN]]="",),"",NOTA[[#This Row],[QTY]]*NOTA[[#This Row],[HARGA SATUAN]])</f>
        <v/>
      </c>
      <c r="AI817" s="26" t="str">
        <f ca="1">IF(NOTA[[#This Row],[ID_H]]="","",INDEX(NOTA[TANGGAL],MATCH(,INDIRECT(ADDRESS(ROW(NOTA[TANGGAL]),COLUMN(NOTA[TANGGAL]))&amp;":"&amp;ADDRESS(ROW(),COLUMN(NOTA[TANGGAL]))),-1)))</f>
        <v/>
      </c>
      <c r="AJ817" s="26" t="str">
        <f ca="1">IF(NOTA[[#This Row],[ID_H]]="","",INDEX(NOTA[TGL.NOTA],MATCH(,INDIRECT(ADDRESS(ROW(NOTA[TGL.NOTA]),COLUMN(NOTA[TGL.NOTA]))&amp;":"&amp;ADDRESS(ROW(),COLUMN(NOTA[TGL.NOTA]))),-1)))</f>
        <v/>
      </c>
      <c r="AK817" s="26" t="str">
        <f ca="1">IF(NOTA[[#This Row],[ID_H]]="","",INDEX(NOTA[NO.NOTA],MATCH(NOTA[[#This Row],[ID_H]],NOTA[ID_H],0)))</f>
        <v/>
      </c>
      <c r="AL817" s="28" t="str">
        <f ca="1">IF(NOTA[[#This Row],[NAMA BARANG]]="","",INDEX(NOTA[SUPPLIER],MATCH(,INDIRECT(ADDRESS(ROW(NOTA[ID]),COLUMN(NOTA[ID]))&amp;":"&amp;ADDRESS(ROW(),COLUMN(NOTA[ID]))),-1)))</f>
        <v/>
      </c>
      <c r="AM817" s="28" t="str">
        <f ca="1">IF(NOTA[[#This Row],[ID_H]]="","",IF(NOTA[[#This Row],[FAKTUR]]="",INDIRECT(ADDRESS(ROW()-1,COLUMN())),NOTA[[#This Row],[FAKTUR]]))</f>
        <v/>
      </c>
      <c r="AN817" s="25" t="str">
        <f ca="1">IF(NOTA[[#This Row],[ID]]="","",COUNTIF(NOTA[ID_H],NOTA[[#This Row],[ID_H]]))</f>
        <v/>
      </c>
      <c r="AO817" s="25" t="str">
        <f ca="1">IF(NOTA[[#This Row],[TGL.NOTA]]="",IF(NOTA[[#This Row],[SUPPLIER_H]]="","",AO816),MONTH(NOTA[[#This Row],[TGL.NOTA]]))</f>
        <v/>
      </c>
      <c r="AP8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7" s="25"/>
      <c r="AU817" s="25" t="str">
        <f>IF(NOTA[[#This Row],[CONCAT1]]="","",MATCH(NOTA[[#This Row],[CONCAT1]],[3]!db[NB NOTA_C],0))</f>
        <v/>
      </c>
      <c r="AV817" s="25" t="str">
        <f>IF(NOTA[[#This Row],[QTY/ CTN]]="","",TRUE)</f>
        <v/>
      </c>
      <c r="AW817" s="25" t="str">
        <f ca="1">IF(NOTA[[#This Row],[ID_H]]="","",IF(NOTA[[#This Row],[Column3]]=TRUE,NOTA[[#This Row],[QTY/ CTN]],INDEX([3]!db[QTY/ CTN],NOTA[[#This Row],[//DB]])))</f>
        <v/>
      </c>
      <c r="AX8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7" s="25" t="str">
        <f ca="1">IF(NOTA[[#This Row],[ID_H]]="","",MATCH(NOTA[[#This Row],[NB NOTA_C_QTY]],[3]!db[NB NOTA_C_QTY+F],0))</f>
        <v/>
      </c>
      <c r="AZ817" s="38" t="str">
        <f ca="1">IF(NOTA[[#This Row],[NB NOTA_C_QTY]]="","",ROW()-2)</f>
        <v/>
      </c>
    </row>
    <row r="818" spans="1:52" ht="20.100000000000001" customHeight="1">
      <c r="A8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8" s="25" t="str">
        <f ca="1">IF(NOTA[[#This Row],[NAMA BARANG]]="","",INDEX(NOTA[ID],MATCH(,INDIRECT(ADDRESS(ROW(NOTA[ID]),COLUMN(NOTA[ID]))&amp;":"&amp;ADDRESS(ROW(),COLUMN(NOTA[ID]))),-1)))</f>
        <v/>
      </c>
      <c r="E818" s="33"/>
      <c r="H818" s="34"/>
      <c r="Q818" s="29"/>
      <c r="R818" s="35"/>
      <c r="S818" s="36"/>
      <c r="V818" s="37"/>
      <c r="W818" s="32"/>
      <c r="X818" s="37" t="str">
        <f>IF(NOTA[[#This Row],[HARGA/ CTN]]="",NOTA[[#This Row],[JUMLAH_H]],NOTA[[#This Row],[HARGA/ CTN]]*IF(NOTA[[#This Row],[C]]="",0,NOTA[[#This Row],[C]]))</f>
        <v/>
      </c>
      <c r="Y818" s="37" t="str">
        <f>IF(NOTA[[#This Row],[JUMLAH]]="","",NOTA[[#This Row],[JUMLAH]]*NOTA[[#This Row],[DISC 1]])</f>
        <v/>
      </c>
      <c r="Z818" s="37" t="str">
        <f>IF(NOTA[[#This Row],[JUMLAH]]="","",(NOTA[[#This Row],[JUMLAH]]-NOTA[[#This Row],[DISC 1-]])*NOTA[[#This Row],[DISC 2]])</f>
        <v/>
      </c>
      <c r="AA818" s="37" t="str">
        <f>IF(NOTA[[#This Row],[JUMLAH]]="","",(NOTA[[#This Row],[JUMLAH]]-NOTA[[#This Row],[DISC 1-]]-NOTA[[#This Row],[DISC 2-]])*NOTA[[#This Row],[DISC 3]])</f>
        <v/>
      </c>
      <c r="AB818" s="37" t="str">
        <f>IF(NOTA[[#This Row],[JUMLAH]]="","",NOTA[[#This Row],[DISC 1-]]+NOTA[[#This Row],[DISC 2-]]+NOTA[[#This Row],[DISC 3-]])</f>
        <v/>
      </c>
      <c r="AC818" s="37" t="str">
        <f>IF(NOTA[[#This Row],[JUMLAH]]="","",NOTA[[#This Row],[JUMLAH]]-NOTA[[#This Row],[DISC]])</f>
        <v/>
      </c>
      <c r="AD818" s="37"/>
      <c r="AE8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8" s="37" t="str">
        <f>IF(OR(NOTA[[#This Row],[QTY]]="",NOTA[[#This Row],[HARGA SATUAN]]="",),"",NOTA[[#This Row],[QTY]]*NOTA[[#This Row],[HARGA SATUAN]])</f>
        <v/>
      </c>
      <c r="AI818" s="26" t="str">
        <f ca="1">IF(NOTA[[#This Row],[ID_H]]="","",INDEX(NOTA[TANGGAL],MATCH(,INDIRECT(ADDRESS(ROW(NOTA[TANGGAL]),COLUMN(NOTA[TANGGAL]))&amp;":"&amp;ADDRESS(ROW(),COLUMN(NOTA[TANGGAL]))),-1)))</f>
        <v/>
      </c>
      <c r="AJ818" s="26" t="str">
        <f ca="1">IF(NOTA[[#This Row],[ID_H]]="","",INDEX(NOTA[TGL.NOTA],MATCH(,INDIRECT(ADDRESS(ROW(NOTA[TGL.NOTA]),COLUMN(NOTA[TGL.NOTA]))&amp;":"&amp;ADDRESS(ROW(),COLUMN(NOTA[TGL.NOTA]))),-1)))</f>
        <v/>
      </c>
      <c r="AK818" s="26" t="str">
        <f ca="1">IF(NOTA[[#This Row],[ID_H]]="","",INDEX(NOTA[NO.NOTA],MATCH(NOTA[[#This Row],[ID_H]],NOTA[ID_H],0)))</f>
        <v/>
      </c>
      <c r="AL818" s="28" t="str">
        <f ca="1">IF(NOTA[[#This Row],[NAMA BARANG]]="","",INDEX(NOTA[SUPPLIER],MATCH(,INDIRECT(ADDRESS(ROW(NOTA[ID]),COLUMN(NOTA[ID]))&amp;":"&amp;ADDRESS(ROW(),COLUMN(NOTA[ID]))),-1)))</f>
        <v/>
      </c>
      <c r="AM818" s="28" t="str">
        <f ca="1">IF(NOTA[[#This Row],[ID_H]]="","",IF(NOTA[[#This Row],[FAKTUR]]="",INDIRECT(ADDRESS(ROW()-1,COLUMN())),NOTA[[#This Row],[FAKTUR]]))</f>
        <v/>
      </c>
      <c r="AN818" s="25" t="str">
        <f ca="1">IF(NOTA[[#This Row],[ID]]="","",COUNTIF(NOTA[ID_H],NOTA[[#This Row],[ID_H]]))</f>
        <v/>
      </c>
      <c r="AO818" s="25" t="str">
        <f ca="1">IF(NOTA[[#This Row],[TGL.NOTA]]="",IF(NOTA[[#This Row],[SUPPLIER_H]]="","",AO817),MONTH(NOTA[[#This Row],[TGL.NOTA]]))</f>
        <v/>
      </c>
      <c r="AP8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8" s="25"/>
      <c r="AU818" s="25" t="str">
        <f>IF(NOTA[[#This Row],[CONCAT1]]="","",MATCH(NOTA[[#This Row],[CONCAT1]],[3]!db[NB NOTA_C],0))</f>
        <v/>
      </c>
      <c r="AV818" s="25" t="str">
        <f>IF(NOTA[[#This Row],[QTY/ CTN]]="","",TRUE)</f>
        <v/>
      </c>
      <c r="AW818" s="25" t="str">
        <f ca="1">IF(NOTA[[#This Row],[ID_H]]="","",IF(NOTA[[#This Row],[Column3]]=TRUE,NOTA[[#This Row],[QTY/ CTN]],INDEX([3]!db[QTY/ CTN],NOTA[[#This Row],[//DB]])))</f>
        <v/>
      </c>
      <c r="AX8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8" s="25" t="str">
        <f ca="1">IF(NOTA[[#This Row],[ID_H]]="","",MATCH(NOTA[[#This Row],[NB NOTA_C_QTY]],[3]!db[NB NOTA_C_QTY+F],0))</f>
        <v/>
      </c>
      <c r="AZ818" s="38" t="str">
        <f ca="1">IF(NOTA[[#This Row],[NB NOTA_C_QTY]]="","",ROW()-2)</f>
        <v/>
      </c>
    </row>
    <row r="819" spans="1:52" ht="20.100000000000001" customHeight="1">
      <c r="A8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9" s="25" t="str">
        <f ca="1">IF(NOTA[[#This Row],[NAMA BARANG]]="","",INDEX(NOTA[ID],MATCH(,INDIRECT(ADDRESS(ROW(NOTA[ID]),COLUMN(NOTA[ID]))&amp;":"&amp;ADDRESS(ROW(),COLUMN(NOTA[ID]))),-1)))</f>
        <v/>
      </c>
      <c r="E819" s="33"/>
      <c r="H819" s="34"/>
      <c r="Q819" s="29"/>
      <c r="R819" s="35"/>
      <c r="S819" s="36"/>
      <c r="V819" s="37"/>
      <c r="W819" s="32"/>
      <c r="X819" s="37" t="str">
        <f>IF(NOTA[[#This Row],[HARGA/ CTN]]="",NOTA[[#This Row],[JUMLAH_H]],NOTA[[#This Row],[HARGA/ CTN]]*IF(NOTA[[#This Row],[C]]="",0,NOTA[[#This Row],[C]]))</f>
        <v/>
      </c>
      <c r="Y819" s="37" t="str">
        <f>IF(NOTA[[#This Row],[JUMLAH]]="","",NOTA[[#This Row],[JUMLAH]]*NOTA[[#This Row],[DISC 1]])</f>
        <v/>
      </c>
      <c r="Z819" s="37" t="str">
        <f>IF(NOTA[[#This Row],[JUMLAH]]="","",(NOTA[[#This Row],[JUMLAH]]-NOTA[[#This Row],[DISC 1-]])*NOTA[[#This Row],[DISC 2]])</f>
        <v/>
      </c>
      <c r="AA819" s="37" t="str">
        <f>IF(NOTA[[#This Row],[JUMLAH]]="","",(NOTA[[#This Row],[JUMLAH]]-NOTA[[#This Row],[DISC 1-]]-NOTA[[#This Row],[DISC 2-]])*NOTA[[#This Row],[DISC 3]])</f>
        <v/>
      </c>
      <c r="AB819" s="37" t="str">
        <f>IF(NOTA[[#This Row],[JUMLAH]]="","",NOTA[[#This Row],[DISC 1-]]+NOTA[[#This Row],[DISC 2-]]+NOTA[[#This Row],[DISC 3-]])</f>
        <v/>
      </c>
      <c r="AC819" s="37" t="str">
        <f>IF(NOTA[[#This Row],[JUMLAH]]="","",NOTA[[#This Row],[JUMLAH]]-NOTA[[#This Row],[DISC]])</f>
        <v/>
      </c>
      <c r="AD819" s="37"/>
      <c r="AE8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9" s="37" t="str">
        <f>IF(OR(NOTA[[#This Row],[QTY]]="",NOTA[[#This Row],[HARGA SATUAN]]="",),"",NOTA[[#This Row],[QTY]]*NOTA[[#This Row],[HARGA SATUAN]])</f>
        <v/>
      </c>
      <c r="AI819" s="26" t="str">
        <f ca="1">IF(NOTA[[#This Row],[ID_H]]="","",INDEX(NOTA[TANGGAL],MATCH(,INDIRECT(ADDRESS(ROW(NOTA[TANGGAL]),COLUMN(NOTA[TANGGAL]))&amp;":"&amp;ADDRESS(ROW(),COLUMN(NOTA[TANGGAL]))),-1)))</f>
        <v/>
      </c>
      <c r="AJ819" s="26" t="str">
        <f ca="1">IF(NOTA[[#This Row],[ID_H]]="","",INDEX(NOTA[TGL.NOTA],MATCH(,INDIRECT(ADDRESS(ROW(NOTA[TGL.NOTA]),COLUMN(NOTA[TGL.NOTA]))&amp;":"&amp;ADDRESS(ROW(),COLUMN(NOTA[TGL.NOTA]))),-1)))</f>
        <v/>
      </c>
      <c r="AK819" s="26" t="str">
        <f ca="1">IF(NOTA[[#This Row],[ID_H]]="","",INDEX(NOTA[NO.NOTA],MATCH(NOTA[[#This Row],[ID_H]],NOTA[ID_H],0)))</f>
        <v/>
      </c>
      <c r="AL819" s="28" t="str">
        <f ca="1">IF(NOTA[[#This Row],[NAMA BARANG]]="","",INDEX(NOTA[SUPPLIER],MATCH(,INDIRECT(ADDRESS(ROW(NOTA[ID]),COLUMN(NOTA[ID]))&amp;":"&amp;ADDRESS(ROW(),COLUMN(NOTA[ID]))),-1)))</f>
        <v/>
      </c>
      <c r="AM819" s="28" t="str">
        <f ca="1">IF(NOTA[[#This Row],[ID_H]]="","",IF(NOTA[[#This Row],[FAKTUR]]="",INDIRECT(ADDRESS(ROW()-1,COLUMN())),NOTA[[#This Row],[FAKTUR]]))</f>
        <v/>
      </c>
      <c r="AN819" s="25" t="str">
        <f ca="1">IF(NOTA[[#This Row],[ID]]="","",COUNTIF(NOTA[ID_H],NOTA[[#This Row],[ID_H]]))</f>
        <v/>
      </c>
      <c r="AO819" s="25" t="str">
        <f ca="1">IF(NOTA[[#This Row],[TGL.NOTA]]="",IF(NOTA[[#This Row],[SUPPLIER_H]]="","",AO818),MONTH(NOTA[[#This Row],[TGL.NOTA]]))</f>
        <v/>
      </c>
      <c r="AP8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9" s="25"/>
      <c r="AU819" s="25" t="str">
        <f>IF(NOTA[[#This Row],[CONCAT1]]="","",MATCH(NOTA[[#This Row],[CONCAT1]],[3]!db[NB NOTA_C],0))</f>
        <v/>
      </c>
      <c r="AV819" s="25" t="str">
        <f>IF(NOTA[[#This Row],[QTY/ CTN]]="","",TRUE)</f>
        <v/>
      </c>
      <c r="AW819" s="25" t="str">
        <f ca="1">IF(NOTA[[#This Row],[ID_H]]="","",IF(NOTA[[#This Row],[Column3]]=TRUE,NOTA[[#This Row],[QTY/ CTN]],INDEX([3]!db[QTY/ CTN],NOTA[[#This Row],[//DB]])))</f>
        <v/>
      </c>
      <c r="AX8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9" s="25" t="str">
        <f ca="1">IF(NOTA[[#This Row],[ID_H]]="","",MATCH(NOTA[[#This Row],[NB NOTA_C_QTY]],[3]!db[NB NOTA_C_QTY+F],0))</f>
        <v/>
      </c>
      <c r="AZ819" s="38" t="str">
        <f ca="1">IF(NOTA[[#This Row],[NB NOTA_C_QTY]]="","",ROW()-2)</f>
        <v/>
      </c>
    </row>
    <row r="820" spans="1:52" ht="20.100000000000001" customHeight="1">
      <c r="A8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0" s="25" t="str">
        <f ca="1">IF(NOTA[[#This Row],[NAMA BARANG]]="","",INDEX(NOTA[ID],MATCH(,INDIRECT(ADDRESS(ROW(NOTA[ID]),COLUMN(NOTA[ID]))&amp;":"&amp;ADDRESS(ROW(),COLUMN(NOTA[ID]))),-1)))</f>
        <v/>
      </c>
      <c r="E820" s="33"/>
      <c r="H820" s="34"/>
      <c r="Q820" s="29"/>
      <c r="R820" s="35"/>
      <c r="S820" s="36"/>
      <c r="V820" s="37"/>
      <c r="W820" s="32"/>
      <c r="X820" s="37" t="str">
        <f>IF(NOTA[[#This Row],[HARGA/ CTN]]="",NOTA[[#This Row],[JUMLAH_H]],NOTA[[#This Row],[HARGA/ CTN]]*IF(NOTA[[#This Row],[C]]="",0,NOTA[[#This Row],[C]]))</f>
        <v/>
      </c>
      <c r="Y820" s="37" t="str">
        <f>IF(NOTA[[#This Row],[JUMLAH]]="","",NOTA[[#This Row],[JUMLAH]]*NOTA[[#This Row],[DISC 1]])</f>
        <v/>
      </c>
      <c r="Z820" s="37" t="str">
        <f>IF(NOTA[[#This Row],[JUMLAH]]="","",(NOTA[[#This Row],[JUMLAH]]-NOTA[[#This Row],[DISC 1-]])*NOTA[[#This Row],[DISC 2]])</f>
        <v/>
      </c>
      <c r="AA820" s="37" t="str">
        <f>IF(NOTA[[#This Row],[JUMLAH]]="","",(NOTA[[#This Row],[JUMLAH]]-NOTA[[#This Row],[DISC 1-]]-NOTA[[#This Row],[DISC 2-]])*NOTA[[#This Row],[DISC 3]])</f>
        <v/>
      </c>
      <c r="AB820" s="37" t="str">
        <f>IF(NOTA[[#This Row],[JUMLAH]]="","",NOTA[[#This Row],[DISC 1-]]+NOTA[[#This Row],[DISC 2-]]+NOTA[[#This Row],[DISC 3-]])</f>
        <v/>
      </c>
      <c r="AC820" s="37" t="str">
        <f>IF(NOTA[[#This Row],[JUMLAH]]="","",NOTA[[#This Row],[JUMLAH]]-NOTA[[#This Row],[DISC]])</f>
        <v/>
      </c>
      <c r="AD820" s="37"/>
      <c r="AE8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0" s="37" t="str">
        <f>IF(OR(NOTA[[#This Row],[QTY]]="",NOTA[[#This Row],[HARGA SATUAN]]="",),"",NOTA[[#This Row],[QTY]]*NOTA[[#This Row],[HARGA SATUAN]])</f>
        <v/>
      </c>
      <c r="AI820" s="26" t="str">
        <f ca="1">IF(NOTA[[#This Row],[ID_H]]="","",INDEX(NOTA[TANGGAL],MATCH(,INDIRECT(ADDRESS(ROW(NOTA[TANGGAL]),COLUMN(NOTA[TANGGAL]))&amp;":"&amp;ADDRESS(ROW(),COLUMN(NOTA[TANGGAL]))),-1)))</f>
        <v/>
      </c>
      <c r="AJ820" s="26" t="str">
        <f ca="1">IF(NOTA[[#This Row],[ID_H]]="","",INDEX(NOTA[TGL.NOTA],MATCH(,INDIRECT(ADDRESS(ROW(NOTA[TGL.NOTA]),COLUMN(NOTA[TGL.NOTA]))&amp;":"&amp;ADDRESS(ROW(),COLUMN(NOTA[TGL.NOTA]))),-1)))</f>
        <v/>
      </c>
      <c r="AK820" s="26" t="str">
        <f ca="1">IF(NOTA[[#This Row],[ID_H]]="","",INDEX(NOTA[NO.NOTA],MATCH(NOTA[[#This Row],[ID_H]],NOTA[ID_H],0)))</f>
        <v/>
      </c>
      <c r="AL820" s="28" t="str">
        <f ca="1">IF(NOTA[[#This Row],[NAMA BARANG]]="","",INDEX(NOTA[SUPPLIER],MATCH(,INDIRECT(ADDRESS(ROW(NOTA[ID]),COLUMN(NOTA[ID]))&amp;":"&amp;ADDRESS(ROW(),COLUMN(NOTA[ID]))),-1)))</f>
        <v/>
      </c>
      <c r="AM820" s="28" t="str">
        <f ca="1">IF(NOTA[[#This Row],[ID_H]]="","",IF(NOTA[[#This Row],[FAKTUR]]="",INDIRECT(ADDRESS(ROW()-1,COLUMN())),NOTA[[#This Row],[FAKTUR]]))</f>
        <v/>
      </c>
      <c r="AN820" s="25" t="str">
        <f ca="1">IF(NOTA[[#This Row],[ID]]="","",COUNTIF(NOTA[ID_H],NOTA[[#This Row],[ID_H]]))</f>
        <v/>
      </c>
      <c r="AO820" s="25" t="str">
        <f ca="1">IF(NOTA[[#This Row],[TGL.NOTA]]="",IF(NOTA[[#This Row],[SUPPLIER_H]]="","",AO819),MONTH(NOTA[[#This Row],[TGL.NOTA]]))</f>
        <v/>
      </c>
      <c r="AP8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0" s="25"/>
      <c r="AU820" s="25" t="str">
        <f>IF(NOTA[[#This Row],[CONCAT1]]="","",MATCH(NOTA[[#This Row],[CONCAT1]],[3]!db[NB NOTA_C],0))</f>
        <v/>
      </c>
      <c r="AV820" s="25" t="str">
        <f>IF(NOTA[[#This Row],[QTY/ CTN]]="","",TRUE)</f>
        <v/>
      </c>
      <c r="AW820" s="25" t="str">
        <f ca="1">IF(NOTA[[#This Row],[ID_H]]="","",IF(NOTA[[#This Row],[Column3]]=TRUE,NOTA[[#This Row],[QTY/ CTN]],INDEX([3]!db[QTY/ CTN],NOTA[[#This Row],[//DB]])))</f>
        <v/>
      </c>
      <c r="AX8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0" s="25" t="str">
        <f ca="1">IF(NOTA[[#This Row],[ID_H]]="","",MATCH(NOTA[[#This Row],[NB NOTA_C_QTY]],[3]!db[NB NOTA_C_QTY+F],0))</f>
        <v/>
      </c>
      <c r="AZ820" s="38" t="str">
        <f ca="1">IF(NOTA[[#This Row],[NB NOTA_C_QTY]]="","",ROW()-2)</f>
        <v/>
      </c>
    </row>
    <row r="821" spans="1:52" ht="20.100000000000001" customHeight="1">
      <c r="A8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1" s="25" t="str">
        <f ca="1">IF(NOTA[[#This Row],[NAMA BARANG]]="","",INDEX(NOTA[ID],MATCH(,INDIRECT(ADDRESS(ROW(NOTA[ID]),COLUMN(NOTA[ID]))&amp;":"&amp;ADDRESS(ROW(),COLUMN(NOTA[ID]))),-1)))</f>
        <v/>
      </c>
      <c r="E821" s="33"/>
      <c r="H821" s="34"/>
      <c r="Q821" s="29"/>
      <c r="R821" s="35"/>
      <c r="S821" s="36"/>
      <c r="V821" s="37"/>
      <c r="W821" s="32"/>
      <c r="X821" s="37" t="str">
        <f>IF(NOTA[[#This Row],[HARGA/ CTN]]="",NOTA[[#This Row],[JUMLAH_H]],NOTA[[#This Row],[HARGA/ CTN]]*IF(NOTA[[#This Row],[C]]="",0,NOTA[[#This Row],[C]]))</f>
        <v/>
      </c>
      <c r="Y821" s="37" t="str">
        <f>IF(NOTA[[#This Row],[JUMLAH]]="","",NOTA[[#This Row],[JUMLAH]]*NOTA[[#This Row],[DISC 1]])</f>
        <v/>
      </c>
      <c r="Z821" s="37" t="str">
        <f>IF(NOTA[[#This Row],[JUMLAH]]="","",(NOTA[[#This Row],[JUMLAH]]-NOTA[[#This Row],[DISC 1-]])*NOTA[[#This Row],[DISC 2]])</f>
        <v/>
      </c>
      <c r="AA821" s="37" t="str">
        <f>IF(NOTA[[#This Row],[JUMLAH]]="","",(NOTA[[#This Row],[JUMLAH]]-NOTA[[#This Row],[DISC 1-]]-NOTA[[#This Row],[DISC 2-]])*NOTA[[#This Row],[DISC 3]])</f>
        <v/>
      </c>
      <c r="AB821" s="37" t="str">
        <f>IF(NOTA[[#This Row],[JUMLAH]]="","",NOTA[[#This Row],[DISC 1-]]+NOTA[[#This Row],[DISC 2-]]+NOTA[[#This Row],[DISC 3-]])</f>
        <v/>
      </c>
      <c r="AC821" s="37" t="str">
        <f>IF(NOTA[[#This Row],[JUMLAH]]="","",NOTA[[#This Row],[JUMLAH]]-NOTA[[#This Row],[DISC]])</f>
        <v/>
      </c>
      <c r="AD821" s="37"/>
      <c r="AE8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1" s="37" t="str">
        <f>IF(OR(NOTA[[#This Row],[QTY]]="",NOTA[[#This Row],[HARGA SATUAN]]="",),"",NOTA[[#This Row],[QTY]]*NOTA[[#This Row],[HARGA SATUAN]])</f>
        <v/>
      </c>
      <c r="AI821" s="26" t="str">
        <f ca="1">IF(NOTA[[#This Row],[ID_H]]="","",INDEX(NOTA[TANGGAL],MATCH(,INDIRECT(ADDRESS(ROW(NOTA[TANGGAL]),COLUMN(NOTA[TANGGAL]))&amp;":"&amp;ADDRESS(ROW(),COLUMN(NOTA[TANGGAL]))),-1)))</f>
        <v/>
      </c>
      <c r="AJ821" s="26" t="str">
        <f ca="1">IF(NOTA[[#This Row],[ID_H]]="","",INDEX(NOTA[TGL.NOTA],MATCH(,INDIRECT(ADDRESS(ROW(NOTA[TGL.NOTA]),COLUMN(NOTA[TGL.NOTA]))&amp;":"&amp;ADDRESS(ROW(),COLUMN(NOTA[TGL.NOTA]))),-1)))</f>
        <v/>
      </c>
      <c r="AK821" s="26" t="str">
        <f ca="1">IF(NOTA[[#This Row],[ID_H]]="","",INDEX(NOTA[NO.NOTA],MATCH(NOTA[[#This Row],[ID_H]],NOTA[ID_H],0)))</f>
        <v/>
      </c>
      <c r="AL821" s="28" t="str">
        <f ca="1">IF(NOTA[[#This Row],[NAMA BARANG]]="","",INDEX(NOTA[SUPPLIER],MATCH(,INDIRECT(ADDRESS(ROW(NOTA[ID]),COLUMN(NOTA[ID]))&amp;":"&amp;ADDRESS(ROW(),COLUMN(NOTA[ID]))),-1)))</f>
        <v/>
      </c>
      <c r="AM821" s="28" t="str">
        <f ca="1">IF(NOTA[[#This Row],[ID_H]]="","",IF(NOTA[[#This Row],[FAKTUR]]="",INDIRECT(ADDRESS(ROW()-1,COLUMN())),NOTA[[#This Row],[FAKTUR]]))</f>
        <v/>
      </c>
      <c r="AN821" s="25" t="str">
        <f ca="1">IF(NOTA[[#This Row],[ID]]="","",COUNTIF(NOTA[ID_H],NOTA[[#This Row],[ID_H]]))</f>
        <v/>
      </c>
      <c r="AO821" s="25" t="str">
        <f ca="1">IF(NOTA[[#This Row],[TGL.NOTA]]="",IF(NOTA[[#This Row],[SUPPLIER_H]]="","",AO820),MONTH(NOTA[[#This Row],[TGL.NOTA]]))</f>
        <v/>
      </c>
      <c r="AP8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1" s="25"/>
      <c r="AU821" s="25" t="str">
        <f>IF(NOTA[[#This Row],[CONCAT1]]="","",MATCH(NOTA[[#This Row],[CONCAT1]],[3]!db[NB NOTA_C],0))</f>
        <v/>
      </c>
      <c r="AV821" s="25" t="str">
        <f>IF(NOTA[[#This Row],[QTY/ CTN]]="","",TRUE)</f>
        <v/>
      </c>
      <c r="AW821" s="25" t="str">
        <f ca="1">IF(NOTA[[#This Row],[ID_H]]="","",IF(NOTA[[#This Row],[Column3]]=TRUE,NOTA[[#This Row],[QTY/ CTN]],INDEX([3]!db[QTY/ CTN],NOTA[[#This Row],[//DB]])))</f>
        <v/>
      </c>
      <c r="AX8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1" s="25" t="str">
        <f ca="1">IF(NOTA[[#This Row],[ID_H]]="","",MATCH(NOTA[[#This Row],[NB NOTA_C_QTY]],[3]!db[NB NOTA_C_QTY+F],0))</f>
        <v/>
      </c>
      <c r="AZ821" s="38" t="str">
        <f ca="1">IF(NOTA[[#This Row],[NB NOTA_C_QTY]]="","",ROW()-2)</f>
        <v/>
      </c>
    </row>
    <row r="822" spans="1:52" ht="20.100000000000001" customHeight="1">
      <c r="A8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2" s="25" t="str">
        <f ca="1">IF(NOTA[[#This Row],[NAMA BARANG]]="","",INDEX(NOTA[ID],MATCH(,INDIRECT(ADDRESS(ROW(NOTA[ID]),COLUMN(NOTA[ID]))&amp;":"&amp;ADDRESS(ROW(),COLUMN(NOTA[ID]))),-1)))</f>
        <v/>
      </c>
      <c r="E822" s="33"/>
      <c r="H822" s="34"/>
      <c r="Q822" s="29"/>
      <c r="R822" s="35"/>
      <c r="S822" s="36"/>
      <c r="V822" s="37"/>
      <c r="W822" s="32"/>
      <c r="X822" s="37" t="str">
        <f>IF(NOTA[[#This Row],[HARGA/ CTN]]="",NOTA[[#This Row],[JUMLAH_H]],NOTA[[#This Row],[HARGA/ CTN]]*IF(NOTA[[#This Row],[C]]="",0,NOTA[[#This Row],[C]]))</f>
        <v/>
      </c>
      <c r="Y822" s="37" t="str">
        <f>IF(NOTA[[#This Row],[JUMLAH]]="","",NOTA[[#This Row],[JUMLAH]]*NOTA[[#This Row],[DISC 1]])</f>
        <v/>
      </c>
      <c r="Z822" s="37" t="str">
        <f>IF(NOTA[[#This Row],[JUMLAH]]="","",(NOTA[[#This Row],[JUMLAH]]-NOTA[[#This Row],[DISC 1-]])*NOTA[[#This Row],[DISC 2]])</f>
        <v/>
      </c>
      <c r="AA822" s="37" t="str">
        <f>IF(NOTA[[#This Row],[JUMLAH]]="","",(NOTA[[#This Row],[JUMLAH]]-NOTA[[#This Row],[DISC 1-]]-NOTA[[#This Row],[DISC 2-]])*NOTA[[#This Row],[DISC 3]])</f>
        <v/>
      </c>
      <c r="AB822" s="37" t="str">
        <f>IF(NOTA[[#This Row],[JUMLAH]]="","",NOTA[[#This Row],[DISC 1-]]+NOTA[[#This Row],[DISC 2-]]+NOTA[[#This Row],[DISC 3-]])</f>
        <v/>
      </c>
      <c r="AC822" s="37" t="str">
        <f>IF(NOTA[[#This Row],[JUMLAH]]="","",NOTA[[#This Row],[JUMLAH]]-NOTA[[#This Row],[DISC]])</f>
        <v/>
      </c>
      <c r="AD822" s="37"/>
      <c r="AE8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2" s="37" t="str">
        <f>IF(OR(NOTA[[#This Row],[QTY]]="",NOTA[[#This Row],[HARGA SATUAN]]="",),"",NOTA[[#This Row],[QTY]]*NOTA[[#This Row],[HARGA SATUAN]])</f>
        <v/>
      </c>
      <c r="AI822" s="26" t="str">
        <f ca="1">IF(NOTA[[#This Row],[ID_H]]="","",INDEX(NOTA[TANGGAL],MATCH(,INDIRECT(ADDRESS(ROW(NOTA[TANGGAL]),COLUMN(NOTA[TANGGAL]))&amp;":"&amp;ADDRESS(ROW(),COLUMN(NOTA[TANGGAL]))),-1)))</f>
        <v/>
      </c>
      <c r="AJ822" s="26" t="str">
        <f ca="1">IF(NOTA[[#This Row],[ID_H]]="","",INDEX(NOTA[TGL.NOTA],MATCH(,INDIRECT(ADDRESS(ROW(NOTA[TGL.NOTA]),COLUMN(NOTA[TGL.NOTA]))&amp;":"&amp;ADDRESS(ROW(),COLUMN(NOTA[TGL.NOTA]))),-1)))</f>
        <v/>
      </c>
      <c r="AK822" s="26" t="str">
        <f ca="1">IF(NOTA[[#This Row],[ID_H]]="","",INDEX(NOTA[NO.NOTA],MATCH(NOTA[[#This Row],[ID_H]],NOTA[ID_H],0)))</f>
        <v/>
      </c>
      <c r="AL822" s="28" t="str">
        <f ca="1">IF(NOTA[[#This Row],[NAMA BARANG]]="","",INDEX(NOTA[SUPPLIER],MATCH(,INDIRECT(ADDRESS(ROW(NOTA[ID]),COLUMN(NOTA[ID]))&amp;":"&amp;ADDRESS(ROW(),COLUMN(NOTA[ID]))),-1)))</f>
        <v/>
      </c>
      <c r="AM822" s="28" t="str">
        <f ca="1">IF(NOTA[[#This Row],[ID_H]]="","",IF(NOTA[[#This Row],[FAKTUR]]="",INDIRECT(ADDRESS(ROW()-1,COLUMN())),NOTA[[#This Row],[FAKTUR]]))</f>
        <v/>
      </c>
      <c r="AN822" s="25" t="str">
        <f ca="1">IF(NOTA[[#This Row],[ID]]="","",COUNTIF(NOTA[ID_H],NOTA[[#This Row],[ID_H]]))</f>
        <v/>
      </c>
      <c r="AO822" s="25" t="str">
        <f ca="1">IF(NOTA[[#This Row],[TGL.NOTA]]="",IF(NOTA[[#This Row],[SUPPLIER_H]]="","",AO821),MONTH(NOTA[[#This Row],[TGL.NOTA]]))</f>
        <v/>
      </c>
      <c r="AP8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2" s="25"/>
      <c r="AU822" s="25" t="str">
        <f>IF(NOTA[[#This Row],[CONCAT1]]="","",MATCH(NOTA[[#This Row],[CONCAT1]],[3]!db[NB NOTA_C],0))</f>
        <v/>
      </c>
      <c r="AV822" s="25" t="str">
        <f>IF(NOTA[[#This Row],[QTY/ CTN]]="","",TRUE)</f>
        <v/>
      </c>
      <c r="AW822" s="25" t="str">
        <f ca="1">IF(NOTA[[#This Row],[ID_H]]="","",IF(NOTA[[#This Row],[Column3]]=TRUE,NOTA[[#This Row],[QTY/ CTN]],INDEX([3]!db[QTY/ CTN],NOTA[[#This Row],[//DB]])))</f>
        <v/>
      </c>
      <c r="AX8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2" s="25" t="str">
        <f ca="1">IF(NOTA[[#This Row],[ID_H]]="","",MATCH(NOTA[[#This Row],[NB NOTA_C_QTY]],[3]!db[NB NOTA_C_QTY+F],0))</f>
        <v/>
      </c>
      <c r="AZ822" s="38" t="str">
        <f ca="1">IF(NOTA[[#This Row],[NB NOTA_C_QTY]]="","",ROW()-2)</f>
        <v/>
      </c>
    </row>
    <row r="823" spans="1:52" ht="20.100000000000001" customHeight="1">
      <c r="A8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3" s="25" t="str">
        <f ca="1">IF(NOTA[[#This Row],[NAMA BARANG]]="","",INDEX(NOTA[ID],MATCH(,INDIRECT(ADDRESS(ROW(NOTA[ID]),COLUMN(NOTA[ID]))&amp;":"&amp;ADDRESS(ROW(),COLUMN(NOTA[ID]))),-1)))</f>
        <v/>
      </c>
      <c r="E823" s="33"/>
      <c r="H823" s="34"/>
      <c r="Q823" s="29"/>
      <c r="R823" s="35"/>
      <c r="S823" s="36"/>
      <c r="V823" s="37"/>
      <c r="W823" s="32"/>
      <c r="X823" s="37" t="str">
        <f>IF(NOTA[[#This Row],[HARGA/ CTN]]="",NOTA[[#This Row],[JUMLAH_H]],NOTA[[#This Row],[HARGA/ CTN]]*IF(NOTA[[#This Row],[C]]="",0,NOTA[[#This Row],[C]]))</f>
        <v/>
      </c>
      <c r="Y823" s="37" t="str">
        <f>IF(NOTA[[#This Row],[JUMLAH]]="","",NOTA[[#This Row],[JUMLAH]]*NOTA[[#This Row],[DISC 1]])</f>
        <v/>
      </c>
      <c r="Z823" s="37" t="str">
        <f>IF(NOTA[[#This Row],[JUMLAH]]="","",(NOTA[[#This Row],[JUMLAH]]-NOTA[[#This Row],[DISC 1-]])*NOTA[[#This Row],[DISC 2]])</f>
        <v/>
      </c>
      <c r="AA823" s="37" t="str">
        <f>IF(NOTA[[#This Row],[JUMLAH]]="","",(NOTA[[#This Row],[JUMLAH]]-NOTA[[#This Row],[DISC 1-]]-NOTA[[#This Row],[DISC 2-]])*NOTA[[#This Row],[DISC 3]])</f>
        <v/>
      </c>
      <c r="AB823" s="37" t="str">
        <f>IF(NOTA[[#This Row],[JUMLAH]]="","",NOTA[[#This Row],[DISC 1-]]+NOTA[[#This Row],[DISC 2-]]+NOTA[[#This Row],[DISC 3-]])</f>
        <v/>
      </c>
      <c r="AC823" s="37" t="str">
        <f>IF(NOTA[[#This Row],[JUMLAH]]="","",NOTA[[#This Row],[JUMLAH]]-NOTA[[#This Row],[DISC]])</f>
        <v/>
      </c>
      <c r="AD823" s="37"/>
      <c r="AE8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3" s="37" t="str">
        <f>IF(OR(NOTA[[#This Row],[QTY]]="",NOTA[[#This Row],[HARGA SATUAN]]="",),"",NOTA[[#This Row],[QTY]]*NOTA[[#This Row],[HARGA SATUAN]])</f>
        <v/>
      </c>
      <c r="AI823" s="26" t="str">
        <f ca="1">IF(NOTA[[#This Row],[ID_H]]="","",INDEX(NOTA[TANGGAL],MATCH(,INDIRECT(ADDRESS(ROW(NOTA[TANGGAL]),COLUMN(NOTA[TANGGAL]))&amp;":"&amp;ADDRESS(ROW(),COLUMN(NOTA[TANGGAL]))),-1)))</f>
        <v/>
      </c>
      <c r="AJ823" s="26" t="str">
        <f ca="1">IF(NOTA[[#This Row],[ID_H]]="","",INDEX(NOTA[TGL.NOTA],MATCH(,INDIRECT(ADDRESS(ROW(NOTA[TGL.NOTA]),COLUMN(NOTA[TGL.NOTA]))&amp;":"&amp;ADDRESS(ROW(),COLUMN(NOTA[TGL.NOTA]))),-1)))</f>
        <v/>
      </c>
      <c r="AK823" s="26" t="str">
        <f ca="1">IF(NOTA[[#This Row],[ID_H]]="","",INDEX(NOTA[NO.NOTA],MATCH(NOTA[[#This Row],[ID_H]],NOTA[ID_H],0)))</f>
        <v/>
      </c>
      <c r="AL823" s="28" t="str">
        <f ca="1">IF(NOTA[[#This Row],[NAMA BARANG]]="","",INDEX(NOTA[SUPPLIER],MATCH(,INDIRECT(ADDRESS(ROW(NOTA[ID]),COLUMN(NOTA[ID]))&amp;":"&amp;ADDRESS(ROW(),COLUMN(NOTA[ID]))),-1)))</f>
        <v/>
      </c>
      <c r="AM823" s="28" t="str">
        <f ca="1">IF(NOTA[[#This Row],[ID_H]]="","",IF(NOTA[[#This Row],[FAKTUR]]="",INDIRECT(ADDRESS(ROW()-1,COLUMN())),NOTA[[#This Row],[FAKTUR]]))</f>
        <v/>
      </c>
      <c r="AN823" s="25" t="str">
        <f ca="1">IF(NOTA[[#This Row],[ID]]="","",COUNTIF(NOTA[ID_H],NOTA[[#This Row],[ID_H]]))</f>
        <v/>
      </c>
      <c r="AO823" s="25" t="str">
        <f ca="1">IF(NOTA[[#This Row],[TGL.NOTA]]="",IF(NOTA[[#This Row],[SUPPLIER_H]]="","",AO822),MONTH(NOTA[[#This Row],[TGL.NOTA]]))</f>
        <v/>
      </c>
      <c r="AP8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3" s="25"/>
      <c r="AU823" s="25" t="str">
        <f>IF(NOTA[[#This Row],[CONCAT1]]="","",MATCH(NOTA[[#This Row],[CONCAT1]],[3]!db[NB NOTA_C],0))</f>
        <v/>
      </c>
      <c r="AV823" s="25" t="str">
        <f>IF(NOTA[[#This Row],[QTY/ CTN]]="","",TRUE)</f>
        <v/>
      </c>
      <c r="AW823" s="25" t="str">
        <f ca="1">IF(NOTA[[#This Row],[ID_H]]="","",IF(NOTA[[#This Row],[Column3]]=TRUE,NOTA[[#This Row],[QTY/ CTN]],INDEX([3]!db[QTY/ CTN],NOTA[[#This Row],[//DB]])))</f>
        <v/>
      </c>
      <c r="AX8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3" s="25" t="str">
        <f ca="1">IF(NOTA[[#This Row],[ID_H]]="","",MATCH(NOTA[[#This Row],[NB NOTA_C_QTY]],[3]!db[NB NOTA_C_QTY+F],0))</f>
        <v/>
      </c>
      <c r="AZ823" s="38" t="str">
        <f ca="1">IF(NOTA[[#This Row],[NB NOTA_C_QTY]]="","",ROW()-2)</f>
        <v/>
      </c>
    </row>
    <row r="824" spans="1:52" ht="20.100000000000001" customHeight="1">
      <c r="A8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4" s="25" t="str">
        <f ca="1">IF(NOTA[[#This Row],[NAMA BARANG]]="","",INDEX(NOTA[ID],MATCH(,INDIRECT(ADDRESS(ROW(NOTA[ID]),COLUMN(NOTA[ID]))&amp;":"&amp;ADDRESS(ROW(),COLUMN(NOTA[ID]))),-1)))</f>
        <v/>
      </c>
      <c r="E824" s="33"/>
      <c r="H824" s="34"/>
      <c r="Q824" s="29"/>
      <c r="R824" s="35"/>
      <c r="S824" s="36"/>
      <c r="V824" s="37"/>
      <c r="W824" s="32"/>
      <c r="X824" s="37" t="str">
        <f>IF(NOTA[[#This Row],[HARGA/ CTN]]="",NOTA[[#This Row],[JUMLAH_H]],NOTA[[#This Row],[HARGA/ CTN]]*IF(NOTA[[#This Row],[C]]="",0,NOTA[[#This Row],[C]]))</f>
        <v/>
      </c>
      <c r="Y824" s="37" t="str">
        <f>IF(NOTA[[#This Row],[JUMLAH]]="","",NOTA[[#This Row],[JUMLAH]]*NOTA[[#This Row],[DISC 1]])</f>
        <v/>
      </c>
      <c r="Z824" s="37" t="str">
        <f>IF(NOTA[[#This Row],[JUMLAH]]="","",(NOTA[[#This Row],[JUMLAH]]-NOTA[[#This Row],[DISC 1-]])*NOTA[[#This Row],[DISC 2]])</f>
        <v/>
      </c>
      <c r="AA824" s="37" t="str">
        <f>IF(NOTA[[#This Row],[JUMLAH]]="","",(NOTA[[#This Row],[JUMLAH]]-NOTA[[#This Row],[DISC 1-]]-NOTA[[#This Row],[DISC 2-]])*NOTA[[#This Row],[DISC 3]])</f>
        <v/>
      </c>
      <c r="AB824" s="37" t="str">
        <f>IF(NOTA[[#This Row],[JUMLAH]]="","",NOTA[[#This Row],[DISC 1-]]+NOTA[[#This Row],[DISC 2-]]+NOTA[[#This Row],[DISC 3-]])</f>
        <v/>
      </c>
      <c r="AC824" s="37" t="str">
        <f>IF(NOTA[[#This Row],[JUMLAH]]="","",NOTA[[#This Row],[JUMLAH]]-NOTA[[#This Row],[DISC]])</f>
        <v/>
      </c>
      <c r="AD824" s="37"/>
      <c r="AE8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4" s="37" t="str">
        <f>IF(OR(NOTA[[#This Row],[QTY]]="",NOTA[[#This Row],[HARGA SATUAN]]="",),"",NOTA[[#This Row],[QTY]]*NOTA[[#This Row],[HARGA SATUAN]])</f>
        <v/>
      </c>
      <c r="AI824" s="26" t="str">
        <f ca="1">IF(NOTA[[#This Row],[ID_H]]="","",INDEX(NOTA[TANGGAL],MATCH(,INDIRECT(ADDRESS(ROW(NOTA[TANGGAL]),COLUMN(NOTA[TANGGAL]))&amp;":"&amp;ADDRESS(ROW(),COLUMN(NOTA[TANGGAL]))),-1)))</f>
        <v/>
      </c>
      <c r="AJ824" s="26" t="str">
        <f ca="1">IF(NOTA[[#This Row],[ID_H]]="","",INDEX(NOTA[TGL.NOTA],MATCH(,INDIRECT(ADDRESS(ROW(NOTA[TGL.NOTA]),COLUMN(NOTA[TGL.NOTA]))&amp;":"&amp;ADDRESS(ROW(),COLUMN(NOTA[TGL.NOTA]))),-1)))</f>
        <v/>
      </c>
      <c r="AK824" s="26" t="str">
        <f ca="1">IF(NOTA[[#This Row],[ID_H]]="","",INDEX(NOTA[NO.NOTA],MATCH(NOTA[[#This Row],[ID_H]],NOTA[ID_H],0)))</f>
        <v/>
      </c>
      <c r="AL824" s="28" t="str">
        <f ca="1">IF(NOTA[[#This Row],[NAMA BARANG]]="","",INDEX(NOTA[SUPPLIER],MATCH(,INDIRECT(ADDRESS(ROW(NOTA[ID]),COLUMN(NOTA[ID]))&amp;":"&amp;ADDRESS(ROW(),COLUMN(NOTA[ID]))),-1)))</f>
        <v/>
      </c>
      <c r="AM824" s="28" t="str">
        <f ca="1">IF(NOTA[[#This Row],[ID_H]]="","",IF(NOTA[[#This Row],[FAKTUR]]="",INDIRECT(ADDRESS(ROW()-1,COLUMN())),NOTA[[#This Row],[FAKTUR]]))</f>
        <v/>
      </c>
      <c r="AN824" s="25" t="str">
        <f ca="1">IF(NOTA[[#This Row],[ID]]="","",COUNTIF(NOTA[ID_H],NOTA[[#This Row],[ID_H]]))</f>
        <v/>
      </c>
      <c r="AO824" s="25" t="str">
        <f ca="1">IF(NOTA[[#This Row],[TGL.NOTA]]="",IF(NOTA[[#This Row],[SUPPLIER_H]]="","",AO823),MONTH(NOTA[[#This Row],[TGL.NOTA]]))</f>
        <v/>
      </c>
      <c r="AP8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4" s="25"/>
      <c r="AU824" s="25" t="str">
        <f>IF(NOTA[[#This Row],[CONCAT1]]="","",MATCH(NOTA[[#This Row],[CONCAT1]],[3]!db[NB NOTA_C],0))</f>
        <v/>
      </c>
      <c r="AV824" s="25" t="str">
        <f>IF(NOTA[[#This Row],[QTY/ CTN]]="","",TRUE)</f>
        <v/>
      </c>
      <c r="AW824" s="25" t="str">
        <f ca="1">IF(NOTA[[#This Row],[ID_H]]="","",IF(NOTA[[#This Row],[Column3]]=TRUE,NOTA[[#This Row],[QTY/ CTN]],INDEX([3]!db[QTY/ CTN],NOTA[[#This Row],[//DB]])))</f>
        <v/>
      </c>
      <c r="AX8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4" s="25" t="str">
        <f ca="1">IF(NOTA[[#This Row],[ID_H]]="","",MATCH(NOTA[[#This Row],[NB NOTA_C_QTY]],[3]!db[NB NOTA_C_QTY+F],0))</f>
        <v/>
      </c>
      <c r="AZ824" s="38" t="str">
        <f ca="1">IF(NOTA[[#This Row],[NB NOTA_C_QTY]]="","",ROW()-2)</f>
        <v/>
      </c>
    </row>
    <row r="825" spans="1:52" ht="20.100000000000001" customHeight="1">
      <c r="A8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5" s="25" t="str">
        <f ca="1">IF(NOTA[[#This Row],[NAMA BARANG]]="","",INDEX(NOTA[ID],MATCH(,INDIRECT(ADDRESS(ROW(NOTA[ID]),COLUMN(NOTA[ID]))&amp;":"&amp;ADDRESS(ROW(),COLUMN(NOTA[ID]))),-1)))</f>
        <v/>
      </c>
      <c r="E825" s="33"/>
      <c r="H825" s="34"/>
      <c r="Q825" s="29"/>
      <c r="R825" s="35"/>
      <c r="S825" s="36"/>
      <c r="V825" s="37"/>
      <c r="W825" s="32"/>
      <c r="X825" s="37" t="str">
        <f>IF(NOTA[[#This Row],[HARGA/ CTN]]="",NOTA[[#This Row],[JUMLAH_H]],NOTA[[#This Row],[HARGA/ CTN]]*IF(NOTA[[#This Row],[C]]="",0,NOTA[[#This Row],[C]]))</f>
        <v/>
      </c>
      <c r="Y825" s="37" t="str">
        <f>IF(NOTA[[#This Row],[JUMLAH]]="","",NOTA[[#This Row],[JUMLAH]]*NOTA[[#This Row],[DISC 1]])</f>
        <v/>
      </c>
      <c r="Z825" s="37" t="str">
        <f>IF(NOTA[[#This Row],[JUMLAH]]="","",(NOTA[[#This Row],[JUMLAH]]-NOTA[[#This Row],[DISC 1-]])*NOTA[[#This Row],[DISC 2]])</f>
        <v/>
      </c>
      <c r="AA825" s="37" t="str">
        <f>IF(NOTA[[#This Row],[JUMLAH]]="","",(NOTA[[#This Row],[JUMLAH]]-NOTA[[#This Row],[DISC 1-]]-NOTA[[#This Row],[DISC 2-]])*NOTA[[#This Row],[DISC 3]])</f>
        <v/>
      </c>
      <c r="AB825" s="37" t="str">
        <f>IF(NOTA[[#This Row],[JUMLAH]]="","",NOTA[[#This Row],[DISC 1-]]+NOTA[[#This Row],[DISC 2-]]+NOTA[[#This Row],[DISC 3-]])</f>
        <v/>
      </c>
      <c r="AC825" s="37" t="str">
        <f>IF(NOTA[[#This Row],[JUMLAH]]="","",NOTA[[#This Row],[JUMLAH]]-NOTA[[#This Row],[DISC]])</f>
        <v/>
      </c>
      <c r="AD825" s="37"/>
      <c r="AE8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5" s="37" t="str">
        <f>IF(OR(NOTA[[#This Row],[QTY]]="",NOTA[[#This Row],[HARGA SATUAN]]="",),"",NOTA[[#This Row],[QTY]]*NOTA[[#This Row],[HARGA SATUAN]])</f>
        <v/>
      </c>
      <c r="AI825" s="26" t="str">
        <f ca="1">IF(NOTA[[#This Row],[ID_H]]="","",INDEX(NOTA[TANGGAL],MATCH(,INDIRECT(ADDRESS(ROW(NOTA[TANGGAL]),COLUMN(NOTA[TANGGAL]))&amp;":"&amp;ADDRESS(ROW(),COLUMN(NOTA[TANGGAL]))),-1)))</f>
        <v/>
      </c>
      <c r="AJ825" s="26" t="str">
        <f ca="1">IF(NOTA[[#This Row],[ID_H]]="","",INDEX(NOTA[TGL.NOTA],MATCH(,INDIRECT(ADDRESS(ROW(NOTA[TGL.NOTA]),COLUMN(NOTA[TGL.NOTA]))&amp;":"&amp;ADDRESS(ROW(),COLUMN(NOTA[TGL.NOTA]))),-1)))</f>
        <v/>
      </c>
      <c r="AK825" s="26" t="str">
        <f ca="1">IF(NOTA[[#This Row],[ID_H]]="","",INDEX(NOTA[NO.NOTA],MATCH(NOTA[[#This Row],[ID_H]],NOTA[ID_H],0)))</f>
        <v/>
      </c>
      <c r="AL825" s="28" t="str">
        <f ca="1">IF(NOTA[[#This Row],[NAMA BARANG]]="","",INDEX(NOTA[SUPPLIER],MATCH(,INDIRECT(ADDRESS(ROW(NOTA[ID]),COLUMN(NOTA[ID]))&amp;":"&amp;ADDRESS(ROW(),COLUMN(NOTA[ID]))),-1)))</f>
        <v/>
      </c>
      <c r="AM825" s="28" t="str">
        <f ca="1">IF(NOTA[[#This Row],[ID_H]]="","",IF(NOTA[[#This Row],[FAKTUR]]="",INDIRECT(ADDRESS(ROW()-1,COLUMN())),NOTA[[#This Row],[FAKTUR]]))</f>
        <v/>
      </c>
      <c r="AN825" s="25" t="str">
        <f ca="1">IF(NOTA[[#This Row],[ID]]="","",COUNTIF(NOTA[ID_H],NOTA[[#This Row],[ID_H]]))</f>
        <v/>
      </c>
      <c r="AO825" s="25" t="str">
        <f ca="1">IF(NOTA[[#This Row],[TGL.NOTA]]="",IF(NOTA[[#This Row],[SUPPLIER_H]]="","",AO824),MONTH(NOTA[[#This Row],[TGL.NOTA]]))</f>
        <v/>
      </c>
      <c r="AP8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5" s="25"/>
      <c r="AU825" s="25" t="str">
        <f>IF(NOTA[[#This Row],[CONCAT1]]="","",MATCH(NOTA[[#This Row],[CONCAT1]],[3]!db[NB NOTA_C],0))</f>
        <v/>
      </c>
      <c r="AV825" s="25" t="str">
        <f>IF(NOTA[[#This Row],[QTY/ CTN]]="","",TRUE)</f>
        <v/>
      </c>
      <c r="AW825" s="25" t="str">
        <f ca="1">IF(NOTA[[#This Row],[ID_H]]="","",IF(NOTA[[#This Row],[Column3]]=TRUE,NOTA[[#This Row],[QTY/ CTN]],INDEX([3]!db[QTY/ CTN],NOTA[[#This Row],[//DB]])))</f>
        <v/>
      </c>
      <c r="AX8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5" s="25" t="str">
        <f ca="1">IF(NOTA[[#This Row],[ID_H]]="","",MATCH(NOTA[[#This Row],[NB NOTA_C_QTY]],[3]!db[NB NOTA_C_QTY+F],0))</f>
        <v/>
      </c>
      <c r="AZ825" s="38" t="str">
        <f ca="1">IF(NOTA[[#This Row],[NB NOTA_C_QTY]]="","",ROW()-2)</f>
        <v/>
      </c>
    </row>
    <row r="826" spans="1:52" ht="20.100000000000001" customHeight="1">
      <c r="A8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6" s="25" t="str">
        <f ca="1">IF(NOTA[[#This Row],[NAMA BARANG]]="","",INDEX(NOTA[ID],MATCH(,INDIRECT(ADDRESS(ROW(NOTA[ID]),COLUMN(NOTA[ID]))&amp;":"&amp;ADDRESS(ROW(),COLUMN(NOTA[ID]))),-1)))</f>
        <v/>
      </c>
      <c r="E826" s="33"/>
      <c r="H826" s="34"/>
      <c r="Q826" s="29"/>
      <c r="R826" s="35"/>
      <c r="S826" s="36"/>
      <c r="V826" s="37"/>
      <c r="W826" s="32"/>
      <c r="X826" s="37" t="str">
        <f>IF(NOTA[[#This Row],[HARGA/ CTN]]="",NOTA[[#This Row],[JUMLAH_H]],NOTA[[#This Row],[HARGA/ CTN]]*IF(NOTA[[#This Row],[C]]="",0,NOTA[[#This Row],[C]]))</f>
        <v/>
      </c>
      <c r="Y826" s="37" t="str">
        <f>IF(NOTA[[#This Row],[JUMLAH]]="","",NOTA[[#This Row],[JUMLAH]]*NOTA[[#This Row],[DISC 1]])</f>
        <v/>
      </c>
      <c r="Z826" s="37" t="str">
        <f>IF(NOTA[[#This Row],[JUMLAH]]="","",(NOTA[[#This Row],[JUMLAH]]-NOTA[[#This Row],[DISC 1-]])*NOTA[[#This Row],[DISC 2]])</f>
        <v/>
      </c>
      <c r="AA826" s="37" t="str">
        <f>IF(NOTA[[#This Row],[JUMLAH]]="","",(NOTA[[#This Row],[JUMLAH]]-NOTA[[#This Row],[DISC 1-]]-NOTA[[#This Row],[DISC 2-]])*NOTA[[#This Row],[DISC 3]])</f>
        <v/>
      </c>
      <c r="AB826" s="37" t="str">
        <f>IF(NOTA[[#This Row],[JUMLAH]]="","",NOTA[[#This Row],[DISC 1-]]+NOTA[[#This Row],[DISC 2-]]+NOTA[[#This Row],[DISC 3-]])</f>
        <v/>
      </c>
      <c r="AC826" s="37" t="str">
        <f>IF(NOTA[[#This Row],[JUMLAH]]="","",NOTA[[#This Row],[JUMLAH]]-NOTA[[#This Row],[DISC]])</f>
        <v/>
      </c>
      <c r="AD826" s="37"/>
      <c r="AE8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6" s="37" t="str">
        <f>IF(OR(NOTA[[#This Row],[QTY]]="",NOTA[[#This Row],[HARGA SATUAN]]="",),"",NOTA[[#This Row],[QTY]]*NOTA[[#This Row],[HARGA SATUAN]])</f>
        <v/>
      </c>
      <c r="AI826" s="26" t="str">
        <f ca="1">IF(NOTA[[#This Row],[ID_H]]="","",INDEX(NOTA[TANGGAL],MATCH(,INDIRECT(ADDRESS(ROW(NOTA[TANGGAL]),COLUMN(NOTA[TANGGAL]))&amp;":"&amp;ADDRESS(ROW(),COLUMN(NOTA[TANGGAL]))),-1)))</f>
        <v/>
      </c>
      <c r="AJ826" s="26" t="str">
        <f ca="1">IF(NOTA[[#This Row],[ID_H]]="","",INDEX(NOTA[TGL.NOTA],MATCH(,INDIRECT(ADDRESS(ROW(NOTA[TGL.NOTA]),COLUMN(NOTA[TGL.NOTA]))&amp;":"&amp;ADDRESS(ROW(),COLUMN(NOTA[TGL.NOTA]))),-1)))</f>
        <v/>
      </c>
      <c r="AK826" s="26" t="str">
        <f ca="1">IF(NOTA[[#This Row],[ID_H]]="","",INDEX(NOTA[NO.NOTA],MATCH(NOTA[[#This Row],[ID_H]],NOTA[ID_H],0)))</f>
        <v/>
      </c>
      <c r="AL826" s="28" t="str">
        <f ca="1">IF(NOTA[[#This Row],[NAMA BARANG]]="","",INDEX(NOTA[SUPPLIER],MATCH(,INDIRECT(ADDRESS(ROW(NOTA[ID]),COLUMN(NOTA[ID]))&amp;":"&amp;ADDRESS(ROW(),COLUMN(NOTA[ID]))),-1)))</f>
        <v/>
      </c>
      <c r="AM826" s="28" t="str">
        <f ca="1">IF(NOTA[[#This Row],[ID_H]]="","",IF(NOTA[[#This Row],[FAKTUR]]="",INDIRECT(ADDRESS(ROW()-1,COLUMN())),NOTA[[#This Row],[FAKTUR]]))</f>
        <v/>
      </c>
      <c r="AN826" s="25" t="str">
        <f ca="1">IF(NOTA[[#This Row],[ID]]="","",COUNTIF(NOTA[ID_H],NOTA[[#This Row],[ID_H]]))</f>
        <v/>
      </c>
      <c r="AO826" s="25" t="str">
        <f ca="1">IF(NOTA[[#This Row],[TGL.NOTA]]="",IF(NOTA[[#This Row],[SUPPLIER_H]]="","",AO825),MONTH(NOTA[[#This Row],[TGL.NOTA]]))</f>
        <v/>
      </c>
      <c r="AP8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6" s="25"/>
      <c r="AU826" s="25" t="str">
        <f>IF(NOTA[[#This Row],[CONCAT1]]="","",MATCH(NOTA[[#This Row],[CONCAT1]],[3]!db[NB NOTA_C],0))</f>
        <v/>
      </c>
      <c r="AV826" s="25" t="str">
        <f>IF(NOTA[[#This Row],[QTY/ CTN]]="","",TRUE)</f>
        <v/>
      </c>
      <c r="AW826" s="25" t="str">
        <f ca="1">IF(NOTA[[#This Row],[ID_H]]="","",IF(NOTA[[#This Row],[Column3]]=TRUE,NOTA[[#This Row],[QTY/ CTN]],INDEX([3]!db[QTY/ CTN],NOTA[[#This Row],[//DB]])))</f>
        <v/>
      </c>
      <c r="AX8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6" s="25" t="str">
        <f ca="1">IF(NOTA[[#This Row],[ID_H]]="","",MATCH(NOTA[[#This Row],[NB NOTA_C_QTY]],[3]!db[NB NOTA_C_QTY+F],0))</f>
        <v/>
      </c>
      <c r="AZ826" s="38" t="str">
        <f ca="1">IF(NOTA[[#This Row],[NB NOTA_C_QTY]]="","",ROW()-2)</f>
        <v/>
      </c>
    </row>
    <row r="827" spans="1:52" ht="20.100000000000001" customHeight="1">
      <c r="A8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7" s="25" t="str">
        <f ca="1">IF(NOTA[[#This Row],[NAMA BARANG]]="","",INDEX(NOTA[ID],MATCH(,INDIRECT(ADDRESS(ROW(NOTA[ID]),COLUMN(NOTA[ID]))&amp;":"&amp;ADDRESS(ROW(),COLUMN(NOTA[ID]))),-1)))</f>
        <v/>
      </c>
      <c r="E827" s="33"/>
      <c r="H827" s="34"/>
      <c r="Q827" s="29"/>
      <c r="R827" s="35"/>
      <c r="S827" s="36"/>
      <c r="V827" s="37"/>
      <c r="W827" s="32"/>
      <c r="X827" s="37" t="str">
        <f>IF(NOTA[[#This Row],[HARGA/ CTN]]="",NOTA[[#This Row],[JUMLAH_H]],NOTA[[#This Row],[HARGA/ CTN]]*IF(NOTA[[#This Row],[C]]="",0,NOTA[[#This Row],[C]]))</f>
        <v/>
      </c>
      <c r="Y827" s="37" t="str">
        <f>IF(NOTA[[#This Row],[JUMLAH]]="","",NOTA[[#This Row],[JUMLAH]]*NOTA[[#This Row],[DISC 1]])</f>
        <v/>
      </c>
      <c r="Z827" s="37" t="str">
        <f>IF(NOTA[[#This Row],[JUMLAH]]="","",(NOTA[[#This Row],[JUMLAH]]-NOTA[[#This Row],[DISC 1-]])*NOTA[[#This Row],[DISC 2]])</f>
        <v/>
      </c>
      <c r="AA827" s="37" t="str">
        <f>IF(NOTA[[#This Row],[JUMLAH]]="","",(NOTA[[#This Row],[JUMLAH]]-NOTA[[#This Row],[DISC 1-]]-NOTA[[#This Row],[DISC 2-]])*NOTA[[#This Row],[DISC 3]])</f>
        <v/>
      </c>
      <c r="AB827" s="37" t="str">
        <f>IF(NOTA[[#This Row],[JUMLAH]]="","",NOTA[[#This Row],[DISC 1-]]+NOTA[[#This Row],[DISC 2-]]+NOTA[[#This Row],[DISC 3-]])</f>
        <v/>
      </c>
      <c r="AC827" s="37" t="str">
        <f>IF(NOTA[[#This Row],[JUMLAH]]="","",NOTA[[#This Row],[JUMLAH]]-NOTA[[#This Row],[DISC]])</f>
        <v/>
      </c>
      <c r="AD827" s="37"/>
      <c r="AE8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7" s="37" t="str">
        <f>IF(OR(NOTA[[#This Row],[QTY]]="",NOTA[[#This Row],[HARGA SATUAN]]="",),"",NOTA[[#This Row],[QTY]]*NOTA[[#This Row],[HARGA SATUAN]])</f>
        <v/>
      </c>
      <c r="AI827" s="26" t="str">
        <f ca="1">IF(NOTA[[#This Row],[ID_H]]="","",INDEX(NOTA[TANGGAL],MATCH(,INDIRECT(ADDRESS(ROW(NOTA[TANGGAL]),COLUMN(NOTA[TANGGAL]))&amp;":"&amp;ADDRESS(ROW(),COLUMN(NOTA[TANGGAL]))),-1)))</f>
        <v/>
      </c>
      <c r="AJ827" s="26" t="str">
        <f ca="1">IF(NOTA[[#This Row],[ID_H]]="","",INDEX(NOTA[TGL.NOTA],MATCH(,INDIRECT(ADDRESS(ROW(NOTA[TGL.NOTA]),COLUMN(NOTA[TGL.NOTA]))&amp;":"&amp;ADDRESS(ROW(),COLUMN(NOTA[TGL.NOTA]))),-1)))</f>
        <v/>
      </c>
      <c r="AK827" s="26" t="str">
        <f ca="1">IF(NOTA[[#This Row],[ID_H]]="","",INDEX(NOTA[NO.NOTA],MATCH(NOTA[[#This Row],[ID_H]],NOTA[ID_H],0)))</f>
        <v/>
      </c>
      <c r="AL827" s="28" t="str">
        <f ca="1">IF(NOTA[[#This Row],[NAMA BARANG]]="","",INDEX(NOTA[SUPPLIER],MATCH(,INDIRECT(ADDRESS(ROW(NOTA[ID]),COLUMN(NOTA[ID]))&amp;":"&amp;ADDRESS(ROW(),COLUMN(NOTA[ID]))),-1)))</f>
        <v/>
      </c>
      <c r="AM827" s="28" t="str">
        <f ca="1">IF(NOTA[[#This Row],[ID_H]]="","",IF(NOTA[[#This Row],[FAKTUR]]="",INDIRECT(ADDRESS(ROW()-1,COLUMN())),NOTA[[#This Row],[FAKTUR]]))</f>
        <v/>
      </c>
      <c r="AN827" s="25" t="str">
        <f ca="1">IF(NOTA[[#This Row],[ID]]="","",COUNTIF(NOTA[ID_H],NOTA[[#This Row],[ID_H]]))</f>
        <v/>
      </c>
      <c r="AO827" s="25" t="str">
        <f ca="1">IF(NOTA[[#This Row],[TGL.NOTA]]="",IF(NOTA[[#This Row],[SUPPLIER_H]]="","",AO826),MONTH(NOTA[[#This Row],[TGL.NOTA]]))</f>
        <v/>
      </c>
      <c r="AP8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7" s="25"/>
      <c r="AU827" s="25" t="str">
        <f>IF(NOTA[[#This Row],[CONCAT1]]="","",MATCH(NOTA[[#This Row],[CONCAT1]],[3]!db[NB NOTA_C],0))</f>
        <v/>
      </c>
      <c r="AV827" s="25" t="str">
        <f>IF(NOTA[[#This Row],[QTY/ CTN]]="","",TRUE)</f>
        <v/>
      </c>
      <c r="AW827" s="25" t="str">
        <f ca="1">IF(NOTA[[#This Row],[ID_H]]="","",IF(NOTA[[#This Row],[Column3]]=TRUE,NOTA[[#This Row],[QTY/ CTN]],INDEX([3]!db[QTY/ CTN],NOTA[[#This Row],[//DB]])))</f>
        <v/>
      </c>
      <c r="AX8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7" s="25" t="str">
        <f ca="1">IF(NOTA[[#This Row],[ID_H]]="","",MATCH(NOTA[[#This Row],[NB NOTA_C_QTY]],[3]!db[NB NOTA_C_QTY+F],0))</f>
        <v/>
      </c>
      <c r="AZ827" s="38" t="str">
        <f ca="1">IF(NOTA[[#This Row],[NB NOTA_C_QTY]]="","",ROW()-2)</f>
        <v/>
      </c>
    </row>
    <row r="828" spans="1:52" ht="20.100000000000001" customHeight="1">
      <c r="A8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8" s="25" t="str">
        <f ca="1">IF(NOTA[[#This Row],[NAMA BARANG]]="","",INDEX(NOTA[ID],MATCH(,INDIRECT(ADDRESS(ROW(NOTA[ID]),COLUMN(NOTA[ID]))&amp;":"&amp;ADDRESS(ROW(),COLUMN(NOTA[ID]))),-1)))</f>
        <v/>
      </c>
      <c r="E828" s="33"/>
      <c r="H828" s="34"/>
      <c r="Q828" s="29"/>
      <c r="R828" s="35"/>
      <c r="S828" s="36"/>
      <c r="V828" s="37"/>
      <c r="W828" s="32"/>
      <c r="X828" s="37" t="str">
        <f>IF(NOTA[[#This Row],[HARGA/ CTN]]="",NOTA[[#This Row],[JUMLAH_H]],NOTA[[#This Row],[HARGA/ CTN]]*IF(NOTA[[#This Row],[C]]="",0,NOTA[[#This Row],[C]]))</f>
        <v/>
      </c>
      <c r="Y828" s="37" t="str">
        <f>IF(NOTA[[#This Row],[JUMLAH]]="","",NOTA[[#This Row],[JUMLAH]]*NOTA[[#This Row],[DISC 1]])</f>
        <v/>
      </c>
      <c r="Z828" s="37" t="str">
        <f>IF(NOTA[[#This Row],[JUMLAH]]="","",(NOTA[[#This Row],[JUMLAH]]-NOTA[[#This Row],[DISC 1-]])*NOTA[[#This Row],[DISC 2]])</f>
        <v/>
      </c>
      <c r="AA828" s="37" t="str">
        <f>IF(NOTA[[#This Row],[JUMLAH]]="","",(NOTA[[#This Row],[JUMLAH]]-NOTA[[#This Row],[DISC 1-]]-NOTA[[#This Row],[DISC 2-]])*NOTA[[#This Row],[DISC 3]])</f>
        <v/>
      </c>
      <c r="AB828" s="37" t="str">
        <f>IF(NOTA[[#This Row],[JUMLAH]]="","",NOTA[[#This Row],[DISC 1-]]+NOTA[[#This Row],[DISC 2-]]+NOTA[[#This Row],[DISC 3-]])</f>
        <v/>
      </c>
      <c r="AC828" s="37" t="str">
        <f>IF(NOTA[[#This Row],[JUMLAH]]="","",NOTA[[#This Row],[JUMLAH]]-NOTA[[#This Row],[DISC]])</f>
        <v/>
      </c>
      <c r="AD828" s="37"/>
      <c r="AE8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8" s="37" t="str">
        <f>IF(OR(NOTA[[#This Row],[QTY]]="",NOTA[[#This Row],[HARGA SATUAN]]="",),"",NOTA[[#This Row],[QTY]]*NOTA[[#This Row],[HARGA SATUAN]])</f>
        <v/>
      </c>
      <c r="AI828" s="26" t="str">
        <f ca="1">IF(NOTA[[#This Row],[ID_H]]="","",INDEX(NOTA[TANGGAL],MATCH(,INDIRECT(ADDRESS(ROW(NOTA[TANGGAL]),COLUMN(NOTA[TANGGAL]))&amp;":"&amp;ADDRESS(ROW(),COLUMN(NOTA[TANGGAL]))),-1)))</f>
        <v/>
      </c>
      <c r="AJ828" s="26" t="str">
        <f ca="1">IF(NOTA[[#This Row],[ID_H]]="","",INDEX(NOTA[TGL.NOTA],MATCH(,INDIRECT(ADDRESS(ROW(NOTA[TGL.NOTA]),COLUMN(NOTA[TGL.NOTA]))&amp;":"&amp;ADDRESS(ROW(),COLUMN(NOTA[TGL.NOTA]))),-1)))</f>
        <v/>
      </c>
      <c r="AK828" s="26" t="str">
        <f ca="1">IF(NOTA[[#This Row],[ID_H]]="","",INDEX(NOTA[NO.NOTA],MATCH(NOTA[[#This Row],[ID_H]],NOTA[ID_H],0)))</f>
        <v/>
      </c>
      <c r="AL828" s="28" t="str">
        <f ca="1">IF(NOTA[[#This Row],[NAMA BARANG]]="","",INDEX(NOTA[SUPPLIER],MATCH(,INDIRECT(ADDRESS(ROW(NOTA[ID]),COLUMN(NOTA[ID]))&amp;":"&amp;ADDRESS(ROW(),COLUMN(NOTA[ID]))),-1)))</f>
        <v/>
      </c>
      <c r="AM828" s="28" t="str">
        <f ca="1">IF(NOTA[[#This Row],[ID_H]]="","",IF(NOTA[[#This Row],[FAKTUR]]="",INDIRECT(ADDRESS(ROW()-1,COLUMN())),NOTA[[#This Row],[FAKTUR]]))</f>
        <v/>
      </c>
      <c r="AN828" s="25" t="str">
        <f ca="1">IF(NOTA[[#This Row],[ID]]="","",COUNTIF(NOTA[ID_H],NOTA[[#This Row],[ID_H]]))</f>
        <v/>
      </c>
      <c r="AO828" s="25" t="str">
        <f ca="1">IF(NOTA[[#This Row],[TGL.NOTA]]="",IF(NOTA[[#This Row],[SUPPLIER_H]]="","",AO827),MONTH(NOTA[[#This Row],[TGL.NOTA]]))</f>
        <v/>
      </c>
      <c r="AP8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8" s="25"/>
      <c r="AU828" s="25" t="str">
        <f>IF(NOTA[[#This Row],[CONCAT1]]="","",MATCH(NOTA[[#This Row],[CONCAT1]],[3]!db[NB NOTA_C],0))</f>
        <v/>
      </c>
      <c r="AV828" s="25" t="str">
        <f>IF(NOTA[[#This Row],[QTY/ CTN]]="","",TRUE)</f>
        <v/>
      </c>
      <c r="AW828" s="25" t="str">
        <f ca="1">IF(NOTA[[#This Row],[ID_H]]="","",IF(NOTA[[#This Row],[Column3]]=TRUE,NOTA[[#This Row],[QTY/ CTN]],INDEX([3]!db[QTY/ CTN],NOTA[[#This Row],[//DB]])))</f>
        <v/>
      </c>
      <c r="AX8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8" s="25" t="str">
        <f ca="1">IF(NOTA[[#This Row],[ID_H]]="","",MATCH(NOTA[[#This Row],[NB NOTA_C_QTY]],[3]!db[NB NOTA_C_QTY+F],0))</f>
        <v/>
      </c>
      <c r="AZ828" s="38" t="str">
        <f ca="1">IF(NOTA[[#This Row],[NB NOTA_C_QTY]]="","",ROW()-2)</f>
        <v/>
      </c>
    </row>
    <row r="829" spans="1:52" ht="20.100000000000001" customHeight="1">
      <c r="A8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9" s="25" t="str">
        <f ca="1">IF(NOTA[[#This Row],[NAMA BARANG]]="","",INDEX(NOTA[ID],MATCH(,INDIRECT(ADDRESS(ROW(NOTA[ID]),COLUMN(NOTA[ID]))&amp;":"&amp;ADDRESS(ROW(),COLUMN(NOTA[ID]))),-1)))</f>
        <v/>
      </c>
      <c r="E829" s="33"/>
      <c r="H829" s="34"/>
      <c r="Q829" s="29"/>
      <c r="R829" s="35"/>
      <c r="S829" s="36"/>
      <c r="V829" s="37"/>
      <c r="W829" s="32"/>
      <c r="X829" s="37" t="str">
        <f>IF(NOTA[[#This Row],[HARGA/ CTN]]="",NOTA[[#This Row],[JUMLAH_H]],NOTA[[#This Row],[HARGA/ CTN]]*IF(NOTA[[#This Row],[C]]="",0,NOTA[[#This Row],[C]]))</f>
        <v/>
      </c>
      <c r="Y829" s="37" t="str">
        <f>IF(NOTA[[#This Row],[JUMLAH]]="","",NOTA[[#This Row],[JUMLAH]]*NOTA[[#This Row],[DISC 1]])</f>
        <v/>
      </c>
      <c r="Z829" s="37" t="str">
        <f>IF(NOTA[[#This Row],[JUMLAH]]="","",(NOTA[[#This Row],[JUMLAH]]-NOTA[[#This Row],[DISC 1-]])*NOTA[[#This Row],[DISC 2]])</f>
        <v/>
      </c>
      <c r="AA829" s="37" t="str">
        <f>IF(NOTA[[#This Row],[JUMLAH]]="","",(NOTA[[#This Row],[JUMLAH]]-NOTA[[#This Row],[DISC 1-]]-NOTA[[#This Row],[DISC 2-]])*NOTA[[#This Row],[DISC 3]])</f>
        <v/>
      </c>
      <c r="AB829" s="37" t="str">
        <f>IF(NOTA[[#This Row],[JUMLAH]]="","",NOTA[[#This Row],[DISC 1-]]+NOTA[[#This Row],[DISC 2-]]+NOTA[[#This Row],[DISC 3-]])</f>
        <v/>
      </c>
      <c r="AC829" s="37" t="str">
        <f>IF(NOTA[[#This Row],[JUMLAH]]="","",NOTA[[#This Row],[JUMLAH]]-NOTA[[#This Row],[DISC]])</f>
        <v/>
      </c>
      <c r="AD829" s="37"/>
      <c r="AE8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9" s="37" t="str">
        <f>IF(OR(NOTA[[#This Row],[QTY]]="",NOTA[[#This Row],[HARGA SATUAN]]="",),"",NOTA[[#This Row],[QTY]]*NOTA[[#This Row],[HARGA SATUAN]])</f>
        <v/>
      </c>
      <c r="AI829" s="26" t="str">
        <f ca="1">IF(NOTA[[#This Row],[ID_H]]="","",INDEX(NOTA[TANGGAL],MATCH(,INDIRECT(ADDRESS(ROW(NOTA[TANGGAL]),COLUMN(NOTA[TANGGAL]))&amp;":"&amp;ADDRESS(ROW(),COLUMN(NOTA[TANGGAL]))),-1)))</f>
        <v/>
      </c>
      <c r="AJ829" s="26" t="str">
        <f ca="1">IF(NOTA[[#This Row],[ID_H]]="","",INDEX(NOTA[TGL.NOTA],MATCH(,INDIRECT(ADDRESS(ROW(NOTA[TGL.NOTA]),COLUMN(NOTA[TGL.NOTA]))&amp;":"&amp;ADDRESS(ROW(),COLUMN(NOTA[TGL.NOTA]))),-1)))</f>
        <v/>
      </c>
      <c r="AK829" s="26" t="str">
        <f ca="1">IF(NOTA[[#This Row],[ID_H]]="","",INDEX(NOTA[NO.NOTA],MATCH(NOTA[[#This Row],[ID_H]],NOTA[ID_H],0)))</f>
        <v/>
      </c>
      <c r="AL829" s="28" t="str">
        <f ca="1">IF(NOTA[[#This Row],[NAMA BARANG]]="","",INDEX(NOTA[SUPPLIER],MATCH(,INDIRECT(ADDRESS(ROW(NOTA[ID]),COLUMN(NOTA[ID]))&amp;":"&amp;ADDRESS(ROW(),COLUMN(NOTA[ID]))),-1)))</f>
        <v/>
      </c>
      <c r="AM829" s="28" t="str">
        <f ca="1">IF(NOTA[[#This Row],[ID_H]]="","",IF(NOTA[[#This Row],[FAKTUR]]="",INDIRECT(ADDRESS(ROW()-1,COLUMN())),NOTA[[#This Row],[FAKTUR]]))</f>
        <v/>
      </c>
      <c r="AN829" s="25" t="str">
        <f ca="1">IF(NOTA[[#This Row],[ID]]="","",COUNTIF(NOTA[ID_H],NOTA[[#This Row],[ID_H]]))</f>
        <v/>
      </c>
      <c r="AO829" s="25" t="str">
        <f ca="1">IF(NOTA[[#This Row],[TGL.NOTA]]="",IF(NOTA[[#This Row],[SUPPLIER_H]]="","",AO828),MONTH(NOTA[[#This Row],[TGL.NOTA]]))</f>
        <v/>
      </c>
      <c r="AP8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9" s="25"/>
      <c r="AU829" s="25" t="str">
        <f>IF(NOTA[[#This Row],[CONCAT1]]="","",MATCH(NOTA[[#This Row],[CONCAT1]],[3]!db[NB NOTA_C],0))</f>
        <v/>
      </c>
      <c r="AV829" s="25" t="str">
        <f>IF(NOTA[[#This Row],[QTY/ CTN]]="","",TRUE)</f>
        <v/>
      </c>
      <c r="AW829" s="25" t="str">
        <f ca="1">IF(NOTA[[#This Row],[ID_H]]="","",IF(NOTA[[#This Row],[Column3]]=TRUE,NOTA[[#This Row],[QTY/ CTN]],INDEX([3]!db[QTY/ CTN],NOTA[[#This Row],[//DB]])))</f>
        <v/>
      </c>
      <c r="AX8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9" s="25" t="str">
        <f ca="1">IF(NOTA[[#This Row],[ID_H]]="","",MATCH(NOTA[[#This Row],[NB NOTA_C_QTY]],[3]!db[NB NOTA_C_QTY+F],0))</f>
        <v/>
      </c>
      <c r="AZ829" s="38" t="str">
        <f ca="1">IF(NOTA[[#This Row],[NB NOTA_C_QTY]]="","",ROW()-2)</f>
        <v/>
      </c>
    </row>
    <row r="830" spans="1:52" ht="20.100000000000001" customHeight="1">
      <c r="A8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0" s="25" t="str">
        <f ca="1">IF(NOTA[[#This Row],[NAMA BARANG]]="","",INDEX(NOTA[ID],MATCH(,INDIRECT(ADDRESS(ROW(NOTA[ID]),COLUMN(NOTA[ID]))&amp;":"&amp;ADDRESS(ROW(),COLUMN(NOTA[ID]))),-1)))</f>
        <v/>
      </c>
      <c r="E830" s="33"/>
      <c r="H830" s="34"/>
      <c r="Q830" s="29"/>
      <c r="R830" s="35"/>
      <c r="S830" s="36"/>
      <c r="V830" s="37"/>
      <c r="W830" s="32"/>
      <c r="X830" s="37" t="str">
        <f>IF(NOTA[[#This Row],[HARGA/ CTN]]="",NOTA[[#This Row],[JUMLAH_H]],NOTA[[#This Row],[HARGA/ CTN]]*IF(NOTA[[#This Row],[C]]="",0,NOTA[[#This Row],[C]]))</f>
        <v/>
      </c>
      <c r="Y830" s="37" t="str">
        <f>IF(NOTA[[#This Row],[JUMLAH]]="","",NOTA[[#This Row],[JUMLAH]]*NOTA[[#This Row],[DISC 1]])</f>
        <v/>
      </c>
      <c r="Z830" s="37" t="str">
        <f>IF(NOTA[[#This Row],[JUMLAH]]="","",(NOTA[[#This Row],[JUMLAH]]-NOTA[[#This Row],[DISC 1-]])*NOTA[[#This Row],[DISC 2]])</f>
        <v/>
      </c>
      <c r="AA830" s="37" t="str">
        <f>IF(NOTA[[#This Row],[JUMLAH]]="","",(NOTA[[#This Row],[JUMLAH]]-NOTA[[#This Row],[DISC 1-]]-NOTA[[#This Row],[DISC 2-]])*NOTA[[#This Row],[DISC 3]])</f>
        <v/>
      </c>
      <c r="AB830" s="37" t="str">
        <f>IF(NOTA[[#This Row],[JUMLAH]]="","",NOTA[[#This Row],[DISC 1-]]+NOTA[[#This Row],[DISC 2-]]+NOTA[[#This Row],[DISC 3-]])</f>
        <v/>
      </c>
      <c r="AC830" s="37" t="str">
        <f>IF(NOTA[[#This Row],[JUMLAH]]="","",NOTA[[#This Row],[JUMLAH]]-NOTA[[#This Row],[DISC]])</f>
        <v/>
      </c>
      <c r="AD830" s="37"/>
      <c r="AE8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0" s="37" t="str">
        <f>IF(OR(NOTA[[#This Row],[QTY]]="",NOTA[[#This Row],[HARGA SATUAN]]="",),"",NOTA[[#This Row],[QTY]]*NOTA[[#This Row],[HARGA SATUAN]])</f>
        <v/>
      </c>
      <c r="AI830" s="26" t="str">
        <f ca="1">IF(NOTA[[#This Row],[ID_H]]="","",INDEX(NOTA[TANGGAL],MATCH(,INDIRECT(ADDRESS(ROW(NOTA[TANGGAL]),COLUMN(NOTA[TANGGAL]))&amp;":"&amp;ADDRESS(ROW(),COLUMN(NOTA[TANGGAL]))),-1)))</f>
        <v/>
      </c>
      <c r="AJ830" s="26" t="str">
        <f ca="1">IF(NOTA[[#This Row],[ID_H]]="","",INDEX(NOTA[TGL.NOTA],MATCH(,INDIRECT(ADDRESS(ROW(NOTA[TGL.NOTA]),COLUMN(NOTA[TGL.NOTA]))&amp;":"&amp;ADDRESS(ROW(),COLUMN(NOTA[TGL.NOTA]))),-1)))</f>
        <v/>
      </c>
      <c r="AK830" s="26" t="str">
        <f ca="1">IF(NOTA[[#This Row],[ID_H]]="","",INDEX(NOTA[NO.NOTA],MATCH(NOTA[[#This Row],[ID_H]],NOTA[ID_H],0)))</f>
        <v/>
      </c>
      <c r="AL830" s="28" t="str">
        <f ca="1">IF(NOTA[[#This Row],[NAMA BARANG]]="","",INDEX(NOTA[SUPPLIER],MATCH(,INDIRECT(ADDRESS(ROW(NOTA[ID]),COLUMN(NOTA[ID]))&amp;":"&amp;ADDRESS(ROW(),COLUMN(NOTA[ID]))),-1)))</f>
        <v/>
      </c>
      <c r="AM830" s="28" t="str">
        <f ca="1">IF(NOTA[[#This Row],[ID_H]]="","",IF(NOTA[[#This Row],[FAKTUR]]="",INDIRECT(ADDRESS(ROW()-1,COLUMN())),NOTA[[#This Row],[FAKTUR]]))</f>
        <v/>
      </c>
      <c r="AN830" s="25" t="str">
        <f ca="1">IF(NOTA[[#This Row],[ID]]="","",COUNTIF(NOTA[ID_H],NOTA[[#This Row],[ID_H]]))</f>
        <v/>
      </c>
      <c r="AO830" s="25" t="str">
        <f ca="1">IF(NOTA[[#This Row],[TGL.NOTA]]="",IF(NOTA[[#This Row],[SUPPLIER_H]]="","",AO829),MONTH(NOTA[[#This Row],[TGL.NOTA]]))</f>
        <v/>
      </c>
      <c r="AP8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0" s="25"/>
      <c r="AU830" s="25" t="str">
        <f>IF(NOTA[[#This Row],[CONCAT1]]="","",MATCH(NOTA[[#This Row],[CONCAT1]],[3]!db[NB NOTA_C],0))</f>
        <v/>
      </c>
      <c r="AV830" s="25" t="str">
        <f>IF(NOTA[[#This Row],[QTY/ CTN]]="","",TRUE)</f>
        <v/>
      </c>
      <c r="AW830" s="25" t="str">
        <f ca="1">IF(NOTA[[#This Row],[ID_H]]="","",IF(NOTA[[#This Row],[Column3]]=TRUE,NOTA[[#This Row],[QTY/ CTN]],INDEX([3]!db[QTY/ CTN],NOTA[[#This Row],[//DB]])))</f>
        <v/>
      </c>
      <c r="AX8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0" s="25" t="str">
        <f ca="1">IF(NOTA[[#This Row],[ID_H]]="","",MATCH(NOTA[[#This Row],[NB NOTA_C_QTY]],[3]!db[NB NOTA_C_QTY+F],0))</f>
        <v/>
      </c>
      <c r="AZ830" s="38" t="str">
        <f ca="1">IF(NOTA[[#This Row],[NB NOTA_C_QTY]]="","",ROW()-2)</f>
        <v/>
      </c>
    </row>
    <row r="831" spans="1:52" ht="20.100000000000001" customHeight="1">
      <c r="A8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1" s="25" t="str">
        <f ca="1">IF(NOTA[[#This Row],[NAMA BARANG]]="","",INDEX(NOTA[ID],MATCH(,INDIRECT(ADDRESS(ROW(NOTA[ID]),COLUMN(NOTA[ID]))&amp;":"&amp;ADDRESS(ROW(),COLUMN(NOTA[ID]))),-1)))</f>
        <v/>
      </c>
      <c r="E831" s="33"/>
      <c r="H831" s="34"/>
      <c r="Q831" s="29"/>
      <c r="R831" s="35"/>
      <c r="S831" s="36"/>
      <c r="V831" s="37"/>
      <c r="W831" s="32"/>
      <c r="X831" s="37" t="str">
        <f>IF(NOTA[[#This Row],[HARGA/ CTN]]="",NOTA[[#This Row],[JUMLAH_H]],NOTA[[#This Row],[HARGA/ CTN]]*IF(NOTA[[#This Row],[C]]="",0,NOTA[[#This Row],[C]]))</f>
        <v/>
      </c>
      <c r="Y831" s="37" t="str">
        <f>IF(NOTA[[#This Row],[JUMLAH]]="","",NOTA[[#This Row],[JUMLAH]]*NOTA[[#This Row],[DISC 1]])</f>
        <v/>
      </c>
      <c r="Z831" s="37" t="str">
        <f>IF(NOTA[[#This Row],[JUMLAH]]="","",(NOTA[[#This Row],[JUMLAH]]-NOTA[[#This Row],[DISC 1-]])*NOTA[[#This Row],[DISC 2]])</f>
        <v/>
      </c>
      <c r="AA831" s="37" t="str">
        <f>IF(NOTA[[#This Row],[JUMLAH]]="","",(NOTA[[#This Row],[JUMLAH]]-NOTA[[#This Row],[DISC 1-]]-NOTA[[#This Row],[DISC 2-]])*NOTA[[#This Row],[DISC 3]])</f>
        <v/>
      </c>
      <c r="AB831" s="37" t="str">
        <f>IF(NOTA[[#This Row],[JUMLAH]]="","",NOTA[[#This Row],[DISC 1-]]+NOTA[[#This Row],[DISC 2-]]+NOTA[[#This Row],[DISC 3-]])</f>
        <v/>
      </c>
      <c r="AC831" s="37" t="str">
        <f>IF(NOTA[[#This Row],[JUMLAH]]="","",NOTA[[#This Row],[JUMLAH]]-NOTA[[#This Row],[DISC]])</f>
        <v/>
      </c>
      <c r="AD831" s="37"/>
      <c r="AE8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1" s="37" t="str">
        <f>IF(OR(NOTA[[#This Row],[QTY]]="",NOTA[[#This Row],[HARGA SATUAN]]="",),"",NOTA[[#This Row],[QTY]]*NOTA[[#This Row],[HARGA SATUAN]])</f>
        <v/>
      </c>
      <c r="AI831" s="26" t="str">
        <f ca="1">IF(NOTA[[#This Row],[ID_H]]="","",INDEX(NOTA[TANGGAL],MATCH(,INDIRECT(ADDRESS(ROW(NOTA[TANGGAL]),COLUMN(NOTA[TANGGAL]))&amp;":"&amp;ADDRESS(ROW(),COLUMN(NOTA[TANGGAL]))),-1)))</f>
        <v/>
      </c>
      <c r="AJ831" s="26" t="str">
        <f ca="1">IF(NOTA[[#This Row],[ID_H]]="","",INDEX(NOTA[TGL.NOTA],MATCH(,INDIRECT(ADDRESS(ROW(NOTA[TGL.NOTA]),COLUMN(NOTA[TGL.NOTA]))&amp;":"&amp;ADDRESS(ROW(),COLUMN(NOTA[TGL.NOTA]))),-1)))</f>
        <v/>
      </c>
      <c r="AK831" s="26" t="str">
        <f ca="1">IF(NOTA[[#This Row],[ID_H]]="","",INDEX(NOTA[NO.NOTA],MATCH(NOTA[[#This Row],[ID_H]],NOTA[ID_H],0)))</f>
        <v/>
      </c>
      <c r="AL831" s="28" t="str">
        <f ca="1">IF(NOTA[[#This Row],[NAMA BARANG]]="","",INDEX(NOTA[SUPPLIER],MATCH(,INDIRECT(ADDRESS(ROW(NOTA[ID]),COLUMN(NOTA[ID]))&amp;":"&amp;ADDRESS(ROW(),COLUMN(NOTA[ID]))),-1)))</f>
        <v/>
      </c>
      <c r="AM831" s="28" t="str">
        <f ca="1">IF(NOTA[[#This Row],[ID_H]]="","",IF(NOTA[[#This Row],[FAKTUR]]="",INDIRECT(ADDRESS(ROW()-1,COLUMN())),NOTA[[#This Row],[FAKTUR]]))</f>
        <v/>
      </c>
      <c r="AN831" s="25" t="str">
        <f ca="1">IF(NOTA[[#This Row],[ID]]="","",COUNTIF(NOTA[ID_H],NOTA[[#This Row],[ID_H]]))</f>
        <v/>
      </c>
      <c r="AO831" s="25" t="str">
        <f ca="1">IF(NOTA[[#This Row],[TGL.NOTA]]="",IF(NOTA[[#This Row],[SUPPLIER_H]]="","",AO830),MONTH(NOTA[[#This Row],[TGL.NOTA]]))</f>
        <v/>
      </c>
      <c r="AP8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1" s="25"/>
      <c r="AU831" s="25" t="str">
        <f>IF(NOTA[[#This Row],[CONCAT1]]="","",MATCH(NOTA[[#This Row],[CONCAT1]],[3]!db[NB NOTA_C],0))</f>
        <v/>
      </c>
      <c r="AV831" s="25" t="str">
        <f>IF(NOTA[[#This Row],[QTY/ CTN]]="","",TRUE)</f>
        <v/>
      </c>
      <c r="AW831" s="25" t="str">
        <f ca="1">IF(NOTA[[#This Row],[ID_H]]="","",IF(NOTA[[#This Row],[Column3]]=TRUE,NOTA[[#This Row],[QTY/ CTN]],INDEX([3]!db[QTY/ CTN],NOTA[[#This Row],[//DB]])))</f>
        <v/>
      </c>
      <c r="AX8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1" s="25" t="str">
        <f ca="1">IF(NOTA[[#This Row],[ID_H]]="","",MATCH(NOTA[[#This Row],[NB NOTA_C_QTY]],[3]!db[NB NOTA_C_QTY+F],0))</f>
        <v/>
      </c>
      <c r="AZ831" s="38" t="str">
        <f ca="1">IF(NOTA[[#This Row],[NB NOTA_C_QTY]]="","",ROW()-2)</f>
        <v/>
      </c>
    </row>
    <row r="832" spans="1:52" ht="20.100000000000001" customHeight="1">
      <c r="A8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2" s="25" t="str">
        <f ca="1">IF(NOTA[[#This Row],[NAMA BARANG]]="","",INDEX(NOTA[ID],MATCH(,INDIRECT(ADDRESS(ROW(NOTA[ID]),COLUMN(NOTA[ID]))&amp;":"&amp;ADDRESS(ROW(),COLUMN(NOTA[ID]))),-1)))</f>
        <v/>
      </c>
      <c r="E832" s="33"/>
      <c r="H832" s="34"/>
      <c r="Q832" s="29"/>
      <c r="R832" s="35"/>
      <c r="S832" s="36"/>
      <c r="V832" s="37"/>
      <c r="W832" s="32"/>
      <c r="X832" s="37" t="str">
        <f>IF(NOTA[[#This Row],[HARGA/ CTN]]="",NOTA[[#This Row],[JUMLAH_H]],NOTA[[#This Row],[HARGA/ CTN]]*IF(NOTA[[#This Row],[C]]="",0,NOTA[[#This Row],[C]]))</f>
        <v/>
      </c>
      <c r="Y832" s="37" t="str">
        <f>IF(NOTA[[#This Row],[JUMLAH]]="","",NOTA[[#This Row],[JUMLAH]]*NOTA[[#This Row],[DISC 1]])</f>
        <v/>
      </c>
      <c r="Z832" s="37" t="str">
        <f>IF(NOTA[[#This Row],[JUMLAH]]="","",(NOTA[[#This Row],[JUMLAH]]-NOTA[[#This Row],[DISC 1-]])*NOTA[[#This Row],[DISC 2]])</f>
        <v/>
      </c>
      <c r="AA832" s="37" t="str">
        <f>IF(NOTA[[#This Row],[JUMLAH]]="","",(NOTA[[#This Row],[JUMLAH]]-NOTA[[#This Row],[DISC 1-]]-NOTA[[#This Row],[DISC 2-]])*NOTA[[#This Row],[DISC 3]])</f>
        <v/>
      </c>
      <c r="AB832" s="37" t="str">
        <f>IF(NOTA[[#This Row],[JUMLAH]]="","",NOTA[[#This Row],[DISC 1-]]+NOTA[[#This Row],[DISC 2-]]+NOTA[[#This Row],[DISC 3-]])</f>
        <v/>
      </c>
      <c r="AC832" s="37" t="str">
        <f>IF(NOTA[[#This Row],[JUMLAH]]="","",NOTA[[#This Row],[JUMLAH]]-NOTA[[#This Row],[DISC]])</f>
        <v/>
      </c>
      <c r="AD832" s="37"/>
      <c r="AE8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2" s="37" t="str">
        <f>IF(OR(NOTA[[#This Row],[QTY]]="",NOTA[[#This Row],[HARGA SATUAN]]="",),"",NOTA[[#This Row],[QTY]]*NOTA[[#This Row],[HARGA SATUAN]])</f>
        <v/>
      </c>
      <c r="AI832" s="26" t="str">
        <f ca="1">IF(NOTA[[#This Row],[ID_H]]="","",INDEX(NOTA[TANGGAL],MATCH(,INDIRECT(ADDRESS(ROW(NOTA[TANGGAL]),COLUMN(NOTA[TANGGAL]))&amp;":"&amp;ADDRESS(ROW(),COLUMN(NOTA[TANGGAL]))),-1)))</f>
        <v/>
      </c>
      <c r="AJ832" s="26" t="str">
        <f ca="1">IF(NOTA[[#This Row],[ID_H]]="","",INDEX(NOTA[TGL.NOTA],MATCH(,INDIRECT(ADDRESS(ROW(NOTA[TGL.NOTA]),COLUMN(NOTA[TGL.NOTA]))&amp;":"&amp;ADDRESS(ROW(),COLUMN(NOTA[TGL.NOTA]))),-1)))</f>
        <v/>
      </c>
      <c r="AK832" s="26" t="str">
        <f ca="1">IF(NOTA[[#This Row],[ID_H]]="","",INDEX(NOTA[NO.NOTA],MATCH(NOTA[[#This Row],[ID_H]],NOTA[ID_H],0)))</f>
        <v/>
      </c>
      <c r="AL832" s="28" t="str">
        <f ca="1">IF(NOTA[[#This Row],[NAMA BARANG]]="","",INDEX(NOTA[SUPPLIER],MATCH(,INDIRECT(ADDRESS(ROW(NOTA[ID]),COLUMN(NOTA[ID]))&amp;":"&amp;ADDRESS(ROW(),COLUMN(NOTA[ID]))),-1)))</f>
        <v/>
      </c>
      <c r="AM832" s="28" t="str">
        <f ca="1">IF(NOTA[[#This Row],[ID_H]]="","",IF(NOTA[[#This Row],[FAKTUR]]="",INDIRECT(ADDRESS(ROW()-1,COLUMN())),NOTA[[#This Row],[FAKTUR]]))</f>
        <v/>
      </c>
      <c r="AN832" s="25" t="str">
        <f ca="1">IF(NOTA[[#This Row],[ID]]="","",COUNTIF(NOTA[ID_H],NOTA[[#This Row],[ID_H]]))</f>
        <v/>
      </c>
      <c r="AO832" s="25" t="str">
        <f ca="1">IF(NOTA[[#This Row],[TGL.NOTA]]="",IF(NOTA[[#This Row],[SUPPLIER_H]]="","",AO831),MONTH(NOTA[[#This Row],[TGL.NOTA]]))</f>
        <v/>
      </c>
      <c r="AP8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2" s="25"/>
      <c r="AU832" s="25" t="str">
        <f>IF(NOTA[[#This Row],[CONCAT1]]="","",MATCH(NOTA[[#This Row],[CONCAT1]],[3]!db[NB NOTA_C],0))</f>
        <v/>
      </c>
      <c r="AV832" s="25" t="str">
        <f>IF(NOTA[[#This Row],[QTY/ CTN]]="","",TRUE)</f>
        <v/>
      </c>
      <c r="AW832" s="25" t="str">
        <f ca="1">IF(NOTA[[#This Row],[ID_H]]="","",IF(NOTA[[#This Row],[Column3]]=TRUE,NOTA[[#This Row],[QTY/ CTN]],INDEX([3]!db[QTY/ CTN],NOTA[[#This Row],[//DB]])))</f>
        <v/>
      </c>
      <c r="AX8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2" s="25" t="str">
        <f ca="1">IF(NOTA[[#This Row],[ID_H]]="","",MATCH(NOTA[[#This Row],[NB NOTA_C_QTY]],[3]!db[NB NOTA_C_QTY+F],0))</f>
        <v/>
      </c>
      <c r="AZ832" s="38" t="str">
        <f ca="1">IF(NOTA[[#This Row],[NB NOTA_C_QTY]]="","",ROW()-2)</f>
        <v/>
      </c>
    </row>
    <row r="833" spans="1:52" ht="20.100000000000001" customHeight="1">
      <c r="A8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3" s="25" t="str">
        <f ca="1">IF(NOTA[[#This Row],[NAMA BARANG]]="","",INDEX(NOTA[ID],MATCH(,INDIRECT(ADDRESS(ROW(NOTA[ID]),COLUMN(NOTA[ID]))&amp;":"&amp;ADDRESS(ROW(),COLUMN(NOTA[ID]))),-1)))</f>
        <v/>
      </c>
      <c r="E833" s="33"/>
      <c r="H833" s="34"/>
      <c r="Q833" s="29"/>
      <c r="R833" s="35"/>
      <c r="S833" s="36"/>
      <c r="V833" s="37"/>
      <c r="W833" s="32"/>
      <c r="X833" s="37" t="str">
        <f>IF(NOTA[[#This Row],[HARGA/ CTN]]="",NOTA[[#This Row],[JUMLAH_H]],NOTA[[#This Row],[HARGA/ CTN]]*IF(NOTA[[#This Row],[C]]="",0,NOTA[[#This Row],[C]]))</f>
        <v/>
      </c>
      <c r="Y833" s="37" t="str">
        <f>IF(NOTA[[#This Row],[JUMLAH]]="","",NOTA[[#This Row],[JUMLAH]]*NOTA[[#This Row],[DISC 1]])</f>
        <v/>
      </c>
      <c r="Z833" s="37" t="str">
        <f>IF(NOTA[[#This Row],[JUMLAH]]="","",(NOTA[[#This Row],[JUMLAH]]-NOTA[[#This Row],[DISC 1-]])*NOTA[[#This Row],[DISC 2]])</f>
        <v/>
      </c>
      <c r="AA833" s="37" t="str">
        <f>IF(NOTA[[#This Row],[JUMLAH]]="","",(NOTA[[#This Row],[JUMLAH]]-NOTA[[#This Row],[DISC 1-]]-NOTA[[#This Row],[DISC 2-]])*NOTA[[#This Row],[DISC 3]])</f>
        <v/>
      </c>
      <c r="AB833" s="37" t="str">
        <f>IF(NOTA[[#This Row],[JUMLAH]]="","",NOTA[[#This Row],[DISC 1-]]+NOTA[[#This Row],[DISC 2-]]+NOTA[[#This Row],[DISC 3-]])</f>
        <v/>
      </c>
      <c r="AC833" s="37" t="str">
        <f>IF(NOTA[[#This Row],[JUMLAH]]="","",NOTA[[#This Row],[JUMLAH]]-NOTA[[#This Row],[DISC]])</f>
        <v/>
      </c>
      <c r="AD833" s="37"/>
      <c r="AE8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3" s="37" t="str">
        <f>IF(OR(NOTA[[#This Row],[QTY]]="",NOTA[[#This Row],[HARGA SATUAN]]="",),"",NOTA[[#This Row],[QTY]]*NOTA[[#This Row],[HARGA SATUAN]])</f>
        <v/>
      </c>
      <c r="AI833" s="26" t="str">
        <f ca="1">IF(NOTA[[#This Row],[ID_H]]="","",INDEX(NOTA[TANGGAL],MATCH(,INDIRECT(ADDRESS(ROW(NOTA[TANGGAL]),COLUMN(NOTA[TANGGAL]))&amp;":"&amp;ADDRESS(ROW(),COLUMN(NOTA[TANGGAL]))),-1)))</f>
        <v/>
      </c>
      <c r="AJ833" s="26" t="str">
        <f ca="1">IF(NOTA[[#This Row],[ID_H]]="","",INDEX(NOTA[TGL.NOTA],MATCH(,INDIRECT(ADDRESS(ROW(NOTA[TGL.NOTA]),COLUMN(NOTA[TGL.NOTA]))&amp;":"&amp;ADDRESS(ROW(),COLUMN(NOTA[TGL.NOTA]))),-1)))</f>
        <v/>
      </c>
      <c r="AK833" s="26" t="str">
        <f ca="1">IF(NOTA[[#This Row],[ID_H]]="","",INDEX(NOTA[NO.NOTA],MATCH(NOTA[[#This Row],[ID_H]],NOTA[ID_H],0)))</f>
        <v/>
      </c>
      <c r="AL833" s="28" t="str">
        <f ca="1">IF(NOTA[[#This Row],[NAMA BARANG]]="","",INDEX(NOTA[SUPPLIER],MATCH(,INDIRECT(ADDRESS(ROW(NOTA[ID]),COLUMN(NOTA[ID]))&amp;":"&amp;ADDRESS(ROW(),COLUMN(NOTA[ID]))),-1)))</f>
        <v/>
      </c>
      <c r="AM833" s="28" t="str">
        <f ca="1">IF(NOTA[[#This Row],[ID_H]]="","",IF(NOTA[[#This Row],[FAKTUR]]="",INDIRECT(ADDRESS(ROW()-1,COLUMN())),NOTA[[#This Row],[FAKTUR]]))</f>
        <v/>
      </c>
      <c r="AN833" s="25" t="str">
        <f ca="1">IF(NOTA[[#This Row],[ID]]="","",COUNTIF(NOTA[ID_H],NOTA[[#This Row],[ID_H]]))</f>
        <v/>
      </c>
      <c r="AO833" s="25" t="str">
        <f ca="1">IF(NOTA[[#This Row],[TGL.NOTA]]="",IF(NOTA[[#This Row],[SUPPLIER_H]]="","",AO832),MONTH(NOTA[[#This Row],[TGL.NOTA]]))</f>
        <v/>
      </c>
      <c r="AP8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3" s="25"/>
      <c r="AU833" s="25" t="str">
        <f>IF(NOTA[[#This Row],[CONCAT1]]="","",MATCH(NOTA[[#This Row],[CONCAT1]],[3]!db[NB NOTA_C],0))</f>
        <v/>
      </c>
      <c r="AV833" s="25" t="str">
        <f>IF(NOTA[[#This Row],[QTY/ CTN]]="","",TRUE)</f>
        <v/>
      </c>
      <c r="AW833" s="25" t="str">
        <f ca="1">IF(NOTA[[#This Row],[ID_H]]="","",IF(NOTA[[#This Row],[Column3]]=TRUE,NOTA[[#This Row],[QTY/ CTN]],INDEX([3]!db[QTY/ CTN],NOTA[[#This Row],[//DB]])))</f>
        <v/>
      </c>
      <c r="AX8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3" s="25" t="str">
        <f ca="1">IF(NOTA[[#This Row],[ID_H]]="","",MATCH(NOTA[[#This Row],[NB NOTA_C_QTY]],[3]!db[NB NOTA_C_QTY+F],0))</f>
        <v/>
      </c>
      <c r="AZ833" s="38" t="str">
        <f ca="1">IF(NOTA[[#This Row],[NB NOTA_C_QTY]]="","",ROW()-2)</f>
        <v/>
      </c>
    </row>
    <row r="834" spans="1:52" ht="20.100000000000001" customHeight="1">
      <c r="A8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4" s="25" t="str">
        <f ca="1">IF(NOTA[[#This Row],[NAMA BARANG]]="","",INDEX(NOTA[ID],MATCH(,INDIRECT(ADDRESS(ROW(NOTA[ID]),COLUMN(NOTA[ID]))&amp;":"&amp;ADDRESS(ROW(),COLUMN(NOTA[ID]))),-1)))</f>
        <v/>
      </c>
      <c r="E834" s="33"/>
      <c r="H834" s="34"/>
      <c r="Q834" s="29"/>
      <c r="R834" s="35"/>
      <c r="S834" s="36"/>
      <c r="V834" s="37"/>
      <c r="W834" s="32"/>
      <c r="X834" s="37" t="str">
        <f>IF(NOTA[[#This Row],[HARGA/ CTN]]="",NOTA[[#This Row],[JUMLAH_H]],NOTA[[#This Row],[HARGA/ CTN]]*IF(NOTA[[#This Row],[C]]="",0,NOTA[[#This Row],[C]]))</f>
        <v/>
      </c>
      <c r="Y834" s="37" t="str">
        <f>IF(NOTA[[#This Row],[JUMLAH]]="","",NOTA[[#This Row],[JUMLAH]]*NOTA[[#This Row],[DISC 1]])</f>
        <v/>
      </c>
      <c r="Z834" s="37" t="str">
        <f>IF(NOTA[[#This Row],[JUMLAH]]="","",(NOTA[[#This Row],[JUMLAH]]-NOTA[[#This Row],[DISC 1-]])*NOTA[[#This Row],[DISC 2]])</f>
        <v/>
      </c>
      <c r="AA834" s="37" t="str">
        <f>IF(NOTA[[#This Row],[JUMLAH]]="","",(NOTA[[#This Row],[JUMLAH]]-NOTA[[#This Row],[DISC 1-]]-NOTA[[#This Row],[DISC 2-]])*NOTA[[#This Row],[DISC 3]])</f>
        <v/>
      </c>
      <c r="AB834" s="37" t="str">
        <f>IF(NOTA[[#This Row],[JUMLAH]]="","",NOTA[[#This Row],[DISC 1-]]+NOTA[[#This Row],[DISC 2-]]+NOTA[[#This Row],[DISC 3-]])</f>
        <v/>
      </c>
      <c r="AC834" s="37" t="str">
        <f>IF(NOTA[[#This Row],[JUMLAH]]="","",NOTA[[#This Row],[JUMLAH]]-NOTA[[#This Row],[DISC]])</f>
        <v/>
      </c>
      <c r="AD834" s="37"/>
      <c r="AE8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4" s="37" t="str">
        <f>IF(OR(NOTA[[#This Row],[QTY]]="",NOTA[[#This Row],[HARGA SATUAN]]="",),"",NOTA[[#This Row],[QTY]]*NOTA[[#This Row],[HARGA SATUAN]])</f>
        <v/>
      </c>
      <c r="AI834" s="26" t="str">
        <f ca="1">IF(NOTA[[#This Row],[ID_H]]="","",INDEX(NOTA[TANGGAL],MATCH(,INDIRECT(ADDRESS(ROW(NOTA[TANGGAL]),COLUMN(NOTA[TANGGAL]))&amp;":"&amp;ADDRESS(ROW(),COLUMN(NOTA[TANGGAL]))),-1)))</f>
        <v/>
      </c>
      <c r="AJ834" s="26" t="str">
        <f ca="1">IF(NOTA[[#This Row],[ID_H]]="","",INDEX(NOTA[TGL.NOTA],MATCH(,INDIRECT(ADDRESS(ROW(NOTA[TGL.NOTA]),COLUMN(NOTA[TGL.NOTA]))&amp;":"&amp;ADDRESS(ROW(),COLUMN(NOTA[TGL.NOTA]))),-1)))</f>
        <v/>
      </c>
      <c r="AK834" s="26" t="str">
        <f ca="1">IF(NOTA[[#This Row],[ID_H]]="","",INDEX(NOTA[NO.NOTA],MATCH(NOTA[[#This Row],[ID_H]],NOTA[ID_H],0)))</f>
        <v/>
      </c>
      <c r="AL834" s="28" t="str">
        <f ca="1">IF(NOTA[[#This Row],[NAMA BARANG]]="","",INDEX(NOTA[SUPPLIER],MATCH(,INDIRECT(ADDRESS(ROW(NOTA[ID]),COLUMN(NOTA[ID]))&amp;":"&amp;ADDRESS(ROW(),COLUMN(NOTA[ID]))),-1)))</f>
        <v/>
      </c>
      <c r="AM834" s="28" t="str">
        <f ca="1">IF(NOTA[[#This Row],[ID_H]]="","",IF(NOTA[[#This Row],[FAKTUR]]="",INDIRECT(ADDRESS(ROW()-1,COLUMN())),NOTA[[#This Row],[FAKTUR]]))</f>
        <v/>
      </c>
      <c r="AN834" s="25" t="str">
        <f ca="1">IF(NOTA[[#This Row],[ID]]="","",COUNTIF(NOTA[ID_H],NOTA[[#This Row],[ID_H]]))</f>
        <v/>
      </c>
      <c r="AO834" s="25" t="str">
        <f ca="1">IF(NOTA[[#This Row],[TGL.NOTA]]="",IF(NOTA[[#This Row],[SUPPLIER_H]]="","",AO833),MONTH(NOTA[[#This Row],[TGL.NOTA]]))</f>
        <v/>
      </c>
      <c r="AP8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4" s="25"/>
      <c r="AU834" s="25" t="str">
        <f>IF(NOTA[[#This Row],[CONCAT1]]="","",MATCH(NOTA[[#This Row],[CONCAT1]],[3]!db[NB NOTA_C],0))</f>
        <v/>
      </c>
      <c r="AV834" s="25" t="str">
        <f>IF(NOTA[[#This Row],[QTY/ CTN]]="","",TRUE)</f>
        <v/>
      </c>
      <c r="AW834" s="25" t="str">
        <f ca="1">IF(NOTA[[#This Row],[ID_H]]="","",IF(NOTA[[#This Row],[Column3]]=TRUE,NOTA[[#This Row],[QTY/ CTN]],INDEX([3]!db[QTY/ CTN],NOTA[[#This Row],[//DB]])))</f>
        <v/>
      </c>
      <c r="AX8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4" s="25" t="str">
        <f ca="1">IF(NOTA[[#This Row],[ID_H]]="","",MATCH(NOTA[[#This Row],[NB NOTA_C_QTY]],[3]!db[NB NOTA_C_QTY+F],0))</f>
        <v/>
      </c>
      <c r="AZ834" s="38" t="str">
        <f ca="1">IF(NOTA[[#This Row],[NB NOTA_C_QTY]]="","",ROW()-2)</f>
        <v/>
      </c>
    </row>
    <row r="835" spans="1:52" ht="20.100000000000001" customHeight="1">
      <c r="A8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5" s="25" t="str">
        <f ca="1">IF(NOTA[[#This Row],[NAMA BARANG]]="","",INDEX(NOTA[ID],MATCH(,INDIRECT(ADDRESS(ROW(NOTA[ID]),COLUMN(NOTA[ID]))&amp;":"&amp;ADDRESS(ROW(),COLUMN(NOTA[ID]))),-1)))</f>
        <v/>
      </c>
      <c r="E835" s="33"/>
      <c r="H835" s="34"/>
      <c r="Q835" s="29"/>
      <c r="R835" s="35"/>
      <c r="S835" s="36"/>
      <c r="V835" s="37"/>
      <c r="W835" s="32"/>
      <c r="X835" s="37" t="str">
        <f>IF(NOTA[[#This Row],[HARGA/ CTN]]="",NOTA[[#This Row],[JUMLAH_H]],NOTA[[#This Row],[HARGA/ CTN]]*IF(NOTA[[#This Row],[C]]="",0,NOTA[[#This Row],[C]]))</f>
        <v/>
      </c>
      <c r="Y835" s="37" t="str">
        <f>IF(NOTA[[#This Row],[JUMLAH]]="","",NOTA[[#This Row],[JUMLAH]]*NOTA[[#This Row],[DISC 1]])</f>
        <v/>
      </c>
      <c r="Z835" s="37" t="str">
        <f>IF(NOTA[[#This Row],[JUMLAH]]="","",(NOTA[[#This Row],[JUMLAH]]-NOTA[[#This Row],[DISC 1-]])*NOTA[[#This Row],[DISC 2]])</f>
        <v/>
      </c>
      <c r="AA835" s="37" t="str">
        <f>IF(NOTA[[#This Row],[JUMLAH]]="","",(NOTA[[#This Row],[JUMLAH]]-NOTA[[#This Row],[DISC 1-]]-NOTA[[#This Row],[DISC 2-]])*NOTA[[#This Row],[DISC 3]])</f>
        <v/>
      </c>
      <c r="AB835" s="37" t="str">
        <f>IF(NOTA[[#This Row],[JUMLAH]]="","",NOTA[[#This Row],[DISC 1-]]+NOTA[[#This Row],[DISC 2-]]+NOTA[[#This Row],[DISC 3-]])</f>
        <v/>
      </c>
      <c r="AC835" s="37" t="str">
        <f>IF(NOTA[[#This Row],[JUMLAH]]="","",NOTA[[#This Row],[JUMLAH]]-NOTA[[#This Row],[DISC]])</f>
        <v/>
      </c>
      <c r="AD835" s="37"/>
      <c r="AE8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5" s="37" t="str">
        <f>IF(OR(NOTA[[#This Row],[QTY]]="",NOTA[[#This Row],[HARGA SATUAN]]="",),"",NOTA[[#This Row],[QTY]]*NOTA[[#This Row],[HARGA SATUAN]])</f>
        <v/>
      </c>
      <c r="AI835" s="26" t="str">
        <f ca="1">IF(NOTA[[#This Row],[ID_H]]="","",INDEX(NOTA[TANGGAL],MATCH(,INDIRECT(ADDRESS(ROW(NOTA[TANGGAL]),COLUMN(NOTA[TANGGAL]))&amp;":"&amp;ADDRESS(ROW(),COLUMN(NOTA[TANGGAL]))),-1)))</f>
        <v/>
      </c>
      <c r="AJ835" s="26" t="str">
        <f ca="1">IF(NOTA[[#This Row],[ID_H]]="","",INDEX(NOTA[TGL.NOTA],MATCH(,INDIRECT(ADDRESS(ROW(NOTA[TGL.NOTA]),COLUMN(NOTA[TGL.NOTA]))&amp;":"&amp;ADDRESS(ROW(),COLUMN(NOTA[TGL.NOTA]))),-1)))</f>
        <v/>
      </c>
      <c r="AK835" s="26" t="str">
        <f ca="1">IF(NOTA[[#This Row],[ID_H]]="","",INDEX(NOTA[NO.NOTA],MATCH(NOTA[[#This Row],[ID_H]],NOTA[ID_H],0)))</f>
        <v/>
      </c>
      <c r="AL835" s="28" t="str">
        <f ca="1">IF(NOTA[[#This Row],[NAMA BARANG]]="","",INDEX(NOTA[SUPPLIER],MATCH(,INDIRECT(ADDRESS(ROW(NOTA[ID]),COLUMN(NOTA[ID]))&amp;":"&amp;ADDRESS(ROW(),COLUMN(NOTA[ID]))),-1)))</f>
        <v/>
      </c>
      <c r="AM835" s="28" t="str">
        <f ca="1">IF(NOTA[[#This Row],[ID_H]]="","",IF(NOTA[[#This Row],[FAKTUR]]="",INDIRECT(ADDRESS(ROW()-1,COLUMN())),NOTA[[#This Row],[FAKTUR]]))</f>
        <v/>
      </c>
      <c r="AN835" s="25" t="str">
        <f ca="1">IF(NOTA[[#This Row],[ID]]="","",COUNTIF(NOTA[ID_H],NOTA[[#This Row],[ID_H]]))</f>
        <v/>
      </c>
      <c r="AO835" s="25" t="str">
        <f ca="1">IF(NOTA[[#This Row],[TGL.NOTA]]="",IF(NOTA[[#This Row],[SUPPLIER_H]]="","",AO834),MONTH(NOTA[[#This Row],[TGL.NOTA]]))</f>
        <v/>
      </c>
      <c r="AP8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5" s="25"/>
      <c r="AU835" s="25" t="str">
        <f>IF(NOTA[[#This Row],[CONCAT1]]="","",MATCH(NOTA[[#This Row],[CONCAT1]],[3]!db[NB NOTA_C],0))</f>
        <v/>
      </c>
      <c r="AV835" s="25" t="str">
        <f>IF(NOTA[[#This Row],[QTY/ CTN]]="","",TRUE)</f>
        <v/>
      </c>
      <c r="AW835" s="25" t="str">
        <f ca="1">IF(NOTA[[#This Row],[ID_H]]="","",IF(NOTA[[#This Row],[Column3]]=TRUE,NOTA[[#This Row],[QTY/ CTN]],INDEX([3]!db[QTY/ CTN],NOTA[[#This Row],[//DB]])))</f>
        <v/>
      </c>
      <c r="AX8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5" s="25" t="str">
        <f ca="1">IF(NOTA[[#This Row],[ID_H]]="","",MATCH(NOTA[[#This Row],[NB NOTA_C_QTY]],[3]!db[NB NOTA_C_QTY+F],0))</f>
        <v/>
      </c>
      <c r="AZ835" s="38" t="str">
        <f ca="1">IF(NOTA[[#This Row],[NB NOTA_C_QTY]]="","",ROW()-2)</f>
        <v/>
      </c>
    </row>
    <row r="836" spans="1:52" ht="20.100000000000001" customHeight="1">
      <c r="A8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6" s="25" t="str">
        <f ca="1">IF(NOTA[[#This Row],[NAMA BARANG]]="","",INDEX(NOTA[ID],MATCH(,INDIRECT(ADDRESS(ROW(NOTA[ID]),COLUMN(NOTA[ID]))&amp;":"&amp;ADDRESS(ROW(),COLUMN(NOTA[ID]))),-1)))</f>
        <v/>
      </c>
      <c r="E836" s="33"/>
      <c r="H836" s="34"/>
      <c r="Q836" s="29"/>
      <c r="R836" s="35"/>
      <c r="S836" s="36"/>
      <c r="V836" s="37"/>
      <c r="W836" s="32"/>
      <c r="X836" s="37" t="str">
        <f>IF(NOTA[[#This Row],[HARGA/ CTN]]="",NOTA[[#This Row],[JUMLAH_H]],NOTA[[#This Row],[HARGA/ CTN]]*IF(NOTA[[#This Row],[C]]="",0,NOTA[[#This Row],[C]]))</f>
        <v/>
      </c>
      <c r="Y836" s="37" t="str">
        <f>IF(NOTA[[#This Row],[JUMLAH]]="","",NOTA[[#This Row],[JUMLAH]]*NOTA[[#This Row],[DISC 1]])</f>
        <v/>
      </c>
      <c r="Z836" s="37" t="str">
        <f>IF(NOTA[[#This Row],[JUMLAH]]="","",(NOTA[[#This Row],[JUMLAH]]-NOTA[[#This Row],[DISC 1-]])*NOTA[[#This Row],[DISC 2]])</f>
        <v/>
      </c>
      <c r="AA836" s="37" t="str">
        <f>IF(NOTA[[#This Row],[JUMLAH]]="","",(NOTA[[#This Row],[JUMLAH]]-NOTA[[#This Row],[DISC 1-]]-NOTA[[#This Row],[DISC 2-]])*NOTA[[#This Row],[DISC 3]])</f>
        <v/>
      </c>
      <c r="AB836" s="37" t="str">
        <f>IF(NOTA[[#This Row],[JUMLAH]]="","",NOTA[[#This Row],[DISC 1-]]+NOTA[[#This Row],[DISC 2-]]+NOTA[[#This Row],[DISC 3-]])</f>
        <v/>
      </c>
      <c r="AC836" s="37" t="str">
        <f>IF(NOTA[[#This Row],[JUMLAH]]="","",NOTA[[#This Row],[JUMLAH]]-NOTA[[#This Row],[DISC]])</f>
        <v/>
      </c>
      <c r="AD836" s="37"/>
      <c r="AE8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6" s="37" t="str">
        <f>IF(OR(NOTA[[#This Row],[QTY]]="",NOTA[[#This Row],[HARGA SATUAN]]="",),"",NOTA[[#This Row],[QTY]]*NOTA[[#This Row],[HARGA SATUAN]])</f>
        <v/>
      </c>
      <c r="AI836" s="26" t="str">
        <f ca="1">IF(NOTA[[#This Row],[ID_H]]="","",INDEX(NOTA[TANGGAL],MATCH(,INDIRECT(ADDRESS(ROW(NOTA[TANGGAL]),COLUMN(NOTA[TANGGAL]))&amp;":"&amp;ADDRESS(ROW(),COLUMN(NOTA[TANGGAL]))),-1)))</f>
        <v/>
      </c>
      <c r="AJ836" s="26" t="str">
        <f ca="1">IF(NOTA[[#This Row],[ID_H]]="","",INDEX(NOTA[TGL.NOTA],MATCH(,INDIRECT(ADDRESS(ROW(NOTA[TGL.NOTA]),COLUMN(NOTA[TGL.NOTA]))&amp;":"&amp;ADDRESS(ROW(),COLUMN(NOTA[TGL.NOTA]))),-1)))</f>
        <v/>
      </c>
      <c r="AK836" s="26" t="str">
        <f ca="1">IF(NOTA[[#This Row],[ID_H]]="","",INDEX(NOTA[NO.NOTA],MATCH(NOTA[[#This Row],[ID_H]],NOTA[ID_H],0)))</f>
        <v/>
      </c>
      <c r="AL836" s="28" t="str">
        <f ca="1">IF(NOTA[[#This Row],[NAMA BARANG]]="","",INDEX(NOTA[SUPPLIER],MATCH(,INDIRECT(ADDRESS(ROW(NOTA[ID]),COLUMN(NOTA[ID]))&amp;":"&amp;ADDRESS(ROW(),COLUMN(NOTA[ID]))),-1)))</f>
        <v/>
      </c>
      <c r="AM836" s="28" t="str">
        <f ca="1">IF(NOTA[[#This Row],[ID_H]]="","",IF(NOTA[[#This Row],[FAKTUR]]="",INDIRECT(ADDRESS(ROW()-1,COLUMN())),NOTA[[#This Row],[FAKTUR]]))</f>
        <v/>
      </c>
      <c r="AN836" s="25" t="str">
        <f ca="1">IF(NOTA[[#This Row],[ID]]="","",COUNTIF(NOTA[ID_H],NOTA[[#This Row],[ID_H]]))</f>
        <v/>
      </c>
      <c r="AO836" s="25" t="str">
        <f ca="1">IF(NOTA[[#This Row],[TGL.NOTA]]="",IF(NOTA[[#This Row],[SUPPLIER_H]]="","",AO835),MONTH(NOTA[[#This Row],[TGL.NOTA]]))</f>
        <v/>
      </c>
      <c r="AP8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6" s="25"/>
      <c r="AU836" s="25" t="str">
        <f>IF(NOTA[[#This Row],[CONCAT1]]="","",MATCH(NOTA[[#This Row],[CONCAT1]],[3]!db[NB NOTA_C],0))</f>
        <v/>
      </c>
      <c r="AV836" s="25" t="str">
        <f>IF(NOTA[[#This Row],[QTY/ CTN]]="","",TRUE)</f>
        <v/>
      </c>
      <c r="AW836" s="25" t="str">
        <f ca="1">IF(NOTA[[#This Row],[ID_H]]="","",IF(NOTA[[#This Row],[Column3]]=TRUE,NOTA[[#This Row],[QTY/ CTN]],INDEX([3]!db[QTY/ CTN],NOTA[[#This Row],[//DB]])))</f>
        <v/>
      </c>
      <c r="AX8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6" s="25" t="str">
        <f ca="1">IF(NOTA[[#This Row],[ID_H]]="","",MATCH(NOTA[[#This Row],[NB NOTA_C_QTY]],[3]!db[NB NOTA_C_QTY+F],0))</f>
        <v/>
      </c>
      <c r="AZ836" s="38" t="str">
        <f ca="1">IF(NOTA[[#This Row],[NB NOTA_C_QTY]]="","",ROW()-2)</f>
        <v/>
      </c>
    </row>
    <row r="837" spans="1:52" ht="20.100000000000001" customHeight="1">
      <c r="A8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7" s="25" t="str">
        <f ca="1">IF(NOTA[[#This Row],[NAMA BARANG]]="","",INDEX(NOTA[ID],MATCH(,INDIRECT(ADDRESS(ROW(NOTA[ID]),COLUMN(NOTA[ID]))&amp;":"&amp;ADDRESS(ROW(),COLUMN(NOTA[ID]))),-1)))</f>
        <v/>
      </c>
      <c r="E837" s="33"/>
      <c r="H837" s="34"/>
      <c r="Q837" s="29"/>
      <c r="R837" s="35"/>
      <c r="S837" s="36"/>
      <c r="V837" s="37"/>
      <c r="W837" s="32"/>
      <c r="X837" s="37" t="str">
        <f>IF(NOTA[[#This Row],[HARGA/ CTN]]="",NOTA[[#This Row],[JUMLAH_H]],NOTA[[#This Row],[HARGA/ CTN]]*IF(NOTA[[#This Row],[C]]="",0,NOTA[[#This Row],[C]]))</f>
        <v/>
      </c>
      <c r="Y837" s="37" t="str">
        <f>IF(NOTA[[#This Row],[JUMLAH]]="","",NOTA[[#This Row],[JUMLAH]]*NOTA[[#This Row],[DISC 1]])</f>
        <v/>
      </c>
      <c r="Z837" s="37" t="str">
        <f>IF(NOTA[[#This Row],[JUMLAH]]="","",(NOTA[[#This Row],[JUMLAH]]-NOTA[[#This Row],[DISC 1-]])*NOTA[[#This Row],[DISC 2]])</f>
        <v/>
      </c>
      <c r="AA837" s="37" t="str">
        <f>IF(NOTA[[#This Row],[JUMLAH]]="","",(NOTA[[#This Row],[JUMLAH]]-NOTA[[#This Row],[DISC 1-]]-NOTA[[#This Row],[DISC 2-]])*NOTA[[#This Row],[DISC 3]])</f>
        <v/>
      </c>
      <c r="AB837" s="37" t="str">
        <f>IF(NOTA[[#This Row],[JUMLAH]]="","",NOTA[[#This Row],[DISC 1-]]+NOTA[[#This Row],[DISC 2-]]+NOTA[[#This Row],[DISC 3-]])</f>
        <v/>
      </c>
      <c r="AC837" s="37" t="str">
        <f>IF(NOTA[[#This Row],[JUMLAH]]="","",NOTA[[#This Row],[JUMLAH]]-NOTA[[#This Row],[DISC]])</f>
        <v/>
      </c>
      <c r="AD837" s="37"/>
      <c r="AE8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7" s="37" t="str">
        <f>IF(OR(NOTA[[#This Row],[QTY]]="",NOTA[[#This Row],[HARGA SATUAN]]="",),"",NOTA[[#This Row],[QTY]]*NOTA[[#This Row],[HARGA SATUAN]])</f>
        <v/>
      </c>
      <c r="AI837" s="26" t="str">
        <f ca="1">IF(NOTA[[#This Row],[ID_H]]="","",INDEX(NOTA[TANGGAL],MATCH(,INDIRECT(ADDRESS(ROW(NOTA[TANGGAL]),COLUMN(NOTA[TANGGAL]))&amp;":"&amp;ADDRESS(ROW(),COLUMN(NOTA[TANGGAL]))),-1)))</f>
        <v/>
      </c>
      <c r="AJ837" s="26" t="str">
        <f ca="1">IF(NOTA[[#This Row],[ID_H]]="","",INDEX(NOTA[TGL.NOTA],MATCH(,INDIRECT(ADDRESS(ROW(NOTA[TGL.NOTA]),COLUMN(NOTA[TGL.NOTA]))&amp;":"&amp;ADDRESS(ROW(),COLUMN(NOTA[TGL.NOTA]))),-1)))</f>
        <v/>
      </c>
      <c r="AK837" s="26" t="str">
        <f ca="1">IF(NOTA[[#This Row],[ID_H]]="","",INDEX(NOTA[NO.NOTA],MATCH(NOTA[[#This Row],[ID_H]],NOTA[ID_H],0)))</f>
        <v/>
      </c>
      <c r="AL837" s="28" t="str">
        <f ca="1">IF(NOTA[[#This Row],[NAMA BARANG]]="","",INDEX(NOTA[SUPPLIER],MATCH(,INDIRECT(ADDRESS(ROW(NOTA[ID]),COLUMN(NOTA[ID]))&amp;":"&amp;ADDRESS(ROW(),COLUMN(NOTA[ID]))),-1)))</f>
        <v/>
      </c>
      <c r="AM837" s="28" t="str">
        <f ca="1">IF(NOTA[[#This Row],[ID_H]]="","",IF(NOTA[[#This Row],[FAKTUR]]="",INDIRECT(ADDRESS(ROW()-1,COLUMN())),NOTA[[#This Row],[FAKTUR]]))</f>
        <v/>
      </c>
      <c r="AN837" s="25" t="str">
        <f ca="1">IF(NOTA[[#This Row],[ID]]="","",COUNTIF(NOTA[ID_H],NOTA[[#This Row],[ID_H]]))</f>
        <v/>
      </c>
      <c r="AO837" s="25" t="str">
        <f ca="1">IF(NOTA[[#This Row],[TGL.NOTA]]="",IF(NOTA[[#This Row],[SUPPLIER_H]]="","",AO836),MONTH(NOTA[[#This Row],[TGL.NOTA]]))</f>
        <v/>
      </c>
      <c r="AP8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7" s="25"/>
      <c r="AU837" s="25" t="str">
        <f>IF(NOTA[[#This Row],[CONCAT1]]="","",MATCH(NOTA[[#This Row],[CONCAT1]],[3]!db[NB NOTA_C],0))</f>
        <v/>
      </c>
      <c r="AV837" s="25" t="str">
        <f>IF(NOTA[[#This Row],[QTY/ CTN]]="","",TRUE)</f>
        <v/>
      </c>
      <c r="AW837" s="25" t="str">
        <f ca="1">IF(NOTA[[#This Row],[ID_H]]="","",IF(NOTA[[#This Row],[Column3]]=TRUE,NOTA[[#This Row],[QTY/ CTN]],INDEX([3]!db[QTY/ CTN],NOTA[[#This Row],[//DB]])))</f>
        <v/>
      </c>
      <c r="AX8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7" s="25" t="str">
        <f ca="1">IF(NOTA[[#This Row],[ID_H]]="","",MATCH(NOTA[[#This Row],[NB NOTA_C_QTY]],[3]!db[NB NOTA_C_QTY+F],0))</f>
        <v/>
      </c>
      <c r="AZ837" s="38" t="str">
        <f ca="1">IF(NOTA[[#This Row],[NB NOTA_C_QTY]]="","",ROW()-2)</f>
        <v/>
      </c>
    </row>
    <row r="838" spans="1:52" ht="20.100000000000001" customHeight="1">
      <c r="A8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8" s="25" t="str">
        <f ca="1">IF(NOTA[[#This Row],[NAMA BARANG]]="","",INDEX(NOTA[ID],MATCH(,INDIRECT(ADDRESS(ROW(NOTA[ID]),COLUMN(NOTA[ID]))&amp;":"&amp;ADDRESS(ROW(),COLUMN(NOTA[ID]))),-1)))</f>
        <v/>
      </c>
      <c r="E838" s="33"/>
      <c r="H838" s="34"/>
      <c r="Q838" s="29"/>
      <c r="R838" s="35"/>
      <c r="S838" s="36"/>
      <c r="V838" s="37"/>
      <c r="W838" s="32"/>
      <c r="X838" s="37" t="str">
        <f>IF(NOTA[[#This Row],[HARGA/ CTN]]="",NOTA[[#This Row],[JUMLAH_H]],NOTA[[#This Row],[HARGA/ CTN]]*IF(NOTA[[#This Row],[C]]="",0,NOTA[[#This Row],[C]]))</f>
        <v/>
      </c>
      <c r="Y838" s="37" t="str">
        <f>IF(NOTA[[#This Row],[JUMLAH]]="","",NOTA[[#This Row],[JUMLAH]]*NOTA[[#This Row],[DISC 1]])</f>
        <v/>
      </c>
      <c r="Z838" s="37" t="str">
        <f>IF(NOTA[[#This Row],[JUMLAH]]="","",(NOTA[[#This Row],[JUMLAH]]-NOTA[[#This Row],[DISC 1-]])*NOTA[[#This Row],[DISC 2]])</f>
        <v/>
      </c>
      <c r="AA838" s="37" t="str">
        <f>IF(NOTA[[#This Row],[JUMLAH]]="","",(NOTA[[#This Row],[JUMLAH]]-NOTA[[#This Row],[DISC 1-]]-NOTA[[#This Row],[DISC 2-]])*NOTA[[#This Row],[DISC 3]])</f>
        <v/>
      </c>
      <c r="AB838" s="37" t="str">
        <f>IF(NOTA[[#This Row],[JUMLAH]]="","",NOTA[[#This Row],[DISC 1-]]+NOTA[[#This Row],[DISC 2-]]+NOTA[[#This Row],[DISC 3-]])</f>
        <v/>
      </c>
      <c r="AC838" s="37" t="str">
        <f>IF(NOTA[[#This Row],[JUMLAH]]="","",NOTA[[#This Row],[JUMLAH]]-NOTA[[#This Row],[DISC]])</f>
        <v/>
      </c>
      <c r="AD838" s="37"/>
      <c r="AE8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8" s="37" t="str">
        <f>IF(OR(NOTA[[#This Row],[QTY]]="",NOTA[[#This Row],[HARGA SATUAN]]="",),"",NOTA[[#This Row],[QTY]]*NOTA[[#This Row],[HARGA SATUAN]])</f>
        <v/>
      </c>
      <c r="AI838" s="26" t="str">
        <f ca="1">IF(NOTA[[#This Row],[ID_H]]="","",INDEX(NOTA[TANGGAL],MATCH(,INDIRECT(ADDRESS(ROW(NOTA[TANGGAL]),COLUMN(NOTA[TANGGAL]))&amp;":"&amp;ADDRESS(ROW(),COLUMN(NOTA[TANGGAL]))),-1)))</f>
        <v/>
      </c>
      <c r="AJ838" s="26" t="str">
        <f ca="1">IF(NOTA[[#This Row],[ID_H]]="","",INDEX(NOTA[TGL.NOTA],MATCH(,INDIRECT(ADDRESS(ROW(NOTA[TGL.NOTA]),COLUMN(NOTA[TGL.NOTA]))&amp;":"&amp;ADDRESS(ROW(),COLUMN(NOTA[TGL.NOTA]))),-1)))</f>
        <v/>
      </c>
      <c r="AK838" s="26" t="str">
        <f ca="1">IF(NOTA[[#This Row],[ID_H]]="","",INDEX(NOTA[NO.NOTA],MATCH(NOTA[[#This Row],[ID_H]],NOTA[ID_H],0)))</f>
        <v/>
      </c>
      <c r="AL838" s="28" t="str">
        <f ca="1">IF(NOTA[[#This Row],[NAMA BARANG]]="","",INDEX(NOTA[SUPPLIER],MATCH(,INDIRECT(ADDRESS(ROW(NOTA[ID]),COLUMN(NOTA[ID]))&amp;":"&amp;ADDRESS(ROW(),COLUMN(NOTA[ID]))),-1)))</f>
        <v/>
      </c>
      <c r="AM838" s="28" t="str">
        <f ca="1">IF(NOTA[[#This Row],[ID_H]]="","",IF(NOTA[[#This Row],[FAKTUR]]="",INDIRECT(ADDRESS(ROW()-1,COLUMN())),NOTA[[#This Row],[FAKTUR]]))</f>
        <v/>
      </c>
      <c r="AN838" s="25" t="str">
        <f ca="1">IF(NOTA[[#This Row],[ID]]="","",COUNTIF(NOTA[ID_H],NOTA[[#This Row],[ID_H]]))</f>
        <v/>
      </c>
      <c r="AO838" s="25" t="str">
        <f ca="1">IF(NOTA[[#This Row],[TGL.NOTA]]="",IF(NOTA[[#This Row],[SUPPLIER_H]]="","",AO837),MONTH(NOTA[[#This Row],[TGL.NOTA]]))</f>
        <v/>
      </c>
      <c r="AP8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8" s="25"/>
      <c r="AU838" s="25" t="str">
        <f>IF(NOTA[[#This Row],[CONCAT1]]="","",MATCH(NOTA[[#This Row],[CONCAT1]],[3]!db[NB NOTA_C],0))</f>
        <v/>
      </c>
      <c r="AV838" s="25" t="str">
        <f>IF(NOTA[[#This Row],[QTY/ CTN]]="","",TRUE)</f>
        <v/>
      </c>
      <c r="AW838" s="25" t="str">
        <f ca="1">IF(NOTA[[#This Row],[ID_H]]="","",IF(NOTA[[#This Row],[Column3]]=TRUE,NOTA[[#This Row],[QTY/ CTN]],INDEX([3]!db[QTY/ CTN],NOTA[[#This Row],[//DB]])))</f>
        <v/>
      </c>
      <c r="AX8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8" s="25" t="str">
        <f ca="1">IF(NOTA[[#This Row],[ID_H]]="","",MATCH(NOTA[[#This Row],[NB NOTA_C_QTY]],[3]!db[NB NOTA_C_QTY+F],0))</f>
        <v/>
      </c>
      <c r="AZ838" s="38" t="str">
        <f ca="1">IF(NOTA[[#This Row],[NB NOTA_C_QTY]]="","",ROW()-2)</f>
        <v/>
      </c>
    </row>
    <row r="839" spans="1:52" ht="20.100000000000001" customHeight="1">
      <c r="A8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9" s="25" t="str">
        <f ca="1">IF(NOTA[[#This Row],[NAMA BARANG]]="","",INDEX(NOTA[ID],MATCH(,INDIRECT(ADDRESS(ROW(NOTA[ID]),COLUMN(NOTA[ID]))&amp;":"&amp;ADDRESS(ROW(),COLUMN(NOTA[ID]))),-1)))</f>
        <v/>
      </c>
      <c r="E839" s="33"/>
      <c r="H839" s="34"/>
      <c r="Q839" s="29"/>
      <c r="R839" s="35"/>
      <c r="S839" s="36"/>
      <c r="V839" s="37"/>
      <c r="W839" s="32"/>
      <c r="X839" s="37" t="str">
        <f>IF(NOTA[[#This Row],[HARGA/ CTN]]="",NOTA[[#This Row],[JUMLAH_H]],NOTA[[#This Row],[HARGA/ CTN]]*IF(NOTA[[#This Row],[C]]="",0,NOTA[[#This Row],[C]]))</f>
        <v/>
      </c>
      <c r="Y839" s="37" t="str">
        <f>IF(NOTA[[#This Row],[JUMLAH]]="","",NOTA[[#This Row],[JUMLAH]]*NOTA[[#This Row],[DISC 1]])</f>
        <v/>
      </c>
      <c r="Z839" s="37" t="str">
        <f>IF(NOTA[[#This Row],[JUMLAH]]="","",(NOTA[[#This Row],[JUMLAH]]-NOTA[[#This Row],[DISC 1-]])*NOTA[[#This Row],[DISC 2]])</f>
        <v/>
      </c>
      <c r="AA839" s="37" t="str">
        <f>IF(NOTA[[#This Row],[JUMLAH]]="","",(NOTA[[#This Row],[JUMLAH]]-NOTA[[#This Row],[DISC 1-]]-NOTA[[#This Row],[DISC 2-]])*NOTA[[#This Row],[DISC 3]])</f>
        <v/>
      </c>
      <c r="AB839" s="37" t="str">
        <f>IF(NOTA[[#This Row],[JUMLAH]]="","",NOTA[[#This Row],[DISC 1-]]+NOTA[[#This Row],[DISC 2-]]+NOTA[[#This Row],[DISC 3-]])</f>
        <v/>
      </c>
      <c r="AC839" s="37" t="str">
        <f>IF(NOTA[[#This Row],[JUMLAH]]="","",NOTA[[#This Row],[JUMLAH]]-NOTA[[#This Row],[DISC]])</f>
        <v/>
      </c>
      <c r="AD839" s="37"/>
      <c r="AE8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9" s="37" t="str">
        <f>IF(OR(NOTA[[#This Row],[QTY]]="",NOTA[[#This Row],[HARGA SATUAN]]="",),"",NOTA[[#This Row],[QTY]]*NOTA[[#This Row],[HARGA SATUAN]])</f>
        <v/>
      </c>
      <c r="AI839" s="26" t="str">
        <f ca="1">IF(NOTA[[#This Row],[ID_H]]="","",INDEX(NOTA[TANGGAL],MATCH(,INDIRECT(ADDRESS(ROW(NOTA[TANGGAL]),COLUMN(NOTA[TANGGAL]))&amp;":"&amp;ADDRESS(ROW(),COLUMN(NOTA[TANGGAL]))),-1)))</f>
        <v/>
      </c>
      <c r="AJ839" s="26" t="str">
        <f ca="1">IF(NOTA[[#This Row],[ID_H]]="","",INDEX(NOTA[TGL.NOTA],MATCH(,INDIRECT(ADDRESS(ROW(NOTA[TGL.NOTA]),COLUMN(NOTA[TGL.NOTA]))&amp;":"&amp;ADDRESS(ROW(),COLUMN(NOTA[TGL.NOTA]))),-1)))</f>
        <v/>
      </c>
      <c r="AK839" s="26" t="str">
        <f ca="1">IF(NOTA[[#This Row],[ID_H]]="","",INDEX(NOTA[NO.NOTA],MATCH(NOTA[[#This Row],[ID_H]],NOTA[ID_H],0)))</f>
        <v/>
      </c>
      <c r="AL839" s="28" t="str">
        <f ca="1">IF(NOTA[[#This Row],[NAMA BARANG]]="","",INDEX(NOTA[SUPPLIER],MATCH(,INDIRECT(ADDRESS(ROW(NOTA[ID]),COLUMN(NOTA[ID]))&amp;":"&amp;ADDRESS(ROW(),COLUMN(NOTA[ID]))),-1)))</f>
        <v/>
      </c>
      <c r="AM839" s="28" t="str">
        <f ca="1">IF(NOTA[[#This Row],[ID_H]]="","",IF(NOTA[[#This Row],[FAKTUR]]="",INDIRECT(ADDRESS(ROW()-1,COLUMN())),NOTA[[#This Row],[FAKTUR]]))</f>
        <v/>
      </c>
      <c r="AN839" s="25" t="str">
        <f ca="1">IF(NOTA[[#This Row],[ID]]="","",COUNTIF(NOTA[ID_H],NOTA[[#This Row],[ID_H]]))</f>
        <v/>
      </c>
      <c r="AO839" s="25" t="str">
        <f ca="1">IF(NOTA[[#This Row],[TGL.NOTA]]="",IF(NOTA[[#This Row],[SUPPLIER_H]]="","",AO838),MONTH(NOTA[[#This Row],[TGL.NOTA]]))</f>
        <v/>
      </c>
      <c r="AP8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9" s="25"/>
      <c r="AU839" s="25" t="str">
        <f>IF(NOTA[[#This Row],[CONCAT1]]="","",MATCH(NOTA[[#This Row],[CONCAT1]],[3]!db[NB NOTA_C],0))</f>
        <v/>
      </c>
      <c r="AV839" s="25" t="str">
        <f>IF(NOTA[[#This Row],[QTY/ CTN]]="","",TRUE)</f>
        <v/>
      </c>
      <c r="AW839" s="25" t="str">
        <f ca="1">IF(NOTA[[#This Row],[ID_H]]="","",IF(NOTA[[#This Row],[Column3]]=TRUE,NOTA[[#This Row],[QTY/ CTN]],INDEX([3]!db[QTY/ CTN],NOTA[[#This Row],[//DB]])))</f>
        <v/>
      </c>
      <c r="AX8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9" s="25" t="str">
        <f ca="1">IF(NOTA[[#This Row],[ID_H]]="","",MATCH(NOTA[[#This Row],[NB NOTA_C_QTY]],[3]!db[NB NOTA_C_QTY+F],0))</f>
        <v/>
      </c>
      <c r="AZ839" s="38" t="str">
        <f ca="1">IF(NOTA[[#This Row],[NB NOTA_C_QTY]]="","",ROW()-2)</f>
        <v/>
      </c>
    </row>
    <row r="840" spans="1:52" ht="20.100000000000001" customHeight="1">
      <c r="A8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0" s="25" t="str">
        <f ca="1">IF(NOTA[[#This Row],[NAMA BARANG]]="","",INDEX(NOTA[ID],MATCH(,INDIRECT(ADDRESS(ROW(NOTA[ID]),COLUMN(NOTA[ID]))&amp;":"&amp;ADDRESS(ROW(),COLUMN(NOTA[ID]))),-1)))</f>
        <v/>
      </c>
      <c r="E840" s="33"/>
      <c r="H840" s="34"/>
      <c r="Q840" s="29"/>
      <c r="R840" s="35"/>
      <c r="S840" s="36"/>
      <c r="V840" s="37"/>
      <c r="W840" s="32"/>
      <c r="X840" s="37" t="str">
        <f>IF(NOTA[[#This Row],[HARGA/ CTN]]="",NOTA[[#This Row],[JUMLAH_H]],NOTA[[#This Row],[HARGA/ CTN]]*IF(NOTA[[#This Row],[C]]="",0,NOTA[[#This Row],[C]]))</f>
        <v/>
      </c>
      <c r="Y840" s="37" t="str">
        <f>IF(NOTA[[#This Row],[JUMLAH]]="","",NOTA[[#This Row],[JUMLAH]]*NOTA[[#This Row],[DISC 1]])</f>
        <v/>
      </c>
      <c r="Z840" s="37" t="str">
        <f>IF(NOTA[[#This Row],[JUMLAH]]="","",(NOTA[[#This Row],[JUMLAH]]-NOTA[[#This Row],[DISC 1-]])*NOTA[[#This Row],[DISC 2]])</f>
        <v/>
      </c>
      <c r="AA840" s="37" t="str">
        <f>IF(NOTA[[#This Row],[JUMLAH]]="","",(NOTA[[#This Row],[JUMLAH]]-NOTA[[#This Row],[DISC 1-]]-NOTA[[#This Row],[DISC 2-]])*NOTA[[#This Row],[DISC 3]])</f>
        <v/>
      </c>
      <c r="AB840" s="37" t="str">
        <f>IF(NOTA[[#This Row],[JUMLAH]]="","",NOTA[[#This Row],[DISC 1-]]+NOTA[[#This Row],[DISC 2-]]+NOTA[[#This Row],[DISC 3-]])</f>
        <v/>
      </c>
      <c r="AC840" s="37" t="str">
        <f>IF(NOTA[[#This Row],[JUMLAH]]="","",NOTA[[#This Row],[JUMLAH]]-NOTA[[#This Row],[DISC]])</f>
        <v/>
      </c>
      <c r="AD840" s="37"/>
      <c r="AE8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0" s="37" t="str">
        <f>IF(OR(NOTA[[#This Row],[QTY]]="",NOTA[[#This Row],[HARGA SATUAN]]="",),"",NOTA[[#This Row],[QTY]]*NOTA[[#This Row],[HARGA SATUAN]])</f>
        <v/>
      </c>
      <c r="AI840" s="26" t="str">
        <f ca="1">IF(NOTA[[#This Row],[ID_H]]="","",INDEX(NOTA[TANGGAL],MATCH(,INDIRECT(ADDRESS(ROW(NOTA[TANGGAL]),COLUMN(NOTA[TANGGAL]))&amp;":"&amp;ADDRESS(ROW(),COLUMN(NOTA[TANGGAL]))),-1)))</f>
        <v/>
      </c>
      <c r="AJ840" s="26" t="str">
        <f ca="1">IF(NOTA[[#This Row],[ID_H]]="","",INDEX(NOTA[TGL.NOTA],MATCH(,INDIRECT(ADDRESS(ROW(NOTA[TGL.NOTA]),COLUMN(NOTA[TGL.NOTA]))&amp;":"&amp;ADDRESS(ROW(),COLUMN(NOTA[TGL.NOTA]))),-1)))</f>
        <v/>
      </c>
      <c r="AK840" s="26" t="str">
        <f ca="1">IF(NOTA[[#This Row],[ID_H]]="","",INDEX(NOTA[NO.NOTA],MATCH(NOTA[[#This Row],[ID_H]],NOTA[ID_H],0)))</f>
        <v/>
      </c>
      <c r="AL840" s="28" t="str">
        <f ca="1">IF(NOTA[[#This Row],[NAMA BARANG]]="","",INDEX(NOTA[SUPPLIER],MATCH(,INDIRECT(ADDRESS(ROW(NOTA[ID]),COLUMN(NOTA[ID]))&amp;":"&amp;ADDRESS(ROW(),COLUMN(NOTA[ID]))),-1)))</f>
        <v/>
      </c>
      <c r="AM840" s="28" t="str">
        <f ca="1">IF(NOTA[[#This Row],[ID_H]]="","",IF(NOTA[[#This Row],[FAKTUR]]="",INDIRECT(ADDRESS(ROW()-1,COLUMN())),NOTA[[#This Row],[FAKTUR]]))</f>
        <v/>
      </c>
      <c r="AN840" s="25" t="str">
        <f ca="1">IF(NOTA[[#This Row],[ID]]="","",COUNTIF(NOTA[ID_H],NOTA[[#This Row],[ID_H]]))</f>
        <v/>
      </c>
      <c r="AO840" s="25" t="str">
        <f ca="1">IF(NOTA[[#This Row],[TGL.NOTA]]="",IF(NOTA[[#This Row],[SUPPLIER_H]]="","",AO839),MONTH(NOTA[[#This Row],[TGL.NOTA]]))</f>
        <v/>
      </c>
      <c r="AP8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0" s="25"/>
      <c r="AU840" s="25" t="str">
        <f>IF(NOTA[[#This Row],[CONCAT1]]="","",MATCH(NOTA[[#This Row],[CONCAT1]],[3]!db[NB NOTA_C],0))</f>
        <v/>
      </c>
      <c r="AV840" s="25" t="str">
        <f>IF(NOTA[[#This Row],[QTY/ CTN]]="","",TRUE)</f>
        <v/>
      </c>
      <c r="AW840" s="25" t="str">
        <f ca="1">IF(NOTA[[#This Row],[ID_H]]="","",IF(NOTA[[#This Row],[Column3]]=TRUE,NOTA[[#This Row],[QTY/ CTN]],INDEX([3]!db[QTY/ CTN],NOTA[[#This Row],[//DB]])))</f>
        <v/>
      </c>
      <c r="AX8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0" s="25" t="str">
        <f ca="1">IF(NOTA[[#This Row],[ID_H]]="","",MATCH(NOTA[[#This Row],[NB NOTA_C_QTY]],[3]!db[NB NOTA_C_QTY+F],0))</f>
        <v/>
      </c>
      <c r="AZ840" s="38" t="str">
        <f ca="1">IF(NOTA[[#This Row],[NB NOTA_C_QTY]]="","",ROW()-2)</f>
        <v/>
      </c>
    </row>
    <row r="841" spans="1:52" ht="20.100000000000001" customHeight="1">
      <c r="A8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1" s="25" t="str">
        <f ca="1">IF(NOTA[[#This Row],[NAMA BARANG]]="","",INDEX(NOTA[ID],MATCH(,INDIRECT(ADDRESS(ROW(NOTA[ID]),COLUMN(NOTA[ID]))&amp;":"&amp;ADDRESS(ROW(),COLUMN(NOTA[ID]))),-1)))</f>
        <v/>
      </c>
      <c r="E841" s="33"/>
      <c r="H841" s="34"/>
      <c r="Q841" s="29"/>
      <c r="R841" s="35"/>
      <c r="S841" s="36"/>
      <c r="V841" s="37"/>
      <c r="W841" s="32"/>
      <c r="X841" s="37" t="str">
        <f>IF(NOTA[[#This Row],[HARGA/ CTN]]="",NOTA[[#This Row],[JUMLAH_H]],NOTA[[#This Row],[HARGA/ CTN]]*IF(NOTA[[#This Row],[C]]="",0,NOTA[[#This Row],[C]]))</f>
        <v/>
      </c>
      <c r="Y841" s="37" t="str">
        <f>IF(NOTA[[#This Row],[JUMLAH]]="","",NOTA[[#This Row],[JUMLAH]]*NOTA[[#This Row],[DISC 1]])</f>
        <v/>
      </c>
      <c r="Z841" s="37" t="str">
        <f>IF(NOTA[[#This Row],[JUMLAH]]="","",(NOTA[[#This Row],[JUMLAH]]-NOTA[[#This Row],[DISC 1-]])*NOTA[[#This Row],[DISC 2]])</f>
        <v/>
      </c>
      <c r="AA841" s="37" t="str">
        <f>IF(NOTA[[#This Row],[JUMLAH]]="","",(NOTA[[#This Row],[JUMLAH]]-NOTA[[#This Row],[DISC 1-]]-NOTA[[#This Row],[DISC 2-]])*NOTA[[#This Row],[DISC 3]])</f>
        <v/>
      </c>
      <c r="AB841" s="37" t="str">
        <f>IF(NOTA[[#This Row],[JUMLAH]]="","",NOTA[[#This Row],[DISC 1-]]+NOTA[[#This Row],[DISC 2-]]+NOTA[[#This Row],[DISC 3-]])</f>
        <v/>
      </c>
      <c r="AC841" s="37" t="str">
        <f>IF(NOTA[[#This Row],[JUMLAH]]="","",NOTA[[#This Row],[JUMLAH]]-NOTA[[#This Row],[DISC]])</f>
        <v/>
      </c>
      <c r="AD841" s="37"/>
      <c r="AE8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1" s="37" t="str">
        <f>IF(OR(NOTA[[#This Row],[QTY]]="",NOTA[[#This Row],[HARGA SATUAN]]="",),"",NOTA[[#This Row],[QTY]]*NOTA[[#This Row],[HARGA SATUAN]])</f>
        <v/>
      </c>
      <c r="AI841" s="26" t="str">
        <f ca="1">IF(NOTA[[#This Row],[ID_H]]="","",INDEX(NOTA[TANGGAL],MATCH(,INDIRECT(ADDRESS(ROW(NOTA[TANGGAL]),COLUMN(NOTA[TANGGAL]))&amp;":"&amp;ADDRESS(ROW(),COLUMN(NOTA[TANGGAL]))),-1)))</f>
        <v/>
      </c>
      <c r="AJ841" s="26" t="str">
        <f ca="1">IF(NOTA[[#This Row],[ID_H]]="","",INDEX(NOTA[TGL.NOTA],MATCH(,INDIRECT(ADDRESS(ROW(NOTA[TGL.NOTA]),COLUMN(NOTA[TGL.NOTA]))&amp;":"&amp;ADDRESS(ROW(),COLUMN(NOTA[TGL.NOTA]))),-1)))</f>
        <v/>
      </c>
      <c r="AK841" s="26" t="str">
        <f ca="1">IF(NOTA[[#This Row],[ID_H]]="","",INDEX(NOTA[NO.NOTA],MATCH(NOTA[[#This Row],[ID_H]],NOTA[ID_H],0)))</f>
        <v/>
      </c>
      <c r="AL841" s="28" t="str">
        <f ca="1">IF(NOTA[[#This Row],[NAMA BARANG]]="","",INDEX(NOTA[SUPPLIER],MATCH(,INDIRECT(ADDRESS(ROW(NOTA[ID]),COLUMN(NOTA[ID]))&amp;":"&amp;ADDRESS(ROW(),COLUMN(NOTA[ID]))),-1)))</f>
        <v/>
      </c>
      <c r="AM841" s="28" t="str">
        <f ca="1">IF(NOTA[[#This Row],[ID_H]]="","",IF(NOTA[[#This Row],[FAKTUR]]="",INDIRECT(ADDRESS(ROW()-1,COLUMN())),NOTA[[#This Row],[FAKTUR]]))</f>
        <v/>
      </c>
      <c r="AN841" s="25" t="str">
        <f ca="1">IF(NOTA[[#This Row],[ID]]="","",COUNTIF(NOTA[ID_H],NOTA[[#This Row],[ID_H]]))</f>
        <v/>
      </c>
      <c r="AO841" s="25" t="str">
        <f ca="1">IF(NOTA[[#This Row],[TGL.NOTA]]="",IF(NOTA[[#This Row],[SUPPLIER_H]]="","",AO840),MONTH(NOTA[[#This Row],[TGL.NOTA]]))</f>
        <v/>
      </c>
      <c r="AP8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1" s="25"/>
      <c r="AU841" s="25" t="str">
        <f>IF(NOTA[[#This Row],[CONCAT1]]="","",MATCH(NOTA[[#This Row],[CONCAT1]],[3]!db[NB NOTA_C],0))</f>
        <v/>
      </c>
      <c r="AV841" s="25" t="str">
        <f>IF(NOTA[[#This Row],[QTY/ CTN]]="","",TRUE)</f>
        <v/>
      </c>
      <c r="AW841" s="25" t="str">
        <f ca="1">IF(NOTA[[#This Row],[ID_H]]="","",IF(NOTA[[#This Row],[Column3]]=TRUE,NOTA[[#This Row],[QTY/ CTN]],INDEX([3]!db[QTY/ CTN],NOTA[[#This Row],[//DB]])))</f>
        <v/>
      </c>
      <c r="AX8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1" s="25" t="str">
        <f ca="1">IF(NOTA[[#This Row],[ID_H]]="","",MATCH(NOTA[[#This Row],[NB NOTA_C_QTY]],[3]!db[NB NOTA_C_QTY+F],0))</f>
        <v/>
      </c>
      <c r="AZ841" s="38" t="str">
        <f ca="1">IF(NOTA[[#This Row],[NB NOTA_C_QTY]]="","",ROW()-2)</f>
        <v/>
      </c>
    </row>
    <row r="842" spans="1:52" ht="20.100000000000001" customHeight="1">
      <c r="A8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2" s="25" t="str">
        <f ca="1">IF(NOTA[[#This Row],[NAMA BARANG]]="","",INDEX(NOTA[ID],MATCH(,INDIRECT(ADDRESS(ROW(NOTA[ID]),COLUMN(NOTA[ID]))&amp;":"&amp;ADDRESS(ROW(),COLUMN(NOTA[ID]))),-1)))</f>
        <v/>
      </c>
      <c r="E842" s="33"/>
      <c r="H842" s="34"/>
      <c r="Q842" s="29"/>
      <c r="R842" s="35"/>
      <c r="S842" s="36"/>
      <c r="V842" s="37"/>
      <c r="W842" s="32"/>
      <c r="X842" s="37" t="str">
        <f>IF(NOTA[[#This Row],[HARGA/ CTN]]="",NOTA[[#This Row],[JUMLAH_H]],NOTA[[#This Row],[HARGA/ CTN]]*IF(NOTA[[#This Row],[C]]="",0,NOTA[[#This Row],[C]]))</f>
        <v/>
      </c>
      <c r="Y842" s="37" t="str">
        <f>IF(NOTA[[#This Row],[JUMLAH]]="","",NOTA[[#This Row],[JUMLAH]]*NOTA[[#This Row],[DISC 1]])</f>
        <v/>
      </c>
      <c r="Z842" s="37" t="str">
        <f>IF(NOTA[[#This Row],[JUMLAH]]="","",(NOTA[[#This Row],[JUMLAH]]-NOTA[[#This Row],[DISC 1-]])*NOTA[[#This Row],[DISC 2]])</f>
        <v/>
      </c>
      <c r="AA842" s="37" t="str">
        <f>IF(NOTA[[#This Row],[JUMLAH]]="","",(NOTA[[#This Row],[JUMLAH]]-NOTA[[#This Row],[DISC 1-]]-NOTA[[#This Row],[DISC 2-]])*NOTA[[#This Row],[DISC 3]])</f>
        <v/>
      </c>
      <c r="AB842" s="37" t="str">
        <f>IF(NOTA[[#This Row],[JUMLAH]]="","",NOTA[[#This Row],[DISC 1-]]+NOTA[[#This Row],[DISC 2-]]+NOTA[[#This Row],[DISC 3-]])</f>
        <v/>
      </c>
      <c r="AC842" s="37" t="str">
        <f>IF(NOTA[[#This Row],[JUMLAH]]="","",NOTA[[#This Row],[JUMLAH]]-NOTA[[#This Row],[DISC]])</f>
        <v/>
      </c>
      <c r="AD842" s="37"/>
      <c r="AE8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2" s="37" t="str">
        <f>IF(OR(NOTA[[#This Row],[QTY]]="",NOTA[[#This Row],[HARGA SATUAN]]="",),"",NOTA[[#This Row],[QTY]]*NOTA[[#This Row],[HARGA SATUAN]])</f>
        <v/>
      </c>
      <c r="AI842" s="26" t="str">
        <f ca="1">IF(NOTA[[#This Row],[ID_H]]="","",INDEX(NOTA[TANGGAL],MATCH(,INDIRECT(ADDRESS(ROW(NOTA[TANGGAL]),COLUMN(NOTA[TANGGAL]))&amp;":"&amp;ADDRESS(ROW(),COLUMN(NOTA[TANGGAL]))),-1)))</f>
        <v/>
      </c>
      <c r="AJ842" s="26" t="str">
        <f ca="1">IF(NOTA[[#This Row],[ID_H]]="","",INDEX(NOTA[TGL.NOTA],MATCH(,INDIRECT(ADDRESS(ROW(NOTA[TGL.NOTA]),COLUMN(NOTA[TGL.NOTA]))&amp;":"&amp;ADDRESS(ROW(),COLUMN(NOTA[TGL.NOTA]))),-1)))</f>
        <v/>
      </c>
      <c r="AK842" s="26" t="str">
        <f ca="1">IF(NOTA[[#This Row],[ID_H]]="","",INDEX(NOTA[NO.NOTA],MATCH(NOTA[[#This Row],[ID_H]],NOTA[ID_H],0)))</f>
        <v/>
      </c>
      <c r="AL842" s="28" t="str">
        <f ca="1">IF(NOTA[[#This Row],[NAMA BARANG]]="","",INDEX(NOTA[SUPPLIER],MATCH(,INDIRECT(ADDRESS(ROW(NOTA[ID]),COLUMN(NOTA[ID]))&amp;":"&amp;ADDRESS(ROW(),COLUMN(NOTA[ID]))),-1)))</f>
        <v/>
      </c>
      <c r="AM842" s="28" t="str">
        <f ca="1">IF(NOTA[[#This Row],[ID_H]]="","",IF(NOTA[[#This Row],[FAKTUR]]="",INDIRECT(ADDRESS(ROW()-1,COLUMN())),NOTA[[#This Row],[FAKTUR]]))</f>
        <v/>
      </c>
      <c r="AN842" s="25" t="str">
        <f ca="1">IF(NOTA[[#This Row],[ID]]="","",COUNTIF(NOTA[ID_H],NOTA[[#This Row],[ID_H]]))</f>
        <v/>
      </c>
      <c r="AO842" s="25" t="str">
        <f ca="1">IF(NOTA[[#This Row],[TGL.NOTA]]="",IF(NOTA[[#This Row],[SUPPLIER_H]]="","",AO841),MONTH(NOTA[[#This Row],[TGL.NOTA]]))</f>
        <v/>
      </c>
      <c r="AP8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2" s="25"/>
      <c r="AU842" s="25" t="str">
        <f>IF(NOTA[[#This Row],[CONCAT1]]="","",MATCH(NOTA[[#This Row],[CONCAT1]],[3]!db[NB NOTA_C],0))</f>
        <v/>
      </c>
      <c r="AV842" s="25" t="str">
        <f>IF(NOTA[[#This Row],[QTY/ CTN]]="","",TRUE)</f>
        <v/>
      </c>
      <c r="AW842" s="25" t="str">
        <f ca="1">IF(NOTA[[#This Row],[ID_H]]="","",IF(NOTA[[#This Row],[Column3]]=TRUE,NOTA[[#This Row],[QTY/ CTN]],INDEX([3]!db[QTY/ CTN],NOTA[[#This Row],[//DB]])))</f>
        <v/>
      </c>
      <c r="AX8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2" s="25" t="str">
        <f ca="1">IF(NOTA[[#This Row],[ID_H]]="","",MATCH(NOTA[[#This Row],[NB NOTA_C_QTY]],[3]!db[NB NOTA_C_QTY+F],0))</f>
        <v/>
      </c>
      <c r="AZ842" s="38" t="str">
        <f ca="1">IF(NOTA[[#This Row],[NB NOTA_C_QTY]]="","",ROW()-2)</f>
        <v/>
      </c>
    </row>
    <row r="843" spans="1:52" ht="20.100000000000001" customHeight="1">
      <c r="A8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3" s="25" t="str">
        <f ca="1">IF(NOTA[[#This Row],[NAMA BARANG]]="","",INDEX(NOTA[ID],MATCH(,INDIRECT(ADDRESS(ROW(NOTA[ID]),COLUMN(NOTA[ID]))&amp;":"&amp;ADDRESS(ROW(),COLUMN(NOTA[ID]))),-1)))</f>
        <v/>
      </c>
      <c r="E843" s="33"/>
      <c r="H843" s="34"/>
      <c r="Q843" s="29"/>
      <c r="R843" s="35"/>
      <c r="S843" s="36"/>
      <c r="V843" s="37"/>
      <c r="W843" s="32"/>
      <c r="X843" s="37" t="str">
        <f>IF(NOTA[[#This Row],[HARGA/ CTN]]="",NOTA[[#This Row],[JUMLAH_H]],NOTA[[#This Row],[HARGA/ CTN]]*IF(NOTA[[#This Row],[C]]="",0,NOTA[[#This Row],[C]]))</f>
        <v/>
      </c>
      <c r="Y843" s="37" t="str">
        <f>IF(NOTA[[#This Row],[JUMLAH]]="","",NOTA[[#This Row],[JUMLAH]]*NOTA[[#This Row],[DISC 1]])</f>
        <v/>
      </c>
      <c r="Z843" s="37" t="str">
        <f>IF(NOTA[[#This Row],[JUMLAH]]="","",(NOTA[[#This Row],[JUMLAH]]-NOTA[[#This Row],[DISC 1-]])*NOTA[[#This Row],[DISC 2]])</f>
        <v/>
      </c>
      <c r="AA843" s="37" t="str">
        <f>IF(NOTA[[#This Row],[JUMLAH]]="","",(NOTA[[#This Row],[JUMLAH]]-NOTA[[#This Row],[DISC 1-]]-NOTA[[#This Row],[DISC 2-]])*NOTA[[#This Row],[DISC 3]])</f>
        <v/>
      </c>
      <c r="AB843" s="37" t="str">
        <f>IF(NOTA[[#This Row],[JUMLAH]]="","",NOTA[[#This Row],[DISC 1-]]+NOTA[[#This Row],[DISC 2-]]+NOTA[[#This Row],[DISC 3-]])</f>
        <v/>
      </c>
      <c r="AC843" s="37" t="str">
        <f>IF(NOTA[[#This Row],[JUMLAH]]="","",NOTA[[#This Row],[JUMLAH]]-NOTA[[#This Row],[DISC]])</f>
        <v/>
      </c>
      <c r="AD843" s="37"/>
      <c r="AE8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3" s="37" t="str">
        <f>IF(OR(NOTA[[#This Row],[QTY]]="",NOTA[[#This Row],[HARGA SATUAN]]="",),"",NOTA[[#This Row],[QTY]]*NOTA[[#This Row],[HARGA SATUAN]])</f>
        <v/>
      </c>
      <c r="AI843" s="26" t="str">
        <f ca="1">IF(NOTA[[#This Row],[ID_H]]="","",INDEX(NOTA[TANGGAL],MATCH(,INDIRECT(ADDRESS(ROW(NOTA[TANGGAL]),COLUMN(NOTA[TANGGAL]))&amp;":"&amp;ADDRESS(ROW(),COLUMN(NOTA[TANGGAL]))),-1)))</f>
        <v/>
      </c>
      <c r="AJ843" s="26" t="str">
        <f ca="1">IF(NOTA[[#This Row],[ID_H]]="","",INDEX(NOTA[TGL.NOTA],MATCH(,INDIRECT(ADDRESS(ROW(NOTA[TGL.NOTA]),COLUMN(NOTA[TGL.NOTA]))&amp;":"&amp;ADDRESS(ROW(),COLUMN(NOTA[TGL.NOTA]))),-1)))</f>
        <v/>
      </c>
      <c r="AK843" s="26" t="str">
        <f ca="1">IF(NOTA[[#This Row],[ID_H]]="","",INDEX(NOTA[NO.NOTA],MATCH(NOTA[[#This Row],[ID_H]],NOTA[ID_H],0)))</f>
        <v/>
      </c>
      <c r="AL843" s="28" t="str">
        <f ca="1">IF(NOTA[[#This Row],[NAMA BARANG]]="","",INDEX(NOTA[SUPPLIER],MATCH(,INDIRECT(ADDRESS(ROW(NOTA[ID]),COLUMN(NOTA[ID]))&amp;":"&amp;ADDRESS(ROW(),COLUMN(NOTA[ID]))),-1)))</f>
        <v/>
      </c>
      <c r="AM843" s="28" t="str">
        <f ca="1">IF(NOTA[[#This Row],[ID_H]]="","",IF(NOTA[[#This Row],[FAKTUR]]="",INDIRECT(ADDRESS(ROW()-1,COLUMN())),NOTA[[#This Row],[FAKTUR]]))</f>
        <v/>
      </c>
      <c r="AN843" s="25" t="str">
        <f ca="1">IF(NOTA[[#This Row],[ID]]="","",COUNTIF(NOTA[ID_H],NOTA[[#This Row],[ID_H]]))</f>
        <v/>
      </c>
      <c r="AO843" s="25" t="str">
        <f ca="1">IF(NOTA[[#This Row],[TGL.NOTA]]="",IF(NOTA[[#This Row],[SUPPLIER_H]]="","",AO842),MONTH(NOTA[[#This Row],[TGL.NOTA]]))</f>
        <v/>
      </c>
      <c r="AP8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3" s="25"/>
      <c r="AU843" s="25" t="str">
        <f>IF(NOTA[[#This Row],[CONCAT1]]="","",MATCH(NOTA[[#This Row],[CONCAT1]],[3]!db[NB NOTA_C],0))</f>
        <v/>
      </c>
      <c r="AV843" s="25" t="str">
        <f>IF(NOTA[[#This Row],[QTY/ CTN]]="","",TRUE)</f>
        <v/>
      </c>
      <c r="AW843" s="25" t="str">
        <f ca="1">IF(NOTA[[#This Row],[ID_H]]="","",IF(NOTA[[#This Row],[Column3]]=TRUE,NOTA[[#This Row],[QTY/ CTN]],INDEX([3]!db[QTY/ CTN],NOTA[[#This Row],[//DB]])))</f>
        <v/>
      </c>
      <c r="AX8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3" s="25" t="str">
        <f ca="1">IF(NOTA[[#This Row],[ID_H]]="","",MATCH(NOTA[[#This Row],[NB NOTA_C_QTY]],[3]!db[NB NOTA_C_QTY+F],0))</f>
        <v/>
      </c>
      <c r="AZ843" s="38" t="str">
        <f ca="1">IF(NOTA[[#This Row],[NB NOTA_C_QTY]]="","",ROW()-2)</f>
        <v/>
      </c>
    </row>
    <row r="844" spans="1:52" ht="20.100000000000001" customHeight="1">
      <c r="A8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4" s="25" t="str">
        <f ca="1">IF(NOTA[[#This Row],[NAMA BARANG]]="","",INDEX(NOTA[ID],MATCH(,INDIRECT(ADDRESS(ROW(NOTA[ID]),COLUMN(NOTA[ID]))&amp;":"&amp;ADDRESS(ROW(),COLUMN(NOTA[ID]))),-1)))</f>
        <v/>
      </c>
      <c r="E844" s="33"/>
      <c r="H844" s="34"/>
      <c r="Q844" s="29"/>
      <c r="R844" s="35"/>
      <c r="S844" s="36"/>
      <c r="V844" s="37"/>
      <c r="W844" s="32"/>
      <c r="X844" s="37" t="str">
        <f>IF(NOTA[[#This Row],[HARGA/ CTN]]="",NOTA[[#This Row],[JUMLAH_H]],NOTA[[#This Row],[HARGA/ CTN]]*IF(NOTA[[#This Row],[C]]="",0,NOTA[[#This Row],[C]]))</f>
        <v/>
      </c>
      <c r="Y844" s="37" t="str">
        <f>IF(NOTA[[#This Row],[JUMLAH]]="","",NOTA[[#This Row],[JUMLAH]]*NOTA[[#This Row],[DISC 1]])</f>
        <v/>
      </c>
      <c r="Z844" s="37" t="str">
        <f>IF(NOTA[[#This Row],[JUMLAH]]="","",(NOTA[[#This Row],[JUMLAH]]-NOTA[[#This Row],[DISC 1-]])*NOTA[[#This Row],[DISC 2]])</f>
        <v/>
      </c>
      <c r="AA844" s="37" t="str">
        <f>IF(NOTA[[#This Row],[JUMLAH]]="","",(NOTA[[#This Row],[JUMLAH]]-NOTA[[#This Row],[DISC 1-]]-NOTA[[#This Row],[DISC 2-]])*NOTA[[#This Row],[DISC 3]])</f>
        <v/>
      </c>
      <c r="AB844" s="37" t="str">
        <f>IF(NOTA[[#This Row],[JUMLAH]]="","",NOTA[[#This Row],[DISC 1-]]+NOTA[[#This Row],[DISC 2-]]+NOTA[[#This Row],[DISC 3-]])</f>
        <v/>
      </c>
      <c r="AC844" s="37" t="str">
        <f>IF(NOTA[[#This Row],[JUMLAH]]="","",NOTA[[#This Row],[JUMLAH]]-NOTA[[#This Row],[DISC]])</f>
        <v/>
      </c>
      <c r="AD844" s="37"/>
      <c r="AE8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4" s="37" t="str">
        <f>IF(OR(NOTA[[#This Row],[QTY]]="",NOTA[[#This Row],[HARGA SATUAN]]="",),"",NOTA[[#This Row],[QTY]]*NOTA[[#This Row],[HARGA SATUAN]])</f>
        <v/>
      </c>
      <c r="AI844" s="26" t="str">
        <f ca="1">IF(NOTA[[#This Row],[ID_H]]="","",INDEX(NOTA[TANGGAL],MATCH(,INDIRECT(ADDRESS(ROW(NOTA[TANGGAL]),COLUMN(NOTA[TANGGAL]))&amp;":"&amp;ADDRESS(ROW(),COLUMN(NOTA[TANGGAL]))),-1)))</f>
        <v/>
      </c>
      <c r="AJ844" s="26" t="str">
        <f ca="1">IF(NOTA[[#This Row],[ID_H]]="","",INDEX(NOTA[TGL.NOTA],MATCH(,INDIRECT(ADDRESS(ROW(NOTA[TGL.NOTA]),COLUMN(NOTA[TGL.NOTA]))&amp;":"&amp;ADDRESS(ROW(),COLUMN(NOTA[TGL.NOTA]))),-1)))</f>
        <v/>
      </c>
      <c r="AK844" s="26" t="str">
        <f ca="1">IF(NOTA[[#This Row],[ID_H]]="","",INDEX(NOTA[NO.NOTA],MATCH(NOTA[[#This Row],[ID_H]],NOTA[ID_H],0)))</f>
        <v/>
      </c>
      <c r="AL844" s="28" t="str">
        <f ca="1">IF(NOTA[[#This Row],[NAMA BARANG]]="","",INDEX(NOTA[SUPPLIER],MATCH(,INDIRECT(ADDRESS(ROW(NOTA[ID]),COLUMN(NOTA[ID]))&amp;":"&amp;ADDRESS(ROW(),COLUMN(NOTA[ID]))),-1)))</f>
        <v/>
      </c>
      <c r="AM844" s="28" t="str">
        <f ca="1">IF(NOTA[[#This Row],[ID_H]]="","",IF(NOTA[[#This Row],[FAKTUR]]="",INDIRECT(ADDRESS(ROW()-1,COLUMN())),NOTA[[#This Row],[FAKTUR]]))</f>
        <v/>
      </c>
      <c r="AN844" s="25" t="str">
        <f ca="1">IF(NOTA[[#This Row],[ID]]="","",COUNTIF(NOTA[ID_H],NOTA[[#This Row],[ID_H]]))</f>
        <v/>
      </c>
      <c r="AO844" s="25" t="str">
        <f ca="1">IF(NOTA[[#This Row],[TGL.NOTA]]="",IF(NOTA[[#This Row],[SUPPLIER_H]]="","",AO843),MONTH(NOTA[[#This Row],[TGL.NOTA]]))</f>
        <v/>
      </c>
      <c r="AP8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4" s="25"/>
      <c r="AU844" s="25" t="str">
        <f>IF(NOTA[[#This Row],[CONCAT1]]="","",MATCH(NOTA[[#This Row],[CONCAT1]],[3]!db[NB NOTA_C],0))</f>
        <v/>
      </c>
      <c r="AV844" s="25" t="str">
        <f>IF(NOTA[[#This Row],[QTY/ CTN]]="","",TRUE)</f>
        <v/>
      </c>
      <c r="AW844" s="25" t="str">
        <f ca="1">IF(NOTA[[#This Row],[ID_H]]="","",IF(NOTA[[#This Row],[Column3]]=TRUE,NOTA[[#This Row],[QTY/ CTN]],INDEX([3]!db[QTY/ CTN],NOTA[[#This Row],[//DB]])))</f>
        <v/>
      </c>
      <c r="AX8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4" s="25" t="str">
        <f ca="1">IF(NOTA[[#This Row],[ID_H]]="","",MATCH(NOTA[[#This Row],[NB NOTA_C_QTY]],[3]!db[NB NOTA_C_QTY+F],0))</f>
        <v/>
      </c>
      <c r="AZ844" s="38" t="str">
        <f ca="1">IF(NOTA[[#This Row],[NB NOTA_C_QTY]]="","",ROW()-2)</f>
        <v/>
      </c>
    </row>
    <row r="845" spans="1:52" ht="20.100000000000001" customHeight="1">
      <c r="A8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5" s="25" t="str">
        <f ca="1">IF(NOTA[[#This Row],[NAMA BARANG]]="","",INDEX(NOTA[ID],MATCH(,INDIRECT(ADDRESS(ROW(NOTA[ID]),COLUMN(NOTA[ID]))&amp;":"&amp;ADDRESS(ROW(),COLUMN(NOTA[ID]))),-1)))</f>
        <v/>
      </c>
      <c r="E845" s="33"/>
      <c r="H845" s="34"/>
      <c r="Q845" s="29"/>
      <c r="R845" s="35"/>
      <c r="S845" s="36"/>
      <c r="V845" s="37"/>
      <c r="W845" s="32"/>
      <c r="X845" s="37" t="str">
        <f>IF(NOTA[[#This Row],[HARGA/ CTN]]="",NOTA[[#This Row],[JUMLAH_H]],NOTA[[#This Row],[HARGA/ CTN]]*IF(NOTA[[#This Row],[C]]="",0,NOTA[[#This Row],[C]]))</f>
        <v/>
      </c>
      <c r="Y845" s="37" t="str">
        <f>IF(NOTA[[#This Row],[JUMLAH]]="","",NOTA[[#This Row],[JUMLAH]]*NOTA[[#This Row],[DISC 1]])</f>
        <v/>
      </c>
      <c r="Z845" s="37" t="str">
        <f>IF(NOTA[[#This Row],[JUMLAH]]="","",(NOTA[[#This Row],[JUMLAH]]-NOTA[[#This Row],[DISC 1-]])*NOTA[[#This Row],[DISC 2]])</f>
        <v/>
      </c>
      <c r="AA845" s="37" t="str">
        <f>IF(NOTA[[#This Row],[JUMLAH]]="","",(NOTA[[#This Row],[JUMLAH]]-NOTA[[#This Row],[DISC 1-]]-NOTA[[#This Row],[DISC 2-]])*NOTA[[#This Row],[DISC 3]])</f>
        <v/>
      </c>
      <c r="AB845" s="37" t="str">
        <f>IF(NOTA[[#This Row],[JUMLAH]]="","",NOTA[[#This Row],[DISC 1-]]+NOTA[[#This Row],[DISC 2-]]+NOTA[[#This Row],[DISC 3-]])</f>
        <v/>
      </c>
      <c r="AC845" s="37" t="str">
        <f>IF(NOTA[[#This Row],[JUMLAH]]="","",NOTA[[#This Row],[JUMLAH]]-NOTA[[#This Row],[DISC]])</f>
        <v/>
      </c>
      <c r="AD845" s="37"/>
      <c r="AE8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5" s="37" t="str">
        <f>IF(OR(NOTA[[#This Row],[QTY]]="",NOTA[[#This Row],[HARGA SATUAN]]="",),"",NOTA[[#This Row],[QTY]]*NOTA[[#This Row],[HARGA SATUAN]])</f>
        <v/>
      </c>
      <c r="AI845" s="26" t="str">
        <f ca="1">IF(NOTA[[#This Row],[ID_H]]="","",INDEX(NOTA[TANGGAL],MATCH(,INDIRECT(ADDRESS(ROW(NOTA[TANGGAL]),COLUMN(NOTA[TANGGAL]))&amp;":"&amp;ADDRESS(ROW(),COLUMN(NOTA[TANGGAL]))),-1)))</f>
        <v/>
      </c>
      <c r="AJ845" s="26" t="str">
        <f ca="1">IF(NOTA[[#This Row],[ID_H]]="","",INDEX(NOTA[TGL.NOTA],MATCH(,INDIRECT(ADDRESS(ROW(NOTA[TGL.NOTA]),COLUMN(NOTA[TGL.NOTA]))&amp;":"&amp;ADDRESS(ROW(),COLUMN(NOTA[TGL.NOTA]))),-1)))</f>
        <v/>
      </c>
      <c r="AK845" s="26" t="str">
        <f ca="1">IF(NOTA[[#This Row],[ID_H]]="","",INDEX(NOTA[NO.NOTA],MATCH(NOTA[[#This Row],[ID_H]],NOTA[ID_H],0)))</f>
        <v/>
      </c>
      <c r="AL845" s="28" t="str">
        <f ca="1">IF(NOTA[[#This Row],[NAMA BARANG]]="","",INDEX(NOTA[SUPPLIER],MATCH(,INDIRECT(ADDRESS(ROW(NOTA[ID]),COLUMN(NOTA[ID]))&amp;":"&amp;ADDRESS(ROW(),COLUMN(NOTA[ID]))),-1)))</f>
        <v/>
      </c>
      <c r="AM845" s="28" t="str">
        <f ca="1">IF(NOTA[[#This Row],[ID_H]]="","",IF(NOTA[[#This Row],[FAKTUR]]="",INDIRECT(ADDRESS(ROW()-1,COLUMN())),NOTA[[#This Row],[FAKTUR]]))</f>
        <v/>
      </c>
      <c r="AN845" s="25" t="str">
        <f ca="1">IF(NOTA[[#This Row],[ID]]="","",COUNTIF(NOTA[ID_H],NOTA[[#This Row],[ID_H]]))</f>
        <v/>
      </c>
      <c r="AO845" s="25" t="str">
        <f ca="1">IF(NOTA[[#This Row],[TGL.NOTA]]="",IF(NOTA[[#This Row],[SUPPLIER_H]]="","",AO844),MONTH(NOTA[[#This Row],[TGL.NOTA]]))</f>
        <v/>
      </c>
      <c r="AP8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5" s="25"/>
      <c r="AU845" s="25" t="str">
        <f>IF(NOTA[[#This Row],[CONCAT1]]="","",MATCH(NOTA[[#This Row],[CONCAT1]],[3]!db[NB NOTA_C],0))</f>
        <v/>
      </c>
      <c r="AV845" s="25" t="str">
        <f>IF(NOTA[[#This Row],[QTY/ CTN]]="","",TRUE)</f>
        <v/>
      </c>
      <c r="AW845" s="25" t="str">
        <f ca="1">IF(NOTA[[#This Row],[ID_H]]="","",IF(NOTA[[#This Row],[Column3]]=TRUE,NOTA[[#This Row],[QTY/ CTN]],INDEX([3]!db[QTY/ CTN],NOTA[[#This Row],[//DB]])))</f>
        <v/>
      </c>
      <c r="AX8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5" s="25" t="str">
        <f ca="1">IF(NOTA[[#This Row],[ID_H]]="","",MATCH(NOTA[[#This Row],[NB NOTA_C_QTY]],[3]!db[NB NOTA_C_QTY+F],0))</f>
        <v/>
      </c>
      <c r="AZ845" s="38" t="str">
        <f ca="1">IF(NOTA[[#This Row],[NB NOTA_C_QTY]]="","",ROW()-2)</f>
        <v/>
      </c>
    </row>
    <row r="846" spans="1:52" ht="20.100000000000001" customHeight="1">
      <c r="A8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6" s="25" t="str">
        <f ca="1">IF(NOTA[[#This Row],[NAMA BARANG]]="","",INDEX(NOTA[ID],MATCH(,INDIRECT(ADDRESS(ROW(NOTA[ID]),COLUMN(NOTA[ID]))&amp;":"&amp;ADDRESS(ROW(),COLUMN(NOTA[ID]))),-1)))</f>
        <v/>
      </c>
      <c r="E846" s="33"/>
      <c r="H846" s="34"/>
      <c r="Q846" s="29"/>
      <c r="R846" s="35"/>
      <c r="S846" s="36"/>
      <c r="V846" s="37"/>
      <c r="W846" s="32"/>
      <c r="X846" s="37" t="str">
        <f>IF(NOTA[[#This Row],[HARGA/ CTN]]="",NOTA[[#This Row],[JUMLAH_H]],NOTA[[#This Row],[HARGA/ CTN]]*IF(NOTA[[#This Row],[C]]="",0,NOTA[[#This Row],[C]]))</f>
        <v/>
      </c>
      <c r="Y846" s="37" t="str">
        <f>IF(NOTA[[#This Row],[JUMLAH]]="","",NOTA[[#This Row],[JUMLAH]]*NOTA[[#This Row],[DISC 1]])</f>
        <v/>
      </c>
      <c r="Z846" s="37" t="str">
        <f>IF(NOTA[[#This Row],[JUMLAH]]="","",(NOTA[[#This Row],[JUMLAH]]-NOTA[[#This Row],[DISC 1-]])*NOTA[[#This Row],[DISC 2]])</f>
        <v/>
      </c>
      <c r="AA846" s="37" t="str">
        <f>IF(NOTA[[#This Row],[JUMLAH]]="","",(NOTA[[#This Row],[JUMLAH]]-NOTA[[#This Row],[DISC 1-]]-NOTA[[#This Row],[DISC 2-]])*NOTA[[#This Row],[DISC 3]])</f>
        <v/>
      </c>
      <c r="AB846" s="37" t="str">
        <f>IF(NOTA[[#This Row],[JUMLAH]]="","",NOTA[[#This Row],[DISC 1-]]+NOTA[[#This Row],[DISC 2-]]+NOTA[[#This Row],[DISC 3-]])</f>
        <v/>
      </c>
      <c r="AC846" s="37" t="str">
        <f>IF(NOTA[[#This Row],[JUMLAH]]="","",NOTA[[#This Row],[JUMLAH]]-NOTA[[#This Row],[DISC]])</f>
        <v/>
      </c>
      <c r="AD846" s="37"/>
      <c r="AE8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6" s="37" t="str">
        <f>IF(OR(NOTA[[#This Row],[QTY]]="",NOTA[[#This Row],[HARGA SATUAN]]="",),"",NOTA[[#This Row],[QTY]]*NOTA[[#This Row],[HARGA SATUAN]])</f>
        <v/>
      </c>
      <c r="AI846" s="26" t="str">
        <f ca="1">IF(NOTA[[#This Row],[ID_H]]="","",INDEX(NOTA[TANGGAL],MATCH(,INDIRECT(ADDRESS(ROW(NOTA[TANGGAL]),COLUMN(NOTA[TANGGAL]))&amp;":"&amp;ADDRESS(ROW(),COLUMN(NOTA[TANGGAL]))),-1)))</f>
        <v/>
      </c>
      <c r="AJ846" s="26" t="str">
        <f ca="1">IF(NOTA[[#This Row],[ID_H]]="","",INDEX(NOTA[TGL.NOTA],MATCH(,INDIRECT(ADDRESS(ROW(NOTA[TGL.NOTA]),COLUMN(NOTA[TGL.NOTA]))&amp;":"&amp;ADDRESS(ROW(),COLUMN(NOTA[TGL.NOTA]))),-1)))</f>
        <v/>
      </c>
      <c r="AK846" s="26" t="str">
        <f ca="1">IF(NOTA[[#This Row],[ID_H]]="","",INDEX(NOTA[NO.NOTA],MATCH(NOTA[[#This Row],[ID_H]],NOTA[ID_H],0)))</f>
        <v/>
      </c>
      <c r="AL846" s="28" t="str">
        <f ca="1">IF(NOTA[[#This Row],[NAMA BARANG]]="","",INDEX(NOTA[SUPPLIER],MATCH(,INDIRECT(ADDRESS(ROW(NOTA[ID]),COLUMN(NOTA[ID]))&amp;":"&amp;ADDRESS(ROW(),COLUMN(NOTA[ID]))),-1)))</f>
        <v/>
      </c>
      <c r="AM846" s="28" t="str">
        <f ca="1">IF(NOTA[[#This Row],[ID_H]]="","",IF(NOTA[[#This Row],[FAKTUR]]="",INDIRECT(ADDRESS(ROW()-1,COLUMN())),NOTA[[#This Row],[FAKTUR]]))</f>
        <v/>
      </c>
      <c r="AN846" s="25" t="str">
        <f ca="1">IF(NOTA[[#This Row],[ID]]="","",COUNTIF(NOTA[ID_H],NOTA[[#This Row],[ID_H]]))</f>
        <v/>
      </c>
      <c r="AO846" s="25" t="str">
        <f ca="1">IF(NOTA[[#This Row],[TGL.NOTA]]="",IF(NOTA[[#This Row],[SUPPLIER_H]]="","",AO845),MONTH(NOTA[[#This Row],[TGL.NOTA]]))</f>
        <v/>
      </c>
      <c r="AP8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6" s="25"/>
      <c r="AU846" s="25" t="str">
        <f>IF(NOTA[[#This Row],[CONCAT1]]="","",MATCH(NOTA[[#This Row],[CONCAT1]],[3]!db[NB NOTA_C],0))</f>
        <v/>
      </c>
      <c r="AV846" s="25" t="str">
        <f>IF(NOTA[[#This Row],[QTY/ CTN]]="","",TRUE)</f>
        <v/>
      </c>
      <c r="AW846" s="25" t="str">
        <f ca="1">IF(NOTA[[#This Row],[ID_H]]="","",IF(NOTA[[#This Row],[Column3]]=TRUE,NOTA[[#This Row],[QTY/ CTN]],INDEX([3]!db[QTY/ CTN],NOTA[[#This Row],[//DB]])))</f>
        <v/>
      </c>
      <c r="AX8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6" s="25" t="str">
        <f ca="1">IF(NOTA[[#This Row],[ID_H]]="","",MATCH(NOTA[[#This Row],[NB NOTA_C_QTY]],[3]!db[NB NOTA_C_QTY+F],0))</f>
        <v/>
      </c>
      <c r="AZ846" s="38" t="str">
        <f ca="1">IF(NOTA[[#This Row],[NB NOTA_C_QTY]]="","",ROW()-2)</f>
        <v/>
      </c>
    </row>
    <row r="847" spans="1:52" ht="20.100000000000001" customHeight="1">
      <c r="A8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7" s="25" t="str">
        <f ca="1">IF(NOTA[[#This Row],[NAMA BARANG]]="","",INDEX(NOTA[ID],MATCH(,INDIRECT(ADDRESS(ROW(NOTA[ID]),COLUMN(NOTA[ID]))&amp;":"&amp;ADDRESS(ROW(),COLUMN(NOTA[ID]))),-1)))</f>
        <v/>
      </c>
      <c r="E847" s="33"/>
      <c r="H847" s="34"/>
      <c r="Q847" s="29"/>
      <c r="R847" s="35"/>
      <c r="S847" s="36"/>
      <c r="V847" s="37"/>
      <c r="W847" s="32"/>
      <c r="X847" s="37" t="str">
        <f>IF(NOTA[[#This Row],[HARGA/ CTN]]="",NOTA[[#This Row],[JUMLAH_H]],NOTA[[#This Row],[HARGA/ CTN]]*IF(NOTA[[#This Row],[C]]="",0,NOTA[[#This Row],[C]]))</f>
        <v/>
      </c>
      <c r="Y847" s="37" t="str">
        <f>IF(NOTA[[#This Row],[JUMLAH]]="","",NOTA[[#This Row],[JUMLAH]]*NOTA[[#This Row],[DISC 1]])</f>
        <v/>
      </c>
      <c r="Z847" s="37" t="str">
        <f>IF(NOTA[[#This Row],[JUMLAH]]="","",(NOTA[[#This Row],[JUMLAH]]-NOTA[[#This Row],[DISC 1-]])*NOTA[[#This Row],[DISC 2]])</f>
        <v/>
      </c>
      <c r="AA847" s="37" t="str">
        <f>IF(NOTA[[#This Row],[JUMLAH]]="","",(NOTA[[#This Row],[JUMLAH]]-NOTA[[#This Row],[DISC 1-]]-NOTA[[#This Row],[DISC 2-]])*NOTA[[#This Row],[DISC 3]])</f>
        <v/>
      </c>
      <c r="AB847" s="37" t="str">
        <f>IF(NOTA[[#This Row],[JUMLAH]]="","",NOTA[[#This Row],[DISC 1-]]+NOTA[[#This Row],[DISC 2-]]+NOTA[[#This Row],[DISC 3-]])</f>
        <v/>
      </c>
      <c r="AC847" s="37" t="str">
        <f>IF(NOTA[[#This Row],[JUMLAH]]="","",NOTA[[#This Row],[JUMLAH]]-NOTA[[#This Row],[DISC]])</f>
        <v/>
      </c>
      <c r="AD847" s="37"/>
      <c r="AE8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7" s="37" t="str">
        <f>IF(OR(NOTA[[#This Row],[QTY]]="",NOTA[[#This Row],[HARGA SATUAN]]="",),"",NOTA[[#This Row],[QTY]]*NOTA[[#This Row],[HARGA SATUAN]])</f>
        <v/>
      </c>
      <c r="AI847" s="26" t="str">
        <f ca="1">IF(NOTA[[#This Row],[ID_H]]="","",INDEX(NOTA[TANGGAL],MATCH(,INDIRECT(ADDRESS(ROW(NOTA[TANGGAL]),COLUMN(NOTA[TANGGAL]))&amp;":"&amp;ADDRESS(ROW(),COLUMN(NOTA[TANGGAL]))),-1)))</f>
        <v/>
      </c>
      <c r="AJ847" s="26" t="str">
        <f ca="1">IF(NOTA[[#This Row],[ID_H]]="","",INDEX(NOTA[TGL.NOTA],MATCH(,INDIRECT(ADDRESS(ROW(NOTA[TGL.NOTA]),COLUMN(NOTA[TGL.NOTA]))&amp;":"&amp;ADDRESS(ROW(),COLUMN(NOTA[TGL.NOTA]))),-1)))</f>
        <v/>
      </c>
      <c r="AK847" s="26" t="str">
        <f ca="1">IF(NOTA[[#This Row],[ID_H]]="","",INDEX(NOTA[NO.NOTA],MATCH(NOTA[[#This Row],[ID_H]],NOTA[ID_H],0)))</f>
        <v/>
      </c>
      <c r="AL847" s="28" t="str">
        <f ca="1">IF(NOTA[[#This Row],[NAMA BARANG]]="","",INDEX(NOTA[SUPPLIER],MATCH(,INDIRECT(ADDRESS(ROW(NOTA[ID]),COLUMN(NOTA[ID]))&amp;":"&amp;ADDRESS(ROW(),COLUMN(NOTA[ID]))),-1)))</f>
        <v/>
      </c>
      <c r="AM847" s="28" t="str">
        <f ca="1">IF(NOTA[[#This Row],[ID_H]]="","",IF(NOTA[[#This Row],[FAKTUR]]="",INDIRECT(ADDRESS(ROW()-1,COLUMN())),NOTA[[#This Row],[FAKTUR]]))</f>
        <v/>
      </c>
      <c r="AN847" s="25" t="str">
        <f ca="1">IF(NOTA[[#This Row],[ID]]="","",COUNTIF(NOTA[ID_H],NOTA[[#This Row],[ID_H]]))</f>
        <v/>
      </c>
      <c r="AO847" s="25" t="str">
        <f ca="1">IF(NOTA[[#This Row],[TGL.NOTA]]="",IF(NOTA[[#This Row],[SUPPLIER_H]]="","",AO846),MONTH(NOTA[[#This Row],[TGL.NOTA]]))</f>
        <v/>
      </c>
      <c r="AP8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7" s="25"/>
      <c r="AU847" s="25" t="str">
        <f>IF(NOTA[[#This Row],[CONCAT1]]="","",MATCH(NOTA[[#This Row],[CONCAT1]],[3]!db[NB NOTA_C],0))</f>
        <v/>
      </c>
      <c r="AV847" s="25" t="str">
        <f>IF(NOTA[[#This Row],[QTY/ CTN]]="","",TRUE)</f>
        <v/>
      </c>
      <c r="AW847" s="25" t="str">
        <f ca="1">IF(NOTA[[#This Row],[ID_H]]="","",IF(NOTA[[#This Row],[Column3]]=TRUE,NOTA[[#This Row],[QTY/ CTN]],INDEX([3]!db[QTY/ CTN],NOTA[[#This Row],[//DB]])))</f>
        <v/>
      </c>
      <c r="AX8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7" s="25" t="str">
        <f ca="1">IF(NOTA[[#This Row],[ID_H]]="","",MATCH(NOTA[[#This Row],[NB NOTA_C_QTY]],[3]!db[NB NOTA_C_QTY+F],0))</f>
        <v/>
      </c>
      <c r="AZ847" s="38" t="str">
        <f ca="1">IF(NOTA[[#This Row],[NB NOTA_C_QTY]]="","",ROW()-2)</f>
        <v/>
      </c>
    </row>
    <row r="848" spans="1:52" ht="20.100000000000001" customHeight="1">
      <c r="A8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8" s="25" t="str">
        <f ca="1">IF(NOTA[[#This Row],[NAMA BARANG]]="","",INDEX(NOTA[ID],MATCH(,INDIRECT(ADDRESS(ROW(NOTA[ID]),COLUMN(NOTA[ID]))&amp;":"&amp;ADDRESS(ROW(),COLUMN(NOTA[ID]))),-1)))</f>
        <v/>
      </c>
      <c r="E848" s="33"/>
      <c r="H848" s="34"/>
      <c r="Q848" s="29"/>
      <c r="R848" s="35"/>
      <c r="S848" s="36"/>
      <c r="V848" s="37"/>
      <c r="W848" s="32"/>
      <c r="X848" s="37" t="str">
        <f>IF(NOTA[[#This Row],[HARGA/ CTN]]="",NOTA[[#This Row],[JUMLAH_H]],NOTA[[#This Row],[HARGA/ CTN]]*IF(NOTA[[#This Row],[C]]="",0,NOTA[[#This Row],[C]]))</f>
        <v/>
      </c>
      <c r="Y848" s="37" t="str">
        <f>IF(NOTA[[#This Row],[JUMLAH]]="","",NOTA[[#This Row],[JUMLAH]]*NOTA[[#This Row],[DISC 1]])</f>
        <v/>
      </c>
      <c r="Z848" s="37" t="str">
        <f>IF(NOTA[[#This Row],[JUMLAH]]="","",(NOTA[[#This Row],[JUMLAH]]-NOTA[[#This Row],[DISC 1-]])*NOTA[[#This Row],[DISC 2]])</f>
        <v/>
      </c>
      <c r="AA848" s="37" t="str">
        <f>IF(NOTA[[#This Row],[JUMLAH]]="","",(NOTA[[#This Row],[JUMLAH]]-NOTA[[#This Row],[DISC 1-]]-NOTA[[#This Row],[DISC 2-]])*NOTA[[#This Row],[DISC 3]])</f>
        <v/>
      </c>
      <c r="AB848" s="37" t="str">
        <f>IF(NOTA[[#This Row],[JUMLAH]]="","",NOTA[[#This Row],[DISC 1-]]+NOTA[[#This Row],[DISC 2-]]+NOTA[[#This Row],[DISC 3-]])</f>
        <v/>
      </c>
      <c r="AC848" s="37" t="str">
        <f>IF(NOTA[[#This Row],[JUMLAH]]="","",NOTA[[#This Row],[JUMLAH]]-NOTA[[#This Row],[DISC]])</f>
        <v/>
      </c>
      <c r="AD848" s="37"/>
      <c r="AE8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8" s="37" t="str">
        <f>IF(OR(NOTA[[#This Row],[QTY]]="",NOTA[[#This Row],[HARGA SATUAN]]="",),"",NOTA[[#This Row],[QTY]]*NOTA[[#This Row],[HARGA SATUAN]])</f>
        <v/>
      </c>
      <c r="AI848" s="26" t="str">
        <f ca="1">IF(NOTA[[#This Row],[ID_H]]="","",INDEX(NOTA[TANGGAL],MATCH(,INDIRECT(ADDRESS(ROW(NOTA[TANGGAL]),COLUMN(NOTA[TANGGAL]))&amp;":"&amp;ADDRESS(ROW(),COLUMN(NOTA[TANGGAL]))),-1)))</f>
        <v/>
      </c>
      <c r="AJ848" s="26" t="str">
        <f ca="1">IF(NOTA[[#This Row],[ID_H]]="","",INDEX(NOTA[TGL.NOTA],MATCH(,INDIRECT(ADDRESS(ROW(NOTA[TGL.NOTA]),COLUMN(NOTA[TGL.NOTA]))&amp;":"&amp;ADDRESS(ROW(),COLUMN(NOTA[TGL.NOTA]))),-1)))</f>
        <v/>
      </c>
      <c r="AK848" s="26" t="str">
        <f ca="1">IF(NOTA[[#This Row],[ID_H]]="","",INDEX(NOTA[NO.NOTA],MATCH(NOTA[[#This Row],[ID_H]],NOTA[ID_H],0)))</f>
        <v/>
      </c>
      <c r="AL848" s="28" t="str">
        <f ca="1">IF(NOTA[[#This Row],[NAMA BARANG]]="","",INDEX(NOTA[SUPPLIER],MATCH(,INDIRECT(ADDRESS(ROW(NOTA[ID]),COLUMN(NOTA[ID]))&amp;":"&amp;ADDRESS(ROW(),COLUMN(NOTA[ID]))),-1)))</f>
        <v/>
      </c>
      <c r="AM848" s="28" t="str">
        <f ca="1">IF(NOTA[[#This Row],[ID_H]]="","",IF(NOTA[[#This Row],[FAKTUR]]="",INDIRECT(ADDRESS(ROW()-1,COLUMN())),NOTA[[#This Row],[FAKTUR]]))</f>
        <v/>
      </c>
      <c r="AN848" s="25" t="str">
        <f ca="1">IF(NOTA[[#This Row],[ID]]="","",COUNTIF(NOTA[ID_H],NOTA[[#This Row],[ID_H]]))</f>
        <v/>
      </c>
      <c r="AO848" s="25" t="str">
        <f ca="1">IF(NOTA[[#This Row],[TGL.NOTA]]="",IF(NOTA[[#This Row],[SUPPLIER_H]]="","",AO847),MONTH(NOTA[[#This Row],[TGL.NOTA]]))</f>
        <v/>
      </c>
      <c r="AP8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8" s="25"/>
      <c r="AU848" s="25" t="str">
        <f>IF(NOTA[[#This Row],[CONCAT1]]="","",MATCH(NOTA[[#This Row],[CONCAT1]],[3]!db[NB NOTA_C],0))</f>
        <v/>
      </c>
      <c r="AV848" s="25" t="str">
        <f>IF(NOTA[[#This Row],[QTY/ CTN]]="","",TRUE)</f>
        <v/>
      </c>
      <c r="AW848" s="25" t="str">
        <f ca="1">IF(NOTA[[#This Row],[ID_H]]="","",IF(NOTA[[#This Row],[Column3]]=TRUE,NOTA[[#This Row],[QTY/ CTN]],INDEX([3]!db[QTY/ CTN],NOTA[[#This Row],[//DB]])))</f>
        <v/>
      </c>
      <c r="AX8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8" s="25" t="str">
        <f ca="1">IF(NOTA[[#This Row],[ID_H]]="","",MATCH(NOTA[[#This Row],[NB NOTA_C_QTY]],[3]!db[NB NOTA_C_QTY+F],0))</f>
        <v/>
      </c>
      <c r="AZ848" s="38" t="str">
        <f ca="1">IF(NOTA[[#This Row],[NB NOTA_C_QTY]]="","",ROW()-2)</f>
        <v/>
      </c>
    </row>
    <row r="849" spans="1:52" ht="20.100000000000001" customHeight="1">
      <c r="A8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9" s="25" t="str">
        <f ca="1">IF(NOTA[[#This Row],[NAMA BARANG]]="","",INDEX(NOTA[ID],MATCH(,INDIRECT(ADDRESS(ROW(NOTA[ID]),COLUMN(NOTA[ID]))&amp;":"&amp;ADDRESS(ROW(),COLUMN(NOTA[ID]))),-1)))</f>
        <v/>
      </c>
      <c r="E849" s="33"/>
      <c r="H849" s="34"/>
      <c r="Q849" s="29"/>
      <c r="R849" s="35"/>
      <c r="S849" s="36"/>
      <c r="V849" s="37"/>
      <c r="W849" s="32"/>
      <c r="X849" s="37" t="str">
        <f>IF(NOTA[[#This Row],[HARGA/ CTN]]="",NOTA[[#This Row],[JUMLAH_H]],NOTA[[#This Row],[HARGA/ CTN]]*IF(NOTA[[#This Row],[C]]="",0,NOTA[[#This Row],[C]]))</f>
        <v/>
      </c>
      <c r="Y849" s="37" t="str">
        <f>IF(NOTA[[#This Row],[JUMLAH]]="","",NOTA[[#This Row],[JUMLAH]]*NOTA[[#This Row],[DISC 1]])</f>
        <v/>
      </c>
      <c r="Z849" s="37" t="str">
        <f>IF(NOTA[[#This Row],[JUMLAH]]="","",(NOTA[[#This Row],[JUMLAH]]-NOTA[[#This Row],[DISC 1-]])*NOTA[[#This Row],[DISC 2]])</f>
        <v/>
      </c>
      <c r="AA849" s="37" t="str">
        <f>IF(NOTA[[#This Row],[JUMLAH]]="","",(NOTA[[#This Row],[JUMLAH]]-NOTA[[#This Row],[DISC 1-]]-NOTA[[#This Row],[DISC 2-]])*NOTA[[#This Row],[DISC 3]])</f>
        <v/>
      </c>
      <c r="AB849" s="37" t="str">
        <f>IF(NOTA[[#This Row],[JUMLAH]]="","",NOTA[[#This Row],[DISC 1-]]+NOTA[[#This Row],[DISC 2-]]+NOTA[[#This Row],[DISC 3-]])</f>
        <v/>
      </c>
      <c r="AC849" s="37" t="str">
        <f>IF(NOTA[[#This Row],[JUMLAH]]="","",NOTA[[#This Row],[JUMLAH]]-NOTA[[#This Row],[DISC]])</f>
        <v/>
      </c>
      <c r="AD849" s="37"/>
      <c r="AE8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9" s="37" t="str">
        <f>IF(OR(NOTA[[#This Row],[QTY]]="",NOTA[[#This Row],[HARGA SATUAN]]="",),"",NOTA[[#This Row],[QTY]]*NOTA[[#This Row],[HARGA SATUAN]])</f>
        <v/>
      </c>
      <c r="AI849" s="26" t="str">
        <f ca="1">IF(NOTA[[#This Row],[ID_H]]="","",INDEX(NOTA[TANGGAL],MATCH(,INDIRECT(ADDRESS(ROW(NOTA[TANGGAL]),COLUMN(NOTA[TANGGAL]))&amp;":"&amp;ADDRESS(ROW(),COLUMN(NOTA[TANGGAL]))),-1)))</f>
        <v/>
      </c>
      <c r="AJ849" s="26" t="str">
        <f ca="1">IF(NOTA[[#This Row],[ID_H]]="","",INDEX(NOTA[TGL.NOTA],MATCH(,INDIRECT(ADDRESS(ROW(NOTA[TGL.NOTA]),COLUMN(NOTA[TGL.NOTA]))&amp;":"&amp;ADDRESS(ROW(),COLUMN(NOTA[TGL.NOTA]))),-1)))</f>
        <v/>
      </c>
      <c r="AK849" s="26" t="str">
        <f ca="1">IF(NOTA[[#This Row],[ID_H]]="","",INDEX(NOTA[NO.NOTA],MATCH(NOTA[[#This Row],[ID_H]],NOTA[ID_H],0)))</f>
        <v/>
      </c>
      <c r="AL849" s="28" t="str">
        <f ca="1">IF(NOTA[[#This Row],[NAMA BARANG]]="","",INDEX(NOTA[SUPPLIER],MATCH(,INDIRECT(ADDRESS(ROW(NOTA[ID]),COLUMN(NOTA[ID]))&amp;":"&amp;ADDRESS(ROW(),COLUMN(NOTA[ID]))),-1)))</f>
        <v/>
      </c>
      <c r="AM849" s="28" t="str">
        <f ca="1">IF(NOTA[[#This Row],[ID_H]]="","",IF(NOTA[[#This Row],[FAKTUR]]="",INDIRECT(ADDRESS(ROW()-1,COLUMN())),NOTA[[#This Row],[FAKTUR]]))</f>
        <v/>
      </c>
      <c r="AN849" s="25" t="str">
        <f ca="1">IF(NOTA[[#This Row],[ID]]="","",COUNTIF(NOTA[ID_H],NOTA[[#This Row],[ID_H]]))</f>
        <v/>
      </c>
      <c r="AO849" s="25" t="str">
        <f ca="1">IF(NOTA[[#This Row],[TGL.NOTA]]="",IF(NOTA[[#This Row],[SUPPLIER_H]]="","",AO848),MONTH(NOTA[[#This Row],[TGL.NOTA]]))</f>
        <v/>
      </c>
      <c r="AP8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9" s="25"/>
      <c r="AU849" s="25" t="str">
        <f>IF(NOTA[[#This Row],[CONCAT1]]="","",MATCH(NOTA[[#This Row],[CONCAT1]],[3]!db[NB NOTA_C],0))</f>
        <v/>
      </c>
      <c r="AV849" s="25" t="str">
        <f>IF(NOTA[[#This Row],[QTY/ CTN]]="","",TRUE)</f>
        <v/>
      </c>
      <c r="AW849" s="25" t="str">
        <f ca="1">IF(NOTA[[#This Row],[ID_H]]="","",IF(NOTA[[#This Row],[Column3]]=TRUE,NOTA[[#This Row],[QTY/ CTN]],INDEX([3]!db[QTY/ CTN],NOTA[[#This Row],[//DB]])))</f>
        <v/>
      </c>
      <c r="AX8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9" s="25" t="str">
        <f ca="1">IF(NOTA[[#This Row],[ID_H]]="","",MATCH(NOTA[[#This Row],[NB NOTA_C_QTY]],[3]!db[NB NOTA_C_QTY+F],0))</f>
        <v/>
      </c>
      <c r="AZ849" s="38" t="str">
        <f ca="1">IF(NOTA[[#This Row],[NB NOTA_C_QTY]]="","",ROW()-2)</f>
        <v/>
      </c>
    </row>
    <row r="850" spans="1:52" ht="20.100000000000001" customHeight="1">
      <c r="A8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0" s="25" t="str">
        <f ca="1">IF(NOTA[[#This Row],[NAMA BARANG]]="","",INDEX(NOTA[ID],MATCH(,INDIRECT(ADDRESS(ROW(NOTA[ID]),COLUMN(NOTA[ID]))&amp;":"&amp;ADDRESS(ROW(),COLUMN(NOTA[ID]))),-1)))</f>
        <v/>
      </c>
      <c r="E850" s="33"/>
      <c r="H850" s="34"/>
      <c r="Q850" s="29"/>
      <c r="R850" s="35"/>
      <c r="S850" s="36"/>
      <c r="V850" s="37"/>
      <c r="W850" s="32"/>
      <c r="X850" s="37" t="str">
        <f>IF(NOTA[[#This Row],[HARGA/ CTN]]="",NOTA[[#This Row],[JUMLAH_H]],NOTA[[#This Row],[HARGA/ CTN]]*IF(NOTA[[#This Row],[C]]="",0,NOTA[[#This Row],[C]]))</f>
        <v/>
      </c>
      <c r="Y850" s="37" t="str">
        <f>IF(NOTA[[#This Row],[JUMLAH]]="","",NOTA[[#This Row],[JUMLAH]]*NOTA[[#This Row],[DISC 1]])</f>
        <v/>
      </c>
      <c r="Z850" s="37" t="str">
        <f>IF(NOTA[[#This Row],[JUMLAH]]="","",(NOTA[[#This Row],[JUMLAH]]-NOTA[[#This Row],[DISC 1-]])*NOTA[[#This Row],[DISC 2]])</f>
        <v/>
      </c>
      <c r="AA850" s="37" t="str">
        <f>IF(NOTA[[#This Row],[JUMLAH]]="","",(NOTA[[#This Row],[JUMLAH]]-NOTA[[#This Row],[DISC 1-]]-NOTA[[#This Row],[DISC 2-]])*NOTA[[#This Row],[DISC 3]])</f>
        <v/>
      </c>
      <c r="AB850" s="37" t="str">
        <f>IF(NOTA[[#This Row],[JUMLAH]]="","",NOTA[[#This Row],[DISC 1-]]+NOTA[[#This Row],[DISC 2-]]+NOTA[[#This Row],[DISC 3-]])</f>
        <v/>
      </c>
      <c r="AC850" s="37" t="str">
        <f>IF(NOTA[[#This Row],[JUMLAH]]="","",NOTA[[#This Row],[JUMLAH]]-NOTA[[#This Row],[DISC]])</f>
        <v/>
      </c>
      <c r="AD850" s="37"/>
      <c r="AE8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0" s="37" t="str">
        <f>IF(OR(NOTA[[#This Row],[QTY]]="",NOTA[[#This Row],[HARGA SATUAN]]="",),"",NOTA[[#This Row],[QTY]]*NOTA[[#This Row],[HARGA SATUAN]])</f>
        <v/>
      </c>
      <c r="AI850" s="26" t="str">
        <f ca="1">IF(NOTA[[#This Row],[ID_H]]="","",INDEX(NOTA[TANGGAL],MATCH(,INDIRECT(ADDRESS(ROW(NOTA[TANGGAL]),COLUMN(NOTA[TANGGAL]))&amp;":"&amp;ADDRESS(ROW(),COLUMN(NOTA[TANGGAL]))),-1)))</f>
        <v/>
      </c>
      <c r="AJ850" s="26" t="str">
        <f ca="1">IF(NOTA[[#This Row],[ID_H]]="","",INDEX(NOTA[TGL.NOTA],MATCH(,INDIRECT(ADDRESS(ROW(NOTA[TGL.NOTA]),COLUMN(NOTA[TGL.NOTA]))&amp;":"&amp;ADDRESS(ROW(),COLUMN(NOTA[TGL.NOTA]))),-1)))</f>
        <v/>
      </c>
      <c r="AK850" s="26" t="str">
        <f ca="1">IF(NOTA[[#This Row],[ID_H]]="","",INDEX(NOTA[NO.NOTA],MATCH(NOTA[[#This Row],[ID_H]],NOTA[ID_H],0)))</f>
        <v/>
      </c>
      <c r="AL850" s="28" t="str">
        <f ca="1">IF(NOTA[[#This Row],[NAMA BARANG]]="","",INDEX(NOTA[SUPPLIER],MATCH(,INDIRECT(ADDRESS(ROW(NOTA[ID]),COLUMN(NOTA[ID]))&amp;":"&amp;ADDRESS(ROW(),COLUMN(NOTA[ID]))),-1)))</f>
        <v/>
      </c>
      <c r="AM850" s="28" t="str">
        <f ca="1">IF(NOTA[[#This Row],[ID_H]]="","",IF(NOTA[[#This Row],[FAKTUR]]="",INDIRECT(ADDRESS(ROW()-1,COLUMN())),NOTA[[#This Row],[FAKTUR]]))</f>
        <v/>
      </c>
      <c r="AN850" s="25" t="str">
        <f ca="1">IF(NOTA[[#This Row],[ID]]="","",COUNTIF(NOTA[ID_H],NOTA[[#This Row],[ID_H]]))</f>
        <v/>
      </c>
      <c r="AO850" s="25" t="str">
        <f ca="1">IF(NOTA[[#This Row],[TGL.NOTA]]="",IF(NOTA[[#This Row],[SUPPLIER_H]]="","",AO849),MONTH(NOTA[[#This Row],[TGL.NOTA]]))</f>
        <v/>
      </c>
      <c r="AP8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0" s="25"/>
      <c r="AU850" s="25" t="str">
        <f>IF(NOTA[[#This Row],[CONCAT1]]="","",MATCH(NOTA[[#This Row],[CONCAT1]],[3]!db[NB NOTA_C],0))</f>
        <v/>
      </c>
      <c r="AV850" s="25" t="str">
        <f>IF(NOTA[[#This Row],[QTY/ CTN]]="","",TRUE)</f>
        <v/>
      </c>
      <c r="AW850" s="25" t="str">
        <f ca="1">IF(NOTA[[#This Row],[ID_H]]="","",IF(NOTA[[#This Row],[Column3]]=TRUE,NOTA[[#This Row],[QTY/ CTN]],INDEX([3]!db[QTY/ CTN],NOTA[[#This Row],[//DB]])))</f>
        <v/>
      </c>
      <c r="AX8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0" s="25" t="str">
        <f ca="1">IF(NOTA[[#This Row],[ID_H]]="","",MATCH(NOTA[[#This Row],[NB NOTA_C_QTY]],[3]!db[NB NOTA_C_QTY+F],0))</f>
        <v/>
      </c>
      <c r="AZ850" s="38" t="str">
        <f ca="1">IF(NOTA[[#This Row],[NB NOTA_C_QTY]]="","",ROW()-2)</f>
        <v/>
      </c>
    </row>
    <row r="851" spans="1:52" ht="20.100000000000001" customHeight="1">
      <c r="A8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1" s="25" t="str">
        <f ca="1">IF(NOTA[[#This Row],[NAMA BARANG]]="","",INDEX(NOTA[ID],MATCH(,INDIRECT(ADDRESS(ROW(NOTA[ID]),COLUMN(NOTA[ID]))&amp;":"&amp;ADDRESS(ROW(),COLUMN(NOTA[ID]))),-1)))</f>
        <v/>
      </c>
      <c r="E851" s="33"/>
      <c r="H851" s="34"/>
      <c r="Q851" s="29"/>
      <c r="R851" s="35"/>
      <c r="S851" s="36"/>
      <c r="V851" s="37"/>
      <c r="W851" s="32"/>
      <c r="X851" s="37" t="str">
        <f>IF(NOTA[[#This Row],[HARGA/ CTN]]="",NOTA[[#This Row],[JUMLAH_H]],NOTA[[#This Row],[HARGA/ CTN]]*IF(NOTA[[#This Row],[C]]="",0,NOTA[[#This Row],[C]]))</f>
        <v/>
      </c>
      <c r="Y851" s="37" t="str">
        <f>IF(NOTA[[#This Row],[JUMLAH]]="","",NOTA[[#This Row],[JUMLAH]]*NOTA[[#This Row],[DISC 1]])</f>
        <v/>
      </c>
      <c r="Z851" s="37" t="str">
        <f>IF(NOTA[[#This Row],[JUMLAH]]="","",(NOTA[[#This Row],[JUMLAH]]-NOTA[[#This Row],[DISC 1-]])*NOTA[[#This Row],[DISC 2]])</f>
        <v/>
      </c>
      <c r="AA851" s="37" t="str">
        <f>IF(NOTA[[#This Row],[JUMLAH]]="","",(NOTA[[#This Row],[JUMLAH]]-NOTA[[#This Row],[DISC 1-]]-NOTA[[#This Row],[DISC 2-]])*NOTA[[#This Row],[DISC 3]])</f>
        <v/>
      </c>
      <c r="AB851" s="37" t="str">
        <f>IF(NOTA[[#This Row],[JUMLAH]]="","",NOTA[[#This Row],[DISC 1-]]+NOTA[[#This Row],[DISC 2-]]+NOTA[[#This Row],[DISC 3-]])</f>
        <v/>
      </c>
      <c r="AC851" s="37" t="str">
        <f>IF(NOTA[[#This Row],[JUMLAH]]="","",NOTA[[#This Row],[JUMLAH]]-NOTA[[#This Row],[DISC]])</f>
        <v/>
      </c>
      <c r="AD851" s="37"/>
      <c r="AE8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1" s="37" t="str">
        <f>IF(OR(NOTA[[#This Row],[QTY]]="",NOTA[[#This Row],[HARGA SATUAN]]="",),"",NOTA[[#This Row],[QTY]]*NOTA[[#This Row],[HARGA SATUAN]])</f>
        <v/>
      </c>
      <c r="AI851" s="26" t="str">
        <f ca="1">IF(NOTA[[#This Row],[ID_H]]="","",INDEX(NOTA[TANGGAL],MATCH(,INDIRECT(ADDRESS(ROW(NOTA[TANGGAL]),COLUMN(NOTA[TANGGAL]))&amp;":"&amp;ADDRESS(ROW(),COLUMN(NOTA[TANGGAL]))),-1)))</f>
        <v/>
      </c>
      <c r="AJ851" s="26" t="str">
        <f ca="1">IF(NOTA[[#This Row],[ID_H]]="","",INDEX(NOTA[TGL.NOTA],MATCH(,INDIRECT(ADDRESS(ROW(NOTA[TGL.NOTA]),COLUMN(NOTA[TGL.NOTA]))&amp;":"&amp;ADDRESS(ROW(),COLUMN(NOTA[TGL.NOTA]))),-1)))</f>
        <v/>
      </c>
      <c r="AK851" s="26" t="str">
        <f ca="1">IF(NOTA[[#This Row],[ID_H]]="","",INDEX(NOTA[NO.NOTA],MATCH(NOTA[[#This Row],[ID_H]],NOTA[ID_H],0)))</f>
        <v/>
      </c>
      <c r="AL851" s="28" t="str">
        <f ca="1">IF(NOTA[[#This Row],[NAMA BARANG]]="","",INDEX(NOTA[SUPPLIER],MATCH(,INDIRECT(ADDRESS(ROW(NOTA[ID]),COLUMN(NOTA[ID]))&amp;":"&amp;ADDRESS(ROW(),COLUMN(NOTA[ID]))),-1)))</f>
        <v/>
      </c>
      <c r="AM851" s="28" t="str">
        <f ca="1">IF(NOTA[[#This Row],[ID_H]]="","",IF(NOTA[[#This Row],[FAKTUR]]="",INDIRECT(ADDRESS(ROW()-1,COLUMN())),NOTA[[#This Row],[FAKTUR]]))</f>
        <v/>
      </c>
      <c r="AN851" s="25" t="str">
        <f ca="1">IF(NOTA[[#This Row],[ID]]="","",COUNTIF(NOTA[ID_H],NOTA[[#This Row],[ID_H]]))</f>
        <v/>
      </c>
      <c r="AO851" s="25" t="str">
        <f ca="1">IF(NOTA[[#This Row],[TGL.NOTA]]="",IF(NOTA[[#This Row],[SUPPLIER_H]]="","",AO850),MONTH(NOTA[[#This Row],[TGL.NOTA]]))</f>
        <v/>
      </c>
      <c r="AP8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1" s="25"/>
      <c r="AU851" s="25" t="str">
        <f>IF(NOTA[[#This Row],[CONCAT1]]="","",MATCH(NOTA[[#This Row],[CONCAT1]],[3]!db[NB NOTA_C],0))</f>
        <v/>
      </c>
      <c r="AV851" s="25" t="str">
        <f>IF(NOTA[[#This Row],[QTY/ CTN]]="","",TRUE)</f>
        <v/>
      </c>
      <c r="AW851" s="25" t="str">
        <f ca="1">IF(NOTA[[#This Row],[ID_H]]="","",IF(NOTA[[#This Row],[Column3]]=TRUE,NOTA[[#This Row],[QTY/ CTN]],INDEX([3]!db[QTY/ CTN],NOTA[[#This Row],[//DB]])))</f>
        <v/>
      </c>
      <c r="AX8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1" s="25" t="str">
        <f ca="1">IF(NOTA[[#This Row],[ID_H]]="","",MATCH(NOTA[[#This Row],[NB NOTA_C_QTY]],[3]!db[NB NOTA_C_QTY+F],0))</f>
        <v/>
      </c>
      <c r="AZ851" s="38" t="str">
        <f ca="1">IF(NOTA[[#This Row],[NB NOTA_C_QTY]]="","",ROW()-2)</f>
        <v/>
      </c>
    </row>
    <row r="852" spans="1:52" ht="20.100000000000001" customHeight="1">
      <c r="A8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2" s="25" t="str">
        <f ca="1">IF(NOTA[[#This Row],[NAMA BARANG]]="","",INDEX(NOTA[ID],MATCH(,INDIRECT(ADDRESS(ROW(NOTA[ID]),COLUMN(NOTA[ID]))&amp;":"&amp;ADDRESS(ROW(),COLUMN(NOTA[ID]))),-1)))</f>
        <v/>
      </c>
      <c r="E852" s="33"/>
      <c r="H852" s="34"/>
      <c r="Q852" s="29"/>
      <c r="R852" s="35"/>
      <c r="S852" s="36"/>
      <c r="V852" s="37"/>
      <c r="W852" s="32"/>
      <c r="X852" s="37" t="str">
        <f>IF(NOTA[[#This Row],[HARGA/ CTN]]="",NOTA[[#This Row],[JUMLAH_H]],NOTA[[#This Row],[HARGA/ CTN]]*IF(NOTA[[#This Row],[C]]="",0,NOTA[[#This Row],[C]]))</f>
        <v/>
      </c>
      <c r="Y852" s="37" t="str">
        <f>IF(NOTA[[#This Row],[JUMLAH]]="","",NOTA[[#This Row],[JUMLAH]]*NOTA[[#This Row],[DISC 1]])</f>
        <v/>
      </c>
      <c r="Z852" s="37" t="str">
        <f>IF(NOTA[[#This Row],[JUMLAH]]="","",(NOTA[[#This Row],[JUMLAH]]-NOTA[[#This Row],[DISC 1-]])*NOTA[[#This Row],[DISC 2]])</f>
        <v/>
      </c>
      <c r="AA852" s="37" t="str">
        <f>IF(NOTA[[#This Row],[JUMLAH]]="","",(NOTA[[#This Row],[JUMLAH]]-NOTA[[#This Row],[DISC 1-]]-NOTA[[#This Row],[DISC 2-]])*NOTA[[#This Row],[DISC 3]])</f>
        <v/>
      </c>
      <c r="AB852" s="37" t="str">
        <f>IF(NOTA[[#This Row],[JUMLAH]]="","",NOTA[[#This Row],[DISC 1-]]+NOTA[[#This Row],[DISC 2-]]+NOTA[[#This Row],[DISC 3-]])</f>
        <v/>
      </c>
      <c r="AC852" s="37" t="str">
        <f>IF(NOTA[[#This Row],[JUMLAH]]="","",NOTA[[#This Row],[JUMLAH]]-NOTA[[#This Row],[DISC]])</f>
        <v/>
      </c>
      <c r="AD852" s="37"/>
      <c r="AE8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2" s="37" t="str">
        <f>IF(OR(NOTA[[#This Row],[QTY]]="",NOTA[[#This Row],[HARGA SATUAN]]="",),"",NOTA[[#This Row],[QTY]]*NOTA[[#This Row],[HARGA SATUAN]])</f>
        <v/>
      </c>
      <c r="AI852" s="26" t="str">
        <f ca="1">IF(NOTA[[#This Row],[ID_H]]="","",INDEX(NOTA[TANGGAL],MATCH(,INDIRECT(ADDRESS(ROW(NOTA[TANGGAL]),COLUMN(NOTA[TANGGAL]))&amp;":"&amp;ADDRESS(ROW(),COLUMN(NOTA[TANGGAL]))),-1)))</f>
        <v/>
      </c>
      <c r="AJ852" s="26" t="str">
        <f ca="1">IF(NOTA[[#This Row],[ID_H]]="","",INDEX(NOTA[TGL.NOTA],MATCH(,INDIRECT(ADDRESS(ROW(NOTA[TGL.NOTA]),COLUMN(NOTA[TGL.NOTA]))&amp;":"&amp;ADDRESS(ROW(),COLUMN(NOTA[TGL.NOTA]))),-1)))</f>
        <v/>
      </c>
      <c r="AK852" s="26" t="str">
        <f ca="1">IF(NOTA[[#This Row],[ID_H]]="","",INDEX(NOTA[NO.NOTA],MATCH(NOTA[[#This Row],[ID_H]],NOTA[ID_H],0)))</f>
        <v/>
      </c>
      <c r="AL852" s="28" t="str">
        <f ca="1">IF(NOTA[[#This Row],[NAMA BARANG]]="","",INDEX(NOTA[SUPPLIER],MATCH(,INDIRECT(ADDRESS(ROW(NOTA[ID]),COLUMN(NOTA[ID]))&amp;":"&amp;ADDRESS(ROW(),COLUMN(NOTA[ID]))),-1)))</f>
        <v/>
      </c>
      <c r="AM852" s="28" t="str">
        <f ca="1">IF(NOTA[[#This Row],[ID_H]]="","",IF(NOTA[[#This Row],[FAKTUR]]="",INDIRECT(ADDRESS(ROW()-1,COLUMN())),NOTA[[#This Row],[FAKTUR]]))</f>
        <v/>
      </c>
      <c r="AN852" s="25" t="str">
        <f ca="1">IF(NOTA[[#This Row],[ID]]="","",COUNTIF(NOTA[ID_H],NOTA[[#This Row],[ID_H]]))</f>
        <v/>
      </c>
      <c r="AO852" s="25" t="str">
        <f ca="1">IF(NOTA[[#This Row],[TGL.NOTA]]="",IF(NOTA[[#This Row],[SUPPLIER_H]]="","",AO851),MONTH(NOTA[[#This Row],[TGL.NOTA]]))</f>
        <v/>
      </c>
      <c r="AP8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2" s="25"/>
      <c r="AU852" s="25" t="str">
        <f>IF(NOTA[[#This Row],[CONCAT1]]="","",MATCH(NOTA[[#This Row],[CONCAT1]],[3]!db[NB NOTA_C],0))</f>
        <v/>
      </c>
      <c r="AV852" s="25" t="str">
        <f>IF(NOTA[[#This Row],[QTY/ CTN]]="","",TRUE)</f>
        <v/>
      </c>
      <c r="AW852" s="25" t="str">
        <f ca="1">IF(NOTA[[#This Row],[ID_H]]="","",IF(NOTA[[#This Row],[Column3]]=TRUE,NOTA[[#This Row],[QTY/ CTN]],INDEX([3]!db[QTY/ CTN],NOTA[[#This Row],[//DB]])))</f>
        <v/>
      </c>
      <c r="AX8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2" s="25" t="str">
        <f ca="1">IF(NOTA[[#This Row],[ID_H]]="","",MATCH(NOTA[[#This Row],[NB NOTA_C_QTY]],[3]!db[NB NOTA_C_QTY+F],0))</f>
        <v/>
      </c>
      <c r="AZ852" s="38" t="str">
        <f ca="1">IF(NOTA[[#This Row],[NB NOTA_C_QTY]]="","",ROW()-2)</f>
        <v/>
      </c>
    </row>
    <row r="853" spans="1:52" ht="20.100000000000001" customHeight="1">
      <c r="A8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3" s="25" t="str">
        <f ca="1">IF(NOTA[[#This Row],[NAMA BARANG]]="","",INDEX(NOTA[ID],MATCH(,INDIRECT(ADDRESS(ROW(NOTA[ID]),COLUMN(NOTA[ID]))&amp;":"&amp;ADDRESS(ROW(),COLUMN(NOTA[ID]))),-1)))</f>
        <v/>
      </c>
      <c r="E853" s="33"/>
      <c r="H853" s="34"/>
      <c r="Q853" s="29"/>
      <c r="R853" s="35"/>
      <c r="S853" s="36"/>
      <c r="V853" s="37"/>
      <c r="W853" s="32"/>
      <c r="X853" s="37" t="str">
        <f>IF(NOTA[[#This Row],[HARGA/ CTN]]="",NOTA[[#This Row],[JUMLAH_H]],NOTA[[#This Row],[HARGA/ CTN]]*IF(NOTA[[#This Row],[C]]="",0,NOTA[[#This Row],[C]]))</f>
        <v/>
      </c>
      <c r="Y853" s="37" t="str">
        <f>IF(NOTA[[#This Row],[JUMLAH]]="","",NOTA[[#This Row],[JUMLAH]]*NOTA[[#This Row],[DISC 1]])</f>
        <v/>
      </c>
      <c r="Z853" s="37" t="str">
        <f>IF(NOTA[[#This Row],[JUMLAH]]="","",(NOTA[[#This Row],[JUMLAH]]-NOTA[[#This Row],[DISC 1-]])*NOTA[[#This Row],[DISC 2]])</f>
        <v/>
      </c>
      <c r="AA853" s="37" t="str">
        <f>IF(NOTA[[#This Row],[JUMLAH]]="","",(NOTA[[#This Row],[JUMLAH]]-NOTA[[#This Row],[DISC 1-]]-NOTA[[#This Row],[DISC 2-]])*NOTA[[#This Row],[DISC 3]])</f>
        <v/>
      </c>
      <c r="AB853" s="37" t="str">
        <f>IF(NOTA[[#This Row],[JUMLAH]]="","",NOTA[[#This Row],[DISC 1-]]+NOTA[[#This Row],[DISC 2-]]+NOTA[[#This Row],[DISC 3-]])</f>
        <v/>
      </c>
      <c r="AC853" s="37" t="str">
        <f>IF(NOTA[[#This Row],[JUMLAH]]="","",NOTA[[#This Row],[JUMLAH]]-NOTA[[#This Row],[DISC]])</f>
        <v/>
      </c>
      <c r="AD853" s="37"/>
      <c r="AE8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3" s="37" t="str">
        <f>IF(OR(NOTA[[#This Row],[QTY]]="",NOTA[[#This Row],[HARGA SATUAN]]="",),"",NOTA[[#This Row],[QTY]]*NOTA[[#This Row],[HARGA SATUAN]])</f>
        <v/>
      </c>
      <c r="AI853" s="26" t="str">
        <f ca="1">IF(NOTA[[#This Row],[ID_H]]="","",INDEX(NOTA[TANGGAL],MATCH(,INDIRECT(ADDRESS(ROW(NOTA[TANGGAL]),COLUMN(NOTA[TANGGAL]))&amp;":"&amp;ADDRESS(ROW(),COLUMN(NOTA[TANGGAL]))),-1)))</f>
        <v/>
      </c>
      <c r="AJ853" s="26" t="str">
        <f ca="1">IF(NOTA[[#This Row],[ID_H]]="","",INDEX(NOTA[TGL.NOTA],MATCH(,INDIRECT(ADDRESS(ROW(NOTA[TGL.NOTA]),COLUMN(NOTA[TGL.NOTA]))&amp;":"&amp;ADDRESS(ROW(),COLUMN(NOTA[TGL.NOTA]))),-1)))</f>
        <v/>
      </c>
      <c r="AK853" s="26" t="str">
        <f ca="1">IF(NOTA[[#This Row],[ID_H]]="","",INDEX(NOTA[NO.NOTA],MATCH(NOTA[[#This Row],[ID_H]],NOTA[ID_H],0)))</f>
        <v/>
      </c>
      <c r="AL853" s="28" t="str">
        <f ca="1">IF(NOTA[[#This Row],[NAMA BARANG]]="","",INDEX(NOTA[SUPPLIER],MATCH(,INDIRECT(ADDRESS(ROW(NOTA[ID]),COLUMN(NOTA[ID]))&amp;":"&amp;ADDRESS(ROW(),COLUMN(NOTA[ID]))),-1)))</f>
        <v/>
      </c>
      <c r="AM853" s="28" t="str">
        <f ca="1">IF(NOTA[[#This Row],[ID_H]]="","",IF(NOTA[[#This Row],[FAKTUR]]="",INDIRECT(ADDRESS(ROW()-1,COLUMN())),NOTA[[#This Row],[FAKTUR]]))</f>
        <v/>
      </c>
      <c r="AN853" s="25" t="str">
        <f ca="1">IF(NOTA[[#This Row],[ID]]="","",COUNTIF(NOTA[ID_H],NOTA[[#This Row],[ID_H]]))</f>
        <v/>
      </c>
      <c r="AO853" s="25" t="str">
        <f ca="1">IF(NOTA[[#This Row],[TGL.NOTA]]="",IF(NOTA[[#This Row],[SUPPLIER_H]]="","",AO852),MONTH(NOTA[[#This Row],[TGL.NOTA]]))</f>
        <v/>
      </c>
      <c r="AP8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3" s="25"/>
      <c r="AU853" s="25" t="str">
        <f>IF(NOTA[[#This Row],[CONCAT1]]="","",MATCH(NOTA[[#This Row],[CONCAT1]],[3]!db[NB NOTA_C],0))</f>
        <v/>
      </c>
      <c r="AV853" s="25" t="str">
        <f>IF(NOTA[[#This Row],[QTY/ CTN]]="","",TRUE)</f>
        <v/>
      </c>
      <c r="AW853" s="25" t="str">
        <f ca="1">IF(NOTA[[#This Row],[ID_H]]="","",IF(NOTA[[#This Row],[Column3]]=TRUE,NOTA[[#This Row],[QTY/ CTN]],INDEX([3]!db[QTY/ CTN],NOTA[[#This Row],[//DB]])))</f>
        <v/>
      </c>
      <c r="AX8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3" s="25" t="str">
        <f ca="1">IF(NOTA[[#This Row],[ID_H]]="","",MATCH(NOTA[[#This Row],[NB NOTA_C_QTY]],[3]!db[NB NOTA_C_QTY+F],0))</f>
        <v/>
      </c>
      <c r="AZ853" s="38" t="str">
        <f ca="1">IF(NOTA[[#This Row],[NB NOTA_C_QTY]]="","",ROW()-2)</f>
        <v/>
      </c>
    </row>
    <row r="854" spans="1:52" ht="20.100000000000001" customHeight="1">
      <c r="A8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4" s="25" t="str">
        <f ca="1">IF(NOTA[[#This Row],[NAMA BARANG]]="","",INDEX(NOTA[ID],MATCH(,INDIRECT(ADDRESS(ROW(NOTA[ID]),COLUMN(NOTA[ID]))&amp;":"&amp;ADDRESS(ROW(),COLUMN(NOTA[ID]))),-1)))</f>
        <v/>
      </c>
      <c r="E854" s="33"/>
      <c r="H854" s="34"/>
      <c r="Q854" s="29"/>
      <c r="R854" s="35"/>
      <c r="S854" s="36"/>
      <c r="V854" s="37"/>
      <c r="W854" s="32"/>
      <c r="X854" s="37" t="str">
        <f>IF(NOTA[[#This Row],[HARGA/ CTN]]="",NOTA[[#This Row],[JUMLAH_H]],NOTA[[#This Row],[HARGA/ CTN]]*IF(NOTA[[#This Row],[C]]="",0,NOTA[[#This Row],[C]]))</f>
        <v/>
      </c>
      <c r="Y854" s="37" t="str">
        <f>IF(NOTA[[#This Row],[JUMLAH]]="","",NOTA[[#This Row],[JUMLAH]]*NOTA[[#This Row],[DISC 1]])</f>
        <v/>
      </c>
      <c r="Z854" s="37" t="str">
        <f>IF(NOTA[[#This Row],[JUMLAH]]="","",(NOTA[[#This Row],[JUMLAH]]-NOTA[[#This Row],[DISC 1-]])*NOTA[[#This Row],[DISC 2]])</f>
        <v/>
      </c>
      <c r="AA854" s="37" t="str">
        <f>IF(NOTA[[#This Row],[JUMLAH]]="","",(NOTA[[#This Row],[JUMLAH]]-NOTA[[#This Row],[DISC 1-]]-NOTA[[#This Row],[DISC 2-]])*NOTA[[#This Row],[DISC 3]])</f>
        <v/>
      </c>
      <c r="AB854" s="37" t="str">
        <f>IF(NOTA[[#This Row],[JUMLAH]]="","",NOTA[[#This Row],[DISC 1-]]+NOTA[[#This Row],[DISC 2-]]+NOTA[[#This Row],[DISC 3-]])</f>
        <v/>
      </c>
      <c r="AC854" s="37" t="str">
        <f>IF(NOTA[[#This Row],[JUMLAH]]="","",NOTA[[#This Row],[JUMLAH]]-NOTA[[#This Row],[DISC]])</f>
        <v/>
      </c>
      <c r="AD854" s="37"/>
      <c r="AE8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4" s="37" t="str">
        <f>IF(OR(NOTA[[#This Row],[QTY]]="",NOTA[[#This Row],[HARGA SATUAN]]="",),"",NOTA[[#This Row],[QTY]]*NOTA[[#This Row],[HARGA SATUAN]])</f>
        <v/>
      </c>
      <c r="AI854" s="26" t="str">
        <f ca="1">IF(NOTA[[#This Row],[ID_H]]="","",INDEX(NOTA[TANGGAL],MATCH(,INDIRECT(ADDRESS(ROW(NOTA[TANGGAL]),COLUMN(NOTA[TANGGAL]))&amp;":"&amp;ADDRESS(ROW(),COLUMN(NOTA[TANGGAL]))),-1)))</f>
        <v/>
      </c>
      <c r="AJ854" s="26" t="str">
        <f ca="1">IF(NOTA[[#This Row],[ID_H]]="","",INDEX(NOTA[TGL.NOTA],MATCH(,INDIRECT(ADDRESS(ROW(NOTA[TGL.NOTA]),COLUMN(NOTA[TGL.NOTA]))&amp;":"&amp;ADDRESS(ROW(),COLUMN(NOTA[TGL.NOTA]))),-1)))</f>
        <v/>
      </c>
      <c r="AK854" s="26" t="str">
        <f ca="1">IF(NOTA[[#This Row],[ID_H]]="","",INDEX(NOTA[NO.NOTA],MATCH(NOTA[[#This Row],[ID_H]],NOTA[ID_H],0)))</f>
        <v/>
      </c>
      <c r="AL854" s="28" t="str">
        <f ca="1">IF(NOTA[[#This Row],[NAMA BARANG]]="","",INDEX(NOTA[SUPPLIER],MATCH(,INDIRECT(ADDRESS(ROW(NOTA[ID]),COLUMN(NOTA[ID]))&amp;":"&amp;ADDRESS(ROW(),COLUMN(NOTA[ID]))),-1)))</f>
        <v/>
      </c>
      <c r="AM854" s="28" t="str">
        <f ca="1">IF(NOTA[[#This Row],[ID_H]]="","",IF(NOTA[[#This Row],[FAKTUR]]="",INDIRECT(ADDRESS(ROW()-1,COLUMN())),NOTA[[#This Row],[FAKTUR]]))</f>
        <v/>
      </c>
      <c r="AN854" s="25" t="str">
        <f ca="1">IF(NOTA[[#This Row],[ID]]="","",COUNTIF(NOTA[ID_H],NOTA[[#This Row],[ID_H]]))</f>
        <v/>
      </c>
      <c r="AO854" s="25" t="str">
        <f ca="1">IF(NOTA[[#This Row],[TGL.NOTA]]="",IF(NOTA[[#This Row],[SUPPLIER_H]]="","",AO853),MONTH(NOTA[[#This Row],[TGL.NOTA]]))</f>
        <v/>
      </c>
      <c r="AP8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4" s="25"/>
      <c r="AU854" s="25" t="str">
        <f>IF(NOTA[[#This Row],[CONCAT1]]="","",MATCH(NOTA[[#This Row],[CONCAT1]],[3]!db[NB NOTA_C],0))</f>
        <v/>
      </c>
      <c r="AV854" s="25" t="str">
        <f>IF(NOTA[[#This Row],[QTY/ CTN]]="","",TRUE)</f>
        <v/>
      </c>
      <c r="AW854" s="25" t="str">
        <f ca="1">IF(NOTA[[#This Row],[ID_H]]="","",IF(NOTA[[#This Row],[Column3]]=TRUE,NOTA[[#This Row],[QTY/ CTN]],INDEX([3]!db[QTY/ CTN],NOTA[[#This Row],[//DB]])))</f>
        <v/>
      </c>
      <c r="AX8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4" s="25" t="str">
        <f ca="1">IF(NOTA[[#This Row],[ID_H]]="","",MATCH(NOTA[[#This Row],[NB NOTA_C_QTY]],[3]!db[NB NOTA_C_QTY+F],0))</f>
        <v/>
      </c>
      <c r="AZ854" s="38" t="str">
        <f ca="1">IF(NOTA[[#This Row],[NB NOTA_C_QTY]]="","",ROW()-2)</f>
        <v/>
      </c>
    </row>
    <row r="855" spans="1:52" ht="20.100000000000001" customHeight="1">
      <c r="A8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5" s="25" t="str">
        <f ca="1">IF(NOTA[[#This Row],[NAMA BARANG]]="","",INDEX(NOTA[ID],MATCH(,INDIRECT(ADDRESS(ROW(NOTA[ID]),COLUMN(NOTA[ID]))&amp;":"&amp;ADDRESS(ROW(),COLUMN(NOTA[ID]))),-1)))</f>
        <v/>
      </c>
      <c r="E855" s="33"/>
      <c r="H855" s="34"/>
      <c r="Q855" s="29"/>
      <c r="R855" s="35"/>
      <c r="S855" s="36"/>
      <c r="V855" s="37"/>
      <c r="W855" s="32"/>
      <c r="X855" s="37" t="str">
        <f>IF(NOTA[[#This Row],[HARGA/ CTN]]="",NOTA[[#This Row],[JUMLAH_H]],NOTA[[#This Row],[HARGA/ CTN]]*IF(NOTA[[#This Row],[C]]="",0,NOTA[[#This Row],[C]]))</f>
        <v/>
      </c>
      <c r="Y855" s="37" t="str">
        <f>IF(NOTA[[#This Row],[JUMLAH]]="","",NOTA[[#This Row],[JUMLAH]]*NOTA[[#This Row],[DISC 1]])</f>
        <v/>
      </c>
      <c r="Z855" s="37" t="str">
        <f>IF(NOTA[[#This Row],[JUMLAH]]="","",(NOTA[[#This Row],[JUMLAH]]-NOTA[[#This Row],[DISC 1-]])*NOTA[[#This Row],[DISC 2]])</f>
        <v/>
      </c>
      <c r="AA855" s="37" t="str">
        <f>IF(NOTA[[#This Row],[JUMLAH]]="","",(NOTA[[#This Row],[JUMLAH]]-NOTA[[#This Row],[DISC 1-]]-NOTA[[#This Row],[DISC 2-]])*NOTA[[#This Row],[DISC 3]])</f>
        <v/>
      </c>
      <c r="AB855" s="37" t="str">
        <f>IF(NOTA[[#This Row],[JUMLAH]]="","",NOTA[[#This Row],[DISC 1-]]+NOTA[[#This Row],[DISC 2-]]+NOTA[[#This Row],[DISC 3-]])</f>
        <v/>
      </c>
      <c r="AC855" s="37" t="str">
        <f>IF(NOTA[[#This Row],[JUMLAH]]="","",NOTA[[#This Row],[JUMLAH]]-NOTA[[#This Row],[DISC]])</f>
        <v/>
      </c>
      <c r="AD855" s="37"/>
      <c r="AE8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5" s="37" t="str">
        <f>IF(OR(NOTA[[#This Row],[QTY]]="",NOTA[[#This Row],[HARGA SATUAN]]="",),"",NOTA[[#This Row],[QTY]]*NOTA[[#This Row],[HARGA SATUAN]])</f>
        <v/>
      </c>
      <c r="AI855" s="26" t="str">
        <f ca="1">IF(NOTA[[#This Row],[ID_H]]="","",INDEX(NOTA[TANGGAL],MATCH(,INDIRECT(ADDRESS(ROW(NOTA[TANGGAL]),COLUMN(NOTA[TANGGAL]))&amp;":"&amp;ADDRESS(ROW(),COLUMN(NOTA[TANGGAL]))),-1)))</f>
        <v/>
      </c>
      <c r="AJ855" s="26" t="str">
        <f ca="1">IF(NOTA[[#This Row],[ID_H]]="","",INDEX(NOTA[TGL.NOTA],MATCH(,INDIRECT(ADDRESS(ROW(NOTA[TGL.NOTA]),COLUMN(NOTA[TGL.NOTA]))&amp;":"&amp;ADDRESS(ROW(),COLUMN(NOTA[TGL.NOTA]))),-1)))</f>
        <v/>
      </c>
      <c r="AK855" s="26" t="str">
        <f ca="1">IF(NOTA[[#This Row],[ID_H]]="","",INDEX(NOTA[NO.NOTA],MATCH(NOTA[[#This Row],[ID_H]],NOTA[ID_H],0)))</f>
        <v/>
      </c>
      <c r="AL855" s="28" t="str">
        <f ca="1">IF(NOTA[[#This Row],[NAMA BARANG]]="","",INDEX(NOTA[SUPPLIER],MATCH(,INDIRECT(ADDRESS(ROW(NOTA[ID]),COLUMN(NOTA[ID]))&amp;":"&amp;ADDRESS(ROW(),COLUMN(NOTA[ID]))),-1)))</f>
        <v/>
      </c>
      <c r="AM855" s="28" t="str">
        <f ca="1">IF(NOTA[[#This Row],[ID_H]]="","",IF(NOTA[[#This Row],[FAKTUR]]="",INDIRECT(ADDRESS(ROW()-1,COLUMN())),NOTA[[#This Row],[FAKTUR]]))</f>
        <v/>
      </c>
      <c r="AN855" s="25" t="str">
        <f ca="1">IF(NOTA[[#This Row],[ID]]="","",COUNTIF(NOTA[ID_H],NOTA[[#This Row],[ID_H]]))</f>
        <v/>
      </c>
      <c r="AO855" s="25" t="str">
        <f ca="1">IF(NOTA[[#This Row],[TGL.NOTA]]="",IF(NOTA[[#This Row],[SUPPLIER_H]]="","",AO854),MONTH(NOTA[[#This Row],[TGL.NOTA]]))</f>
        <v/>
      </c>
      <c r="AP8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5" s="25"/>
      <c r="AU855" s="25" t="str">
        <f>IF(NOTA[[#This Row],[CONCAT1]]="","",MATCH(NOTA[[#This Row],[CONCAT1]],[3]!db[NB NOTA_C],0))</f>
        <v/>
      </c>
      <c r="AV855" s="25" t="str">
        <f>IF(NOTA[[#This Row],[QTY/ CTN]]="","",TRUE)</f>
        <v/>
      </c>
      <c r="AW855" s="25" t="str">
        <f ca="1">IF(NOTA[[#This Row],[ID_H]]="","",IF(NOTA[[#This Row],[Column3]]=TRUE,NOTA[[#This Row],[QTY/ CTN]],INDEX([3]!db[QTY/ CTN],NOTA[[#This Row],[//DB]])))</f>
        <v/>
      </c>
      <c r="AX8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5" s="25" t="str">
        <f ca="1">IF(NOTA[[#This Row],[ID_H]]="","",MATCH(NOTA[[#This Row],[NB NOTA_C_QTY]],[3]!db[NB NOTA_C_QTY+F],0))</f>
        <v/>
      </c>
      <c r="AZ855" s="38" t="str">
        <f ca="1">IF(NOTA[[#This Row],[NB NOTA_C_QTY]]="","",ROW()-2)</f>
        <v/>
      </c>
    </row>
    <row r="856" spans="1:52" ht="20.100000000000001" customHeight="1">
      <c r="A8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6" s="25" t="str">
        <f ca="1">IF(NOTA[[#This Row],[NAMA BARANG]]="","",INDEX(NOTA[ID],MATCH(,INDIRECT(ADDRESS(ROW(NOTA[ID]),COLUMN(NOTA[ID]))&amp;":"&amp;ADDRESS(ROW(),COLUMN(NOTA[ID]))),-1)))</f>
        <v/>
      </c>
      <c r="E856" s="33"/>
      <c r="H856" s="34"/>
      <c r="Q856" s="29"/>
      <c r="R856" s="35"/>
      <c r="S856" s="36"/>
      <c r="V856" s="37"/>
      <c r="W856" s="32"/>
      <c r="X856" s="37" t="str">
        <f>IF(NOTA[[#This Row],[HARGA/ CTN]]="",NOTA[[#This Row],[JUMLAH_H]],NOTA[[#This Row],[HARGA/ CTN]]*IF(NOTA[[#This Row],[C]]="",0,NOTA[[#This Row],[C]]))</f>
        <v/>
      </c>
      <c r="Y856" s="37" t="str">
        <f>IF(NOTA[[#This Row],[JUMLAH]]="","",NOTA[[#This Row],[JUMLAH]]*NOTA[[#This Row],[DISC 1]])</f>
        <v/>
      </c>
      <c r="Z856" s="37" t="str">
        <f>IF(NOTA[[#This Row],[JUMLAH]]="","",(NOTA[[#This Row],[JUMLAH]]-NOTA[[#This Row],[DISC 1-]])*NOTA[[#This Row],[DISC 2]])</f>
        <v/>
      </c>
      <c r="AA856" s="37" t="str">
        <f>IF(NOTA[[#This Row],[JUMLAH]]="","",(NOTA[[#This Row],[JUMLAH]]-NOTA[[#This Row],[DISC 1-]]-NOTA[[#This Row],[DISC 2-]])*NOTA[[#This Row],[DISC 3]])</f>
        <v/>
      </c>
      <c r="AB856" s="37" t="str">
        <f>IF(NOTA[[#This Row],[JUMLAH]]="","",NOTA[[#This Row],[DISC 1-]]+NOTA[[#This Row],[DISC 2-]]+NOTA[[#This Row],[DISC 3-]])</f>
        <v/>
      </c>
      <c r="AC856" s="37" t="str">
        <f>IF(NOTA[[#This Row],[JUMLAH]]="","",NOTA[[#This Row],[JUMLAH]]-NOTA[[#This Row],[DISC]])</f>
        <v/>
      </c>
      <c r="AD856" s="37"/>
      <c r="AE8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6" s="37" t="str">
        <f>IF(OR(NOTA[[#This Row],[QTY]]="",NOTA[[#This Row],[HARGA SATUAN]]="",),"",NOTA[[#This Row],[QTY]]*NOTA[[#This Row],[HARGA SATUAN]])</f>
        <v/>
      </c>
      <c r="AI856" s="26" t="str">
        <f ca="1">IF(NOTA[[#This Row],[ID_H]]="","",INDEX(NOTA[TANGGAL],MATCH(,INDIRECT(ADDRESS(ROW(NOTA[TANGGAL]),COLUMN(NOTA[TANGGAL]))&amp;":"&amp;ADDRESS(ROW(),COLUMN(NOTA[TANGGAL]))),-1)))</f>
        <v/>
      </c>
      <c r="AJ856" s="26" t="str">
        <f ca="1">IF(NOTA[[#This Row],[ID_H]]="","",INDEX(NOTA[TGL.NOTA],MATCH(,INDIRECT(ADDRESS(ROW(NOTA[TGL.NOTA]),COLUMN(NOTA[TGL.NOTA]))&amp;":"&amp;ADDRESS(ROW(),COLUMN(NOTA[TGL.NOTA]))),-1)))</f>
        <v/>
      </c>
      <c r="AK856" s="26" t="str">
        <f ca="1">IF(NOTA[[#This Row],[ID_H]]="","",INDEX(NOTA[NO.NOTA],MATCH(NOTA[[#This Row],[ID_H]],NOTA[ID_H],0)))</f>
        <v/>
      </c>
      <c r="AL856" s="28" t="str">
        <f ca="1">IF(NOTA[[#This Row],[NAMA BARANG]]="","",INDEX(NOTA[SUPPLIER],MATCH(,INDIRECT(ADDRESS(ROW(NOTA[ID]),COLUMN(NOTA[ID]))&amp;":"&amp;ADDRESS(ROW(),COLUMN(NOTA[ID]))),-1)))</f>
        <v/>
      </c>
      <c r="AM856" s="28" t="str">
        <f ca="1">IF(NOTA[[#This Row],[ID_H]]="","",IF(NOTA[[#This Row],[FAKTUR]]="",INDIRECT(ADDRESS(ROW()-1,COLUMN())),NOTA[[#This Row],[FAKTUR]]))</f>
        <v/>
      </c>
      <c r="AN856" s="25" t="str">
        <f ca="1">IF(NOTA[[#This Row],[ID]]="","",COUNTIF(NOTA[ID_H],NOTA[[#This Row],[ID_H]]))</f>
        <v/>
      </c>
      <c r="AO856" s="25" t="str">
        <f ca="1">IF(NOTA[[#This Row],[TGL.NOTA]]="",IF(NOTA[[#This Row],[SUPPLIER_H]]="","",AO855),MONTH(NOTA[[#This Row],[TGL.NOTA]]))</f>
        <v/>
      </c>
      <c r="AP8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6" s="25"/>
      <c r="AU856" s="25" t="str">
        <f>IF(NOTA[[#This Row],[CONCAT1]]="","",MATCH(NOTA[[#This Row],[CONCAT1]],[3]!db[NB NOTA_C],0))</f>
        <v/>
      </c>
      <c r="AV856" s="25" t="str">
        <f>IF(NOTA[[#This Row],[QTY/ CTN]]="","",TRUE)</f>
        <v/>
      </c>
      <c r="AW856" s="25" t="str">
        <f ca="1">IF(NOTA[[#This Row],[ID_H]]="","",IF(NOTA[[#This Row],[Column3]]=TRUE,NOTA[[#This Row],[QTY/ CTN]],INDEX([3]!db[QTY/ CTN],NOTA[[#This Row],[//DB]])))</f>
        <v/>
      </c>
      <c r="AX8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6" s="25" t="str">
        <f ca="1">IF(NOTA[[#This Row],[ID_H]]="","",MATCH(NOTA[[#This Row],[NB NOTA_C_QTY]],[3]!db[NB NOTA_C_QTY+F],0))</f>
        <v/>
      </c>
      <c r="AZ856" s="38" t="str">
        <f ca="1">IF(NOTA[[#This Row],[NB NOTA_C_QTY]]="","",ROW()-2)</f>
        <v/>
      </c>
    </row>
    <row r="857" spans="1:52" ht="20.100000000000001" customHeight="1">
      <c r="A8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7" s="25" t="str">
        <f ca="1">IF(NOTA[[#This Row],[NAMA BARANG]]="","",INDEX(NOTA[ID],MATCH(,INDIRECT(ADDRESS(ROW(NOTA[ID]),COLUMN(NOTA[ID]))&amp;":"&amp;ADDRESS(ROW(),COLUMN(NOTA[ID]))),-1)))</f>
        <v/>
      </c>
      <c r="E857" s="33"/>
      <c r="H857" s="34"/>
      <c r="Q857" s="29"/>
      <c r="R857" s="35"/>
      <c r="S857" s="36"/>
      <c r="V857" s="37"/>
      <c r="W857" s="32"/>
      <c r="X857" s="37" t="str">
        <f>IF(NOTA[[#This Row],[HARGA/ CTN]]="",NOTA[[#This Row],[JUMLAH_H]],NOTA[[#This Row],[HARGA/ CTN]]*IF(NOTA[[#This Row],[C]]="",0,NOTA[[#This Row],[C]]))</f>
        <v/>
      </c>
      <c r="Y857" s="37" t="str">
        <f>IF(NOTA[[#This Row],[JUMLAH]]="","",NOTA[[#This Row],[JUMLAH]]*NOTA[[#This Row],[DISC 1]])</f>
        <v/>
      </c>
      <c r="Z857" s="37" t="str">
        <f>IF(NOTA[[#This Row],[JUMLAH]]="","",(NOTA[[#This Row],[JUMLAH]]-NOTA[[#This Row],[DISC 1-]])*NOTA[[#This Row],[DISC 2]])</f>
        <v/>
      </c>
      <c r="AA857" s="37" t="str">
        <f>IF(NOTA[[#This Row],[JUMLAH]]="","",(NOTA[[#This Row],[JUMLAH]]-NOTA[[#This Row],[DISC 1-]]-NOTA[[#This Row],[DISC 2-]])*NOTA[[#This Row],[DISC 3]])</f>
        <v/>
      </c>
      <c r="AB857" s="37" t="str">
        <f>IF(NOTA[[#This Row],[JUMLAH]]="","",NOTA[[#This Row],[DISC 1-]]+NOTA[[#This Row],[DISC 2-]]+NOTA[[#This Row],[DISC 3-]])</f>
        <v/>
      </c>
      <c r="AC857" s="37" t="str">
        <f>IF(NOTA[[#This Row],[JUMLAH]]="","",NOTA[[#This Row],[JUMLAH]]-NOTA[[#This Row],[DISC]])</f>
        <v/>
      </c>
      <c r="AD857" s="37"/>
      <c r="AE8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7" s="37" t="str">
        <f>IF(OR(NOTA[[#This Row],[QTY]]="",NOTA[[#This Row],[HARGA SATUAN]]="",),"",NOTA[[#This Row],[QTY]]*NOTA[[#This Row],[HARGA SATUAN]])</f>
        <v/>
      </c>
      <c r="AI857" s="26" t="str">
        <f ca="1">IF(NOTA[[#This Row],[ID_H]]="","",INDEX(NOTA[TANGGAL],MATCH(,INDIRECT(ADDRESS(ROW(NOTA[TANGGAL]),COLUMN(NOTA[TANGGAL]))&amp;":"&amp;ADDRESS(ROW(),COLUMN(NOTA[TANGGAL]))),-1)))</f>
        <v/>
      </c>
      <c r="AJ857" s="26" t="str">
        <f ca="1">IF(NOTA[[#This Row],[ID_H]]="","",INDEX(NOTA[TGL.NOTA],MATCH(,INDIRECT(ADDRESS(ROW(NOTA[TGL.NOTA]),COLUMN(NOTA[TGL.NOTA]))&amp;":"&amp;ADDRESS(ROW(),COLUMN(NOTA[TGL.NOTA]))),-1)))</f>
        <v/>
      </c>
      <c r="AK857" s="26" t="str">
        <f ca="1">IF(NOTA[[#This Row],[ID_H]]="","",INDEX(NOTA[NO.NOTA],MATCH(NOTA[[#This Row],[ID_H]],NOTA[ID_H],0)))</f>
        <v/>
      </c>
      <c r="AL857" s="28" t="str">
        <f ca="1">IF(NOTA[[#This Row],[NAMA BARANG]]="","",INDEX(NOTA[SUPPLIER],MATCH(,INDIRECT(ADDRESS(ROW(NOTA[ID]),COLUMN(NOTA[ID]))&amp;":"&amp;ADDRESS(ROW(),COLUMN(NOTA[ID]))),-1)))</f>
        <v/>
      </c>
      <c r="AM857" s="28" t="str">
        <f ca="1">IF(NOTA[[#This Row],[ID_H]]="","",IF(NOTA[[#This Row],[FAKTUR]]="",INDIRECT(ADDRESS(ROW()-1,COLUMN())),NOTA[[#This Row],[FAKTUR]]))</f>
        <v/>
      </c>
      <c r="AN857" s="25" t="str">
        <f ca="1">IF(NOTA[[#This Row],[ID]]="","",COUNTIF(NOTA[ID_H],NOTA[[#This Row],[ID_H]]))</f>
        <v/>
      </c>
      <c r="AO857" s="25" t="str">
        <f ca="1">IF(NOTA[[#This Row],[TGL.NOTA]]="",IF(NOTA[[#This Row],[SUPPLIER_H]]="","",AO856),MONTH(NOTA[[#This Row],[TGL.NOTA]]))</f>
        <v/>
      </c>
      <c r="AP8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7" s="25"/>
      <c r="AU857" s="25" t="str">
        <f>IF(NOTA[[#This Row],[CONCAT1]]="","",MATCH(NOTA[[#This Row],[CONCAT1]],[3]!db[NB NOTA_C],0))</f>
        <v/>
      </c>
      <c r="AV857" s="25" t="str">
        <f>IF(NOTA[[#This Row],[QTY/ CTN]]="","",TRUE)</f>
        <v/>
      </c>
      <c r="AW857" s="25" t="str">
        <f ca="1">IF(NOTA[[#This Row],[ID_H]]="","",IF(NOTA[[#This Row],[Column3]]=TRUE,NOTA[[#This Row],[QTY/ CTN]],INDEX([3]!db[QTY/ CTN],NOTA[[#This Row],[//DB]])))</f>
        <v/>
      </c>
      <c r="AX8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7" s="25" t="str">
        <f ca="1">IF(NOTA[[#This Row],[ID_H]]="","",MATCH(NOTA[[#This Row],[NB NOTA_C_QTY]],[3]!db[NB NOTA_C_QTY+F],0))</f>
        <v/>
      </c>
      <c r="AZ857" s="38" t="str">
        <f ca="1">IF(NOTA[[#This Row],[NB NOTA_C_QTY]]="","",ROW()-2)</f>
        <v/>
      </c>
    </row>
    <row r="858" spans="1:52" ht="20.100000000000001" customHeight="1">
      <c r="A8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8" s="25" t="str">
        <f ca="1">IF(NOTA[[#This Row],[NAMA BARANG]]="","",INDEX(NOTA[ID],MATCH(,INDIRECT(ADDRESS(ROW(NOTA[ID]),COLUMN(NOTA[ID]))&amp;":"&amp;ADDRESS(ROW(),COLUMN(NOTA[ID]))),-1)))</f>
        <v/>
      </c>
      <c r="E858" s="33"/>
      <c r="H858" s="34"/>
      <c r="Q858" s="29"/>
      <c r="R858" s="35"/>
      <c r="S858" s="36"/>
      <c r="V858" s="37"/>
      <c r="W858" s="32"/>
      <c r="X858" s="37" t="str">
        <f>IF(NOTA[[#This Row],[HARGA/ CTN]]="",NOTA[[#This Row],[JUMLAH_H]],NOTA[[#This Row],[HARGA/ CTN]]*IF(NOTA[[#This Row],[C]]="",0,NOTA[[#This Row],[C]]))</f>
        <v/>
      </c>
      <c r="Y858" s="37" t="str">
        <f>IF(NOTA[[#This Row],[JUMLAH]]="","",NOTA[[#This Row],[JUMLAH]]*NOTA[[#This Row],[DISC 1]])</f>
        <v/>
      </c>
      <c r="Z858" s="37" t="str">
        <f>IF(NOTA[[#This Row],[JUMLAH]]="","",(NOTA[[#This Row],[JUMLAH]]-NOTA[[#This Row],[DISC 1-]])*NOTA[[#This Row],[DISC 2]])</f>
        <v/>
      </c>
      <c r="AA858" s="37" t="str">
        <f>IF(NOTA[[#This Row],[JUMLAH]]="","",(NOTA[[#This Row],[JUMLAH]]-NOTA[[#This Row],[DISC 1-]]-NOTA[[#This Row],[DISC 2-]])*NOTA[[#This Row],[DISC 3]])</f>
        <v/>
      </c>
      <c r="AB858" s="37" t="str">
        <f>IF(NOTA[[#This Row],[JUMLAH]]="","",NOTA[[#This Row],[DISC 1-]]+NOTA[[#This Row],[DISC 2-]]+NOTA[[#This Row],[DISC 3-]])</f>
        <v/>
      </c>
      <c r="AC858" s="37" t="str">
        <f>IF(NOTA[[#This Row],[JUMLAH]]="","",NOTA[[#This Row],[JUMLAH]]-NOTA[[#This Row],[DISC]])</f>
        <v/>
      </c>
      <c r="AD858" s="37"/>
      <c r="AE8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8" s="37" t="str">
        <f>IF(OR(NOTA[[#This Row],[QTY]]="",NOTA[[#This Row],[HARGA SATUAN]]="",),"",NOTA[[#This Row],[QTY]]*NOTA[[#This Row],[HARGA SATUAN]])</f>
        <v/>
      </c>
      <c r="AI858" s="26" t="str">
        <f ca="1">IF(NOTA[[#This Row],[ID_H]]="","",INDEX(NOTA[TANGGAL],MATCH(,INDIRECT(ADDRESS(ROW(NOTA[TANGGAL]),COLUMN(NOTA[TANGGAL]))&amp;":"&amp;ADDRESS(ROW(),COLUMN(NOTA[TANGGAL]))),-1)))</f>
        <v/>
      </c>
      <c r="AJ858" s="26" t="str">
        <f ca="1">IF(NOTA[[#This Row],[ID_H]]="","",INDEX(NOTA[TGL.NOTA],MATCH(,INDIRECT(ADDRESS(ROW(NOTA[TGL.NOTA]),COLUMN(NOTA[TGL.NOTA]))&amp;":"&amp;ADDRESS(ROW(),COLUMN(NOTA[TGL.NOTA]))),-1)))</f>
        <v/>
      </c>
      <c r="AK858" s="26" t="str">
        <f ca="1">IF(NOTA[[#This Row],[ID_H]]="","",INDEX(NOTA[NO.NOTA],MATCH(NOTA[[#This Row],[ID_H]],NOTA[ID_H],0)))</f>
        <v/>
      </c>
      <c r="AL858" s="28" t="str">
        <f ca="1">IF(NOTA[[#This Row],[NAMA BARANG]]="","",INDEX(NOTA[SUPPLIER],MATCH(,INDIRECT(ADDRESS(ROW(NOTA[ID]),COLUMN(NOTA[ID]))&amp;":"&amp;ADDRESS(ROW(),COLUMN(NOTA[ID]))),-1)))</f>
        <v/>
      </c>
      <c r="AM858" s="28" t="str">
        <f ca="1">IF(NOTA[[#This Row],[ID_H]]="","",IF(NOTA[[#This Row],[FAKTUR]]="",INDIRECT(ADDRESS(ROW()-1,COLUMN())),NOTA[[#This Row],[FAKTUR]]))</f>
        <v/>
      </c>
      <c r="AN858" s="25" t="str">
        <f ca="1">IF(NOTA[[#This Row],[ID]]="","",COUNTIF(NOTA[ID_H],NOTA[[#This Row],[ID_H]]))</f>
        <v/>
      </c>
      <c r="AO858" s="25" t="str">
        <f ca="1">IF(NOTA[[#This Row],[TGL.NOTA]]="",IF(NOTA[[#This Row],[SUPPLIER_H]]="","",AO857),MONTH(NOTA[[#This Row],[TGL.NOTA]]))</f>
        <v/>
      </c>
      <c r="AP8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8" s="25"/>
      <c r="AU858" s="25" t="str">
        <f>IF(NOTA[[#This Row],[CONCAT1]]="","",MATCH(NOTA[[#This Row],[CONCAT1]],[3]!db[NB NOTA_C],0))</f>
        <v/>
      </c>
      <c r="AV858" s="25" t="str">
        <f>IF(NOTA[[#This Row],[QTY/ CTN]]="","",TRUE)</f>
        <v/>
      </c>
      <c r="AW858" s="25" t="str">
        <f ca="1">IF(NOTA[[#This Row],[ID_H]]="","",IF(NOTA[[#This Row],[Column3]]=TRUE,NOTA[[#This Row],[QTY/ CTN]],INDEX([3]!db[QTY/ CTN],NOTA[[#This Row],[//DB]])))</f>
        <v/>
      </c>
      <c r="AX8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8" s="25" t="str">
        <f ca="1">IF(NOTA[[#This Row],[ID_H]]="","",MATCH(NOTA[[#This Row],[NB NOTA_C_QTY]],[3]!db[NB NOTA_C_QTY+F],0))</f>
        <v/>
      </c>
      <c r="AZ858" s="38" t="str">
        <f ca="1">IF(NOTA[[#This Row],[NB NOTA_C_QTY]]="","",ROW()-2)</f>
        <v/>
      </c>
    </row>
    <row r="859" spans="1:52" ht="20.100000000000001" customHeight="1">
      <c r="A8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9" s="25" t="str">
        <f ca="1">IF(NOTA[[#This Row],[NAMA BARANG]]="","",INDEX(NOTA[ID],MATCH(,INDIRECT(ADDRESS(ROW(NOTA[ID]),COLUMN(NOTA[ID]))&amp;":"&amp;ADDRESS(ROW(),COLUMN(NOTA[ID]))),-1)))</f>
        <v/>
      </c>
      <c r="E859" s="33"/>
      <c r="H859" s="34"/>
      <c r="Q859" s="29"/>
      <c r="R859" s="35"/>
      <c r="S859" s="36"/>
      <c r="V859" s="37"/>
      <c r="W859" s="32"/>
      <c r="X859" s="37" t="str">
        <f>IF(NOTA[[#This Row],[HARGA/ CTN]]="",NOTA[[#This Row],[JUMLAH_H]],NOTA[[#This Row],[HARGA/ CTN]]*IF(NOTA[[#This Row],[C]]="",0,NOTA[[#This Row],[C]]))</f>
        <v/>
      </c>
      <c r="Y859" s="37" t="str">
        <f>IF(NOTA[[#This Row],[JUMLAH]]="","",NOTA[[#This Row],[JUMLAH]]*NOTA[[#This Row],[DISC 1]])</f>
        <v/>
      </c>
      <c r="Z859" s="37" t="str">
        <f>IF(NOTA[[#This Row],[JUMLAH]]="","",(NOTA[[#This Row],[JUMLAH]]-NOTA[[#This Row],[DISC 1-]])*NOTA[[#This Row],[DISC 2]])</f>
        <v/>
      </c>
      <c r="AA859" s="37" t="str">
        <f>IF(NOTA[[#This Row],[JUMLAH]]="","",(NOTA[[#This Row],[JUMLAH]]-NOTA[[#This Row],[DISC 1-]]-NOTA[[#This Row],[DISC 2-]])*NOTA[[#This Row],[DISC 3]])</f>
        <v/>
      </c>
      <c r="AB859" s="37" t="str">
        <f>IF(NOTA[[#This Row],[JUMLAH]]="","",NOTA[[#This Row],[DISC 1-]]+NOTA[[#This Row],[DISC 2-]]+NOTA[[#This Row],[DISC 3-]])</f>
        <v/>
      </c>
      <c r="AC859" s="37" t="str">
        <f>IF(NOTA[[#This Row],[JUMLAH]]="","",NOTA[[#This Row],[JUMLAH]]-NOTA[[#This Row],[DISC]])</f>
        <v/>
      </c>
      <c r="AD859" s="37"/>
      <c r="AE8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9" s="37" t="str">
        <f>IF(OR(NOTA[[#This Row],[QTY]]="",NOTA[[#This Row],[HARGA SATUAN]]="",),"",NOTA[[#This Row],[QTY]]*NOTA[[#This Row],[HARGA SATUAN]])</f>
        <v/>
      </c>
      <c r="AI859" s="26" t="str">
        <f ca="1">IF(NOTA[[#This Row],[ID_H]]="","",INDEX(NOTA[TANGGAL],MATCH(,INDIRECT(ADDRESS(ROW(NOTA[TANGGAL]),COLUMN(NOTA[TANGGAL]))&amp;":"&amp;ADDRESS(ROW(),COLUMN(NOTA[TANGGAL]))),-1)))</f>
        <v/>
      </c>
      <c r="AJ859" s="26" t="str">
        <f ca="1">IF(NOTA[[#This Row],[ID_H]]="","",INDEX(NOTA[TGL.NOTA],MATCH(,INDIRECT(ADDRESS(ROW(NOTA[TGL.NOTA]),COLUMN(NOTA[TGL.NOTA]))&amp;":"&amp;ADDRESS(ROW(),COLUMN(NOTA[TGL.NOTA]))),-1)))</f>
        <v/>
      </c>
      <c r="AK859" s="26" t="str">
        <f ca="1">IF(NOTA[[#This Row],[ID_H]]="","",INDEX(NOTA[NO.NOTA],MATCH(NOTA[[#This Row],[ID_H]],NOTA[ID_H],0)))</f>
        <v/>
      </c>
      <c r="AL859" s="28" t="str">
        <f ca="1">IF(NOTA[[#This Row],[NAMA BARANG]]="","",INDEX(NOTA[SUPPLIER],MATCH(,INDIRECT(ADDRESS(ROW(NOTA[ID]),COLUMN(NOTA[ID]))&amp;":"&amp;ADDRESS(ROW(),COLUMN(NOTA[ID]))),-1)))</f>
        <v/>
      </c>
      <c r="AM859" s="28" t="str">
        <f ca="1">IF(NOTA[[#This Row],[ID_H]]="","",IF(NOTA[[#This Row],[FAKTUR]]="",INDIRECT(ADDRESS(ROW()-1,COLUMN())),NOTA[[#This Row],[FAKTUR]]))</f>
        <v/>
      </c>
      <c r="AN859" s="25" t="str">
        <f ca="1">IF(NOTA[[#This Row],[ID]]="","",COUNTIF(NOTA[ID_H],NOTA[[#This Row],[ID_H]]))</f>
        <v/>
      </c>
      <c r="AO859" s="25" t="str">
        <f ca="1">IF(NOTA[[#This Row],[TGL.NOTA]]="",IF(NOTA[[#This Row],[SUPPLIER_H]]="","",AO858),MONTH(NOTA[[#This Row],[TGL.NOTA]]))</f>
        <v/>
      </c>
      <c r="AP8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9" s="25"/>
      <c r="AU859" s="25" t="str">
        <f>IF(NOTA[[#This Row],[CONCAT1]]="","",MATCH(NOTA[[#This Row],[CONCAT1]],[3]!db[NB NOTA_C],0))</f>
        <v/>
      </c>
      <c r="AV859" s="25" t="str">
        <f>IF(NOTA[[#This Row],[QTY/ CTN]]="","",TRUE)</f>
        <v/>
      </c>
      <c r="AW859" s="25" t="str">
        <f ca="1">IF(NOTA[[#This Row],[ID_H]]="","",IF(NOTA[[#This Row],[Column3]]=TRUE,NOTA[[#This Row],[QTY/ CTN]],INDEX([3]!db[QTY/ CTN],NOTA[[#This Row],[//DB]])))</f>
        <v/>
      </c>
      <c r="AX8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9" s="25" t="str">
        <f ca="1">IF(NOTA[[#This Row],[ID_H]]="","",MATCH(NOTA[[#This Row],[NB NOTA_C_QTY]],[3]!db[NB NOTA_C_QTY+F],0))</f>
        <v/>
      </c>
      <c r="AZ859" s="38" t="str">
        <f ca="1">IF(NOTA[[#This Row],[NB NOTA_C_QTY]]="","",ROW()-2)</f>
        <v/>
      </c>
    </row>
    <row r="860" spans="1:52" ht="20.100000000000001" customHeight="1">
      <c r="A8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0" s="25" t="str">
        <f ca="1">IF(NOTA[[#This Row],[NAMA BARANG]]="","",INDEX(NOTA[ID],MATCH(,INDIRECT(ADDRESS(ROW(NOTA[ID]),COLUMN(NOTA[ID]))&amp;":"&amp;ADDRESS(ROW(),COLUMN(NOTA[ID]))),-1)))</f>
        <v/>
      </c>
      <c r="E860" s="33"/>
      <c r="H860" s="34"/>
      <c r="Q860" s="29"/>
      <c r="R860" s="35"/>
      <c r="S860" s="36"/>
      <c r="V860" s="37"/>
      <c r="W860" s="32"/>
      <c r="X860" s="37" t="str">
        <f>IF(NOTA[[#This Row],[HARGA/ CTN]]="",NOTA[[#This Row],[JUMLAH_H]],NOTA[[#This Row],[HARGA/ CTN]]*IF(NOTA[[#This Row],[C]]="",0,NOTA[[#This Row],[C]]))</f>
        <v/>
      </c>
      <c r="Y860" s="37" t="str">
        <f>IF(NOTA[[#This Row],[JUMLAH]]="","",NOTA[[#This Row],[JUMLAH]]*NOTA[[#This Row],[DISC 1]])</f>
        <v/>
      </c>
      <c r="Z860" s="37" t="str">
        <f>IF(NOTA[[#This Row],[JUMLAH]]="","",(NOTA[[#This Row],[JUMLAH]]-NOTA[[#This Row],[DISC 1-]])*NOTA[[#This Row],[DISC 2]])</f>
        <v/>
      </c>
      <c r="AA860" s="37" t="str">
        <f>IF(NOTA[[#This Row],[JUMLAH]]="","",(NOTA[[#This Row],[JUMLAH]]-NOTA[[#This Row],[DISC 1-]]-NOTA[[#This Row],[DISC 2-]])*NOTA[[#This Row],[DISC 3]])</f>
        <v/>
      </c>
      <c r="AB860" s="37" t="str">
        <f>IF(NOTA[[#This Row],[JUMLAH]]="","",NOTA[[#This Row],[DISC 1-]]+NOTA[[#This Row],[DISC 2-]]+NOTA[[#This Row],[DISC 3-]])</f>
        <v/>
      </c>
      <c r="AC860" s="37" t="str">
        <f>IF(NOTA[[#This Row],[JUMLAH]]="","",NOTA[[#This Row],[JUMLAH]]-NOTA[[#This Row],[DISC]])</f>
        <v/>
      </c>
      <c r="AD860" s="37"/>
      <c r="AE8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0" s="37" t="str">
        <f>IF(OR(NOTA[[#This Row],[QTY]]="",NOTA[[#This Row],[HARGA SATUAN]]="",),"",NOTA[[#This Row],[QTY]]*NOTA[[#This Row],[HARGA SATUAN]])</f>
        <v/>
      </c>
      <c r="AI860" s="26" t="str">
        <f ca="1">IF(NOTA[[#This Row],[ID_H]]="","",INDEX(NOTA[TANGGAL],MATCH(,INDIRECT(ADDRESS(ROW(NOTA[TANGGAL]),COLUMN(NOTA[TANGGAL]))&amp;":"&amp;ADDRESS(ROW(),COLUMN(NOTA[TANGGAL]))),-1)))</f>
        <v/>
      </c>
      <c r="AJ860" s="26" t="str">
        <f ca="1">IF(NOTA[[#This Row],[ID_H]]="","",INDEX(NOTA[TGL.NOTA],MATCH(,INDIRECT(ADDRESS(ROW(NOTA[TGL.NOTA]),COLUMN(NOTA[TGL.NOTA]))&amp;":"&amp;ADDRESS(ROW(),COLUMN(NOTA[TGL.NOTA]))),-1)))</f>
        <v/>
      </c>
      <c r="AK860" s="26" t="str">
        <f ca="1">IF(NOTA[[#This Row],[ID_H]]="","",INDEX(NOTA[NO.NOTA],MATCH(NOTA[[#This Row],[ID_H]],NOTA[ID_H],0)))</f>
        <v/>
      </c>
      <c r="AL860" s="28" t="str">
        <f ca="1">IF(NOTA[[#This Row],[NAMA BARANG]]="","",INDEX(NOTA[SUPPLIER],MATCH(,INDIRECT(ADDRESS(ROW(NOTA[ID]),COLUMN(NOTA[ID]))&amp;":"&amp;ADDRESS(ROW(),COLUMN(NOTA[ID]))),-1)))</f>
        <v/>
      </c>
      <c r="AM860" s="28" t="str">
        <f ca="1">IF(NOTA[[#This Row],[ID_H]]="","",IF(NOTA[[#This Row],[FAKTUR]]="",INDIRECT(ADDRESS(ROW()-1,COLUMN())),NOTA[[#This Row],[FAKTUR]]))</f>
        <v/>
      </c>
      <c r="AN860" s="25" t="str">
        <f ca="1">IF(NOTA[[#This Row],[ID]]="","",COUNTIF(NOTA[ID_H],NOTA[[#This Row],[ID_H]]))</f>
        <v/>
      </c>
      <c r="AO860" s="25" t="str">
        <f ca="1">IF(NOTA[[#This Row],[TGL.NOTA]]="",IF(NOTA[[#This Row],[SUPPLIER_H]]="","",AO859),MONTH(NOTA[[#This Row],[TGL.NOTA]]))</f>
        <v/>
      </c>
      <c r="AP8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0" s="25"/>
      <c r="AU860" s="25" t="str">
        <f>IF(NOTA[[#This Row],[CONCAT1]]="","",MATCH(NOTA[[#This Row],[CONCAT1]],[3]!db[NB NOTA_C],0))</f>
        <v/>
      </c>
      <c r="AV860" s="25" t="str">
        <f>IF(NOTA[[#This Row],[QTY/ CTN]]="","",TRUE)</f>
        <v/>
      </c>
      <c r="AW860" s="25" t="str">
        <f ca="1">IF(NOTA[[#This Row],[ID_H]]="","",IF(NOTA[[#This Row],[Column3]]=TRUE,NOTA[[#This Row],[QTY/ CTN]],INDEX([3]!db[QTY/ CTN],NOTA[[#This Row],[//DB]])))</f>
        <v/>
      </c>
      <c r="AX8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0" s="25" t="str">
        <f ca="1">IF(NOTA[[#This Row],[ID_H]]="","",MATCH(NOTA[[#This Row],[NB NOTA_C_QTY]],[3]!db[NB NOTA_C_QTY+F],0))</f>
        <v/>
      </c>
      <c r="AZ860" s="38" t="str">
        <f ca="1">IF(NOTA[[#This Row],[NB NOTA_C_QTY]]="","",ROW()-2)</f>
        <v/>
      </c>
    </row>
    <row r="861" spans="1:52" ht="20.100000000000001" customHeight="1">
      <c r="A8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1" s="25" t="str">
        <f ca="1">IF(NOTA[[#This Row],[NAMA BARANG]]="","",INDEX(NOTA[ID],MATCH(,INDIRECT(ADDRESS(ROW(NOTA[ID]),COLUMN(NOTA[ID]))&amp;":"&amp;ADDRESS(ROW(),COLUMN(NOTA[ID]))),-1)))</f>
        <v/>
      </c>
      <c r="E861" s="33"/>
      <c r="H861" s="34"/>
      <c r="Q861" s="29"/>
      <c r="R861" s="35"/>
      <c r="S861" s="36"/>
      <c r="V861" s="37"/>
      <c r="W861" s="32"/>
      <c r="X861" s="37" t="str">
        <f>IF(NOTA[[#This Row],[HARGA/ CTN]]="",NOTA[[#This Row],[JUMLAH_H]],NOTA[[#This Row],[HARGA/ CTN]]*IF(NOTA[[#This Row],[C]]="",0,NOTA[[#This Row],[C]]))</f>
        <v/>
      </c>
      <c r="Y861" s="37" t="str">
        <f>IF(NOTA[[#This Row],[JUMLAH]]="","",NOTA[[#This Row],[JUMLAH]]*NOTA[[#This Row],[DISC 1]])</f>
        <v/>
      </c>
      <c r="Z861" s="37" t="str">
        <f>IF(NOTA[[#This Row],[JUMLAH]]="","",(NOTA[[#This Row],[JUMLAH]]-NOTA[[#This Row],[DISC 1-]])*NOTA[[#This Row],[DISC 2]])</f>
        <v/>
      </c>
      <c r="AA861" s="37" t="str">
        <f>IF(NOTA[[#This Row],[JUMLAH]]="","",(NOTA[[#This Row],[JUMLAH]]-NOTA[[#This Row],[DISC 1-]]-NOTA[[#This Row],[DISC 2-]])*NOTA[[#This Row],[DISC 3]])</f>
        <v/>
      </c>
      <c r="AB861" s="37" t="str">
        <f>IF(NOTA[[#This Row],[JUMLAH]]="","",NOTA[[#This Row],[DISC 1-]]+NOTA[[#This Row],[DISC 2-]]+NOTA[[#This Row],[DISC 3-]])</f>
        <v/>
      </c>
      <c r="AC861" s="37" t="str">
        <f>IF(NOTA[[#This Row],[JUMLAH]]="","",NOTA[[#This Row],[JUMLAH]]-NOTA[[#This Row],[DISC]])</f>
        <v/>
      </c>
      <c r="AD861" s="37"/>
      <c r="AE8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1" s="37" t="str">
        <f>IF(OR(NOTA[[#This Row],[QTY]]="",NOTA[[#This Row],[HARGA SATUAN]]="",),"",NOTA[[#This Row],[QTY]]*NOTA[[#This Row],[HARGA SATUAN]])</f>
        <v/>
      </c>
      <c r="AI861" s="26" t="str">
        <f ca="1">IF(NOTA[[#This Row],[ID_H]]="","",INDEX(NOTA[TANGGAL],MATCH(,INDIRECT(ADDRESS(ROW(NOTA[TANGGAL]),COLUMN(NOTA[TANGGAL]))&amp;":"&amp;ADDRESS(ROW(),COLUMN(NOTA[TANGGAL]))),-1)))</f>
        <v/>
      </c>
      <c r="AJ861" s="26" t="str">
        <f ca="1">IF(NOTA[[#This Row],[ID_H]]="","",INDEX(NOTA[TGL.NOTA],MATCH(,INDIRECT(ADDRESS(ROW(NOTA[TGL.NOTA]),COLUMN(NOTA[TGL.NOTA]))&amp;":"&amp;ADDRESS(ROW(),COLUMN(NOTA[TGL.NOTA]))),-1)))</f>
        <v/>
      </c>
      <c r="AK861" s="26" t="str">
        <f ca="1">IF(NOTA[[#This Row],[ID_H]]="","",INDEX(NOTA[NO.NOTA],MATCH(NOTA[[#This Row],[ID_H]],NOTA[ID_H],0)))</f>
        <v/>
      </c>
      <c r="AL861" s="28" t="str">
        <f ca="1">IF(NOTA[[#This Row],[NAMA BARANG]]="","",INDEX(NOTA[SUPPLIER],MATCH(,INDIRECT(ADDRESS(ROW(NOTA[ID]),COLUMN(NOTA[ID]))&amp;":"&amp;ADDRESS(ROW(),COLUMN(NOTA[ID]))),-1)))</f>
        <v/>
      </c>
      <c r="AM861" s="28" t="str">
        <f ca="1">IF(NOTA[[#This Row],[ID_H]]="","",IF(NOTA[[#This Row],[FAKTUR]]="",INDIRECT(ADDRESS(ROW()-1,COLUMN())),NOTA[[#This Row],[FAKTUR]]))</f>
        <v/>
      </c>
      <c r="AN861" s="25" t="str">
        <f ca="1">IF(NOTA[[#This Row],[ID]]="","",COUNTIF(NOTA[ID_H],NOTA[[#This Row],[ID_H]]))</f>
        <v/>
      </c>
      <c r="AO861" s="25" t="str">
        <f ca="1">IF(NOTA[[#This Row],[TGL.NOTA]]="",IF(NOTA[[#This Row],[SUPPLIER_H]]="","",AO860),MONTH(NOTA[[#This Row],[TGL.NOTA]]))</f>
        <v/>
      </c>
      <c r="AP8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1" s="25"/>
      <c r="AU861" s="25" t="str">
        <f>IF(NOTA[[#This Row],[CONCAT1]]="","",MATCH(NOTA[[#This Row],[CONCAT1]],[3]!db[NB NOTA_C],0))</f>
        <v/>
      </c>
      <c r="AV861" s="25" t="str">
        <f>IF(NOTA[[#This Row],[QTY/ CTN]]="","",TRUE)</f>
        <v/>
      </c>
      <c r="AW861" s="25" t="str">
        <f ca="1">IF(NOTA[[#This Row],[ID_H]]="","",IF(NOTA[[#This Row],[Column3]]=TRUE,NOTA[[#This Row],[QTY/ CTN]],INDEX([3]!db[QTY/ CTN],NOTA[[#This Row],[//DB]])))</f>
        <v/>
      </c>
      <c r="AX8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1" s="25" t="str">
        <f ca="1">IF(NOTA[[#This Row],[ID_H]]="","",MATCH(NOTA[[#This Row],[NB NOTA_C_QTY]],[3]!db[NB NOTA_C_QTY+F],0))</f>
        <v/>
      </c>
      <c r="AZ861" s="38" t="str">
        <f ca="1">IF(NOTA[[#This Row],[NB NOTA_C_QTY]]="","",ROW()-2)</f>
        <v/>
      </c>
    </row>
    <row r="862" spans="1:52" ht="20.100000000000001" customHeight="1">
      <c r="A8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2" s="25" t="str">
        <f ca="1">IF(NOTA[[#This Row],[NAMA BARANG]]="","",INDEX(NOTA[ID],MATCH(,INDIRECT(ADDRESS(ROW(NOTA[ID]),COLUMN(NOTA[ID]))&amp;":"&amp;ADDRESS(ROW(),COLUMN(NOTA[ID]))),-1)))</f>
        <v/>
      </c>
      <c r="E862" s="33"/>
      <c r="H862" s="34"/>
      <c r="Q862" s="29"/>
      <c r="R862" s="35"/>
      <c r="S862" s="36"/>
      <c r="V862" s="37"/>
      <c r="W862" s="32"/>
      <c r="X862" s="37" t="str">
        <f>IF(NOTA[[#This Row],[HARGA/ CTN]]="",NOTA[[#This Row],[JUMLAH_H]],NOTA[[#This Row],[HARGA/ CTN]]*IF(NOTA[[#This Row],[C]]="",0,NOTA[[#This Row],[C]]))</f>
        <v/>
      </c>
      <c r="Y862" s="37" t="str">
        <f>IF(NOTA[[#This Row],[JUMLAH]]="","",NOTA[[#This Row],[JUMLAH]]*NOTA[[#This Row],[DISC 1]])</f>
        <v/>
      </c>
      <c r="Z862" s="37" t="str">
        <f>IF(NOTA[[#This Row],[JUMLAH]]="","",(NOTA[[#This Row],[JUMLAH]]-NOTA[[#This Row],[DISC 1-]])*NOTA[[#This Row],[DISC 2]])</f>
        <v/>
      </c>
      <c r="AA862" s="37" t="str">
        <f>IF(NOTA[[#This Row],[JUMLAH]]="","",(NOTA[[#This Row],[JUMLAH]]-NOTA[[#This Row],[DISC 1-]]-NOTA[[#This Row],[DISC 2-]])*NOTA[[#This Row],[DISC 3]])</f>
        <v/>
      </c>
      <c r="AB862" s="37" t="str">
        <f>IF(NOTA[[#This Row],[JUMLAH]]="","",NOTA[[#This Row],[DISC 1-]]+NOTA[[#This Row],[DISC 2-]]+NOTA[[#This Row],[DISC 3-]])</f>
        <v/>
      </c>
      <c r="AC862" s="37" t="str">
        <f>IF(NOTA[[#This Row],[JUMLAH]]="","",NOTA[[#This Row],[JUMLAH]]-NOTA[[#This Row],[DISC]])</f>
        <v/>
      </c>
      <c r="AD862" s="37"/>
      <c r="AE8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2" s="37" t="str">
        <f>IF(OR(NOTA[[#This Row],[QTY]]="",NOTA[[#This Row],[HARGA SATUAN]]="",),"",NOTA[[#This Row],[QTY]]*NOTA[[#This Row],[HARGA SATUAN]])</f>
        <v/>
      </c>
      <c r="AI862" s="26" t="str">
        <f ca="1">IF(NOTA[[#This Row],[ID_H]]="","",INDEX(NOTA[TANGGAL],MATCH(,INDIRECT(ADDRESS(ROW(NOTA[TANGGAL]),COLUMN(NOTA[TANGGAL]))&amp;":"&amp;ADDRESS(ROW(),COLUMN(NOTA[TANGGAL]))),-1)))</f>
        <v/>
      </c>
      <c r="AJ862" s="26" t="str">
        <f ca="1">IF(NOTA[[#This Row],[ID_H]]="","",INDEX(NOTA[TGL.NOTA],MATCH(,INDIRECT(ADDRESS(ROW(NOTA[TGL.NOTA]),COLUMN(NOTA[TGL.NOTA]))&amp;":"&amp;ADDRESS(ROW(),COLUMN(NOTA[TGL.NOTA]))),-1)))</f>
        <v/>
      </c>
      <c r="AK862" s="26" t="str">
        <f ca="1">IF(NOTA[[#This Row],[ID_H]]="","",INDEX(NOTA[NO.NOTA],MATCH(NOTA[[#This Row],[ID_H]],NOTA[ID_H],0)))</f>
        <v/>
      </c>
      <c r="AL862" s="28" t="str">
        <f ca="1">IF(NOTA[[#This Row],[NAMA BARANG]]="","",INDEX(NOTA[SUPPLIER],MATCH(,INDIRECT(ADDRESS(ROW(NOTA[ID]),COLUMN(NOTA[ID]))&amp;":"&amp;ADDRESS(ROW(),COLUMN(NOTA[ID]))),-1)))</f>
        <v/>
      </c>
      <c r="AM862" s="28" t="str">
        <f ca="1">IF(NOTA[[#This Row],[ID_H]]="","",IF(NOTA[[#This Row],[FAKTUR]]="",INDIRECT(ADDRESS(ROW()-1,COLUMN())),NOTA[[#This Row],[FAKTUR]]))</f>
        <v/>
      </c>
      <c r="AN862" s="25" t="str">
        <f ca="1">IF(NOTA[[#This Row],[ID]]="","",COUNTIF(NOTA[ID_H],NOTA[[#This Row],[ID_H]]))</f>
        <v/>
      </c>
      <c r="AO862" s="25" t="str">
        <f ca="1">IF(NOTA[[#This Row],[TGL.NOTA]]="",IF(NOTA[[#This Row],[SUPPLIER_H]]="","",AO861),MONTH(NOTA[[#This Row],[TGL.NOTA]]))</f>
        <v/>
      </c>
      <c r="AP8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2" s="25"/>
      <c r="AU862" s="25" t="str">
        <f>IF(NOTA[[#This Row],[CONCAT1]]="","",MATCH(NOTA[[#This Row],[CONCAT1]],[3]!db[NB NOTA_C],0))</f>
        <v/>
      </c>
      <c r="AV862" s="25" t="str">
        <f>IF(NOTA[[#This Row],[QTY/ CTN]]="","",TRUE)</f>
        <v/>
      </c>
      <c r="AW862" s="25" t="str">
        <f ca="1">IF(NOTA[[#This Row],[ID_H]]="","",IF(NOTA[[#This Row],[Column3]]=TRUE,NOTA[[#This Row],[QTY/ CTN]],INDEX([3]!db[QTY/ CTN],NOTA[[#This Row],[//DB]])))</f>
        <v/>
      </c>
      <c r="AX8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2" s="25" t="str">
        <f ca="1">IF(NOTA[[#This Row],[ID_H]]="","",MATCH(NOTA[[#This Row],[NB NOTA_C_QTY]],[3]!db[NB NOTA_C_QTY+F],0))</f>
        <v/>
      </c>
      <c r="AZ862" s="38" t="str">
        <f ca="1">IF(NOTA[[#This Row],[NB NOTA_C_QTY]]="","",ROW()-2)</f>
        <v/>
      </c>
    </row>
    <row r="863" spans="1:52" ht="20.100000000000001" customHeight="1">
      <c r="A8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3" s="25" t="str">
        <f ca="1">IF(NOTA[[#This Row],[NAMA BARANG]]="","",INDEX(NOTA[ID],MATCH(,INDIRECT(ADDRESS(ROW(NOTA[ID]),COLUMN(NOTA[ID]))&amp;":"&amp;ADDRESS(ROW(),COLUMN(NOTA[ID]))),-1)))</f>
        <v/>
      </c>
      <c r="E863" s="33"/>
      <c r="H863" s="34"/>
      <c r="Q863" s="29"/>
      <c r="R863" s="35"/>
      <c r="S863" s="36"/>
      <c r="V863" s="37"/>
      <c r="W863" s="32"/>
      <c r="X863" s="37" t="str">
        <f>IF(NOTA[[#This Row],[HARGA/ CTN]]="",NOTA[[#This Row],[JUMLAH_H]],NOTA[[#This Row],[HARGA/ CTN]]*IF(NOTA[[#This Row],[C]]="",0,NOTA[[#This Row],[C]]))</f>
        <v/>
      </c>
      <c r="Y863" s="37" t="str">
        <f>IF(NOTA[[#This Row],[JUMLAH]]="","",NOTA[[#This Row],[JUMLAH]]*NOTA[[#This Row],[DISC 1]])</f>
        <v/>
      </c>
      <c r="Z863" s="37" t="str">
        <f>IF(NOTA[[#This Row],[JUMLAH]]="","",(NOTA[[#This Row],[JUMLAH]]-NOTA[[#This Row],[DISC 1-]])*NOTA[[#This Row],[DISC 2]])</f>
        <v/>
      </c>
      <c r="AA863" s="37" t="str">
        <f>IF(NOTA[[#This Row],[JUMLAH]]="","",(NOTA[[#This Row],[JUMLAH]]-NOTA[[#This Row],[DISC 1-]]-NOTA[[#This Row],[DISC 2-]])*NOTA[[#This Row],[DISC 3]])</f>
        <v/>
      </c>
      <c r="AB863" s="37" t="str">
        <f>IF(NOTA[[#This Row],[JUMLAH]]="","",NOTA[[#This Row],[DISC 1-]]+NOTA[[#This Row],[DISC 2-]]+NOTA[[#This Row],[DISC 3-]])</f>
        <v/>
      </c>
      <c r="AC863" s="37" t="str">
        <f>IF(NOTA[[#This Row],[JUMLAH]]="","",NOTA[[#This Row],[JUMLAH]]-NOTA[[#This Row],[DISC]])</f>
        <v/>
      </c>
      <c r="AD863" s="37"/>
      <c r="AE8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3" s="37" t="str">
        <f>IF(OR(NOTA[[#This Row],[QTY]]="",NOTA[[#This Row],[HARGA SATUAN]]="",),"",NOTA[[#This Row],[QTY]]*NOTA[[#This Row],[HARGA SATUAN]])</f>
        <v/>
      </c>
      <c r="AI863" s="26" t="str">
        <f ca="1">IF(NOTA[[#This Row],[ID_H]]="","",INDEX(NOTA[TANGGAL],MATCH(,INDIRECT(ADDRESS(ROW(NOTA[TANGGAL]),COLUMN(NOTA[TANGGAL]))&amp;":"&amp;ADDRESS(ROW(),COLUMN(NOTA[TANGGAL]))),-1)))</f>
        <v/>
      </c>
      <c r="AJ863" s="26" t="str">
        <f ca="1">IF(NOTA[[#This Row],[ID_H]]="","",INDEX(NOTA[TGL.NOTA],MATCH(,INDIRECT(ADDRESS(ROW(NOTA[TGL.NOTA]),COLUMN(NOTA[TGL.NOTA]))&amp;":"&amp;ADDRESS(ROW(),COLUMN(NOTA[TGL.NOTA]))),-1)))</f>
        <v/>
      </c>
      <c r="AK863" s="26" t="str">
        <f ca="1">IF(NOTA[[#This Row],[ID_H]]="","",INDEX(NOTA[NO.NOTA],MATCH(NOTA[[#This Row],[ID_H]],NOTA[ID_H],0)))</f>
        <v/>
      </c>
      <c r="AL863" s="28" t="str">
        <f ca="1">IF(NOTA[[#This Row],[NAMA BARANG]]="","",INDEX(NOTA[SUPPLIER],MATCH(,INDIRECT(ADDRESS(ROW(NOTA[ID]),COLUMN(NOTA[ID]))&amp;":"&amp;ADDRESS(ROW(),COLUMN(NOTA[ID]))),-1)))</f>
        <v/>
      </c>
      <c r="AM863" s="28" t="str">
        <f ca="1">IF(NOTA[[#This Row],[ID_H]]="","",IF(NOTA[[#This Row],[FAKTUR]]="",INDIRECT(ADDRESS(ROW()-1,COLUMN())),NOTA[[#This Row],[FAKTUR]]))</f>
        <v/>
      </c>
      <c r="AN863" s="25" t="str">
        <f ca="1">IF(NOTA[[#This Row],[ID]]="","",COUNTIF(NOTA[ID_H],NOTA[[#This Row],[ID_H]]))</f>
        <v/>
      </c>
      <c r="AO863" s="25" t="str">
        <f ca="1">IF(NOTA[[#This Row],[TGL.NOTA]]="",IF(NOTA[[#This Row],[SUPPLIER_H]]="","",AO862),MONTH(NOTA[[#This Row],[TGL.NOTA]]))</f>
        <v/>
      </c>
      <c r="AP8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3" s="25"/>
      <c r="AU863" s="25" t="str">
        <f>IF(NOTA[[#This Row],[CONCAT1]]="","",MATCH(NOTA[[#This Row],[CONCAT1]],[3]!db[NB NOTA_C],0))</f>
        <v/>
      </c>
      <c r="AV863" s="25" t="str">
        <f>IF(NOTA[[#This Row],[QTY/ CTN]]="","",TRUE)</f>
        <v/>
      </c>
      <c r="AW863" s="25" t="str">
        <f ca="1">IF(NOTA[[#This Row],[ID_H]]="","",IF(NOTA[[#This Row],[Column3]]=TRUE,NOTA[[#This Row],[QTY/ CTN]],INDEX([3]!db[QTY/ CTN],NOTA[[#This Row],[//DB]])))</f>
        <v/>
      </c>
      <c r="AX8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3" s="25" t="str">
        <f ca="1">IF(NOTA[[#This Row],[ID_H]]="","",MATCH(NOTA[[#This Row],[NB NOTA_C_QTY]],[3]!db[NB NOTA_C_QTY+F],0))</f>
        <v/>
      </c>
      <c r="AZ863" s="38" t="str">
        <f ca="1">IF(NOTA[[#This Row],[NB NOTA_C_QTY]]="","",ROW()-2)</f>
        <v/>
      </c>
    </row>
    <row r="864" spans="1:52" ht="20.100000000000001" customHeight="1">
      <c r="A8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4" s="25" t="str">
        <f ca="1">IF(NOTA[[#This Row],[NAMA BARANG]]="","",INDEX(NOTA[ID],MATCH(,INDIRECT(ADDRESS(ROW(NOTA[ID]),COLUMN(NOTA[ID]))&amp;":"&amp;ADDRESS(ROW(),COLUMN(NOTA[ID]))),-1)))</f>
        <v/>
      </c>
      <c r="E864" s="33"/>
      <c r="H864" s="34"/>
      <c r="Q864" s="29"/>
      <c r="R864" s="35"/>
      <c r="S864" s="36"/>
      <c r="V864" s="37"/>
      <c r="W864" s="32"/>
      <c r="X864" s="37" t="str">
        <f>IF(NOTA[[#This Row],[HARGA/ CTN]]="",NOTA[[#This Row],[JUMLAH_H]],NOTA[[#This Row],[HARGA/ CTN]]*IF(NOTA[[#This Row],[C]]="",0,NOTA[[#This Row],[C]]))</f>
        <v/>
      </c>
      <c r="Y864" s="37" t="str">
        <f>IF(NOTA[[#This Row],[JUMLAH]]="","",NOTA[[#This Row],[JUMLAH]]*NOTA[[#This Row],[DISC 1]])</f>
        <v/>
      </c>
      <c r="Z864" s="37" t="str">
        <f>IF(NOTA[[#This Row],[JUMLAH]]="","",(NOTA[[#This Row],[JUMLAH]]-NOTA[[#This Row],[DISC 1-]])*NOTA[[#This Row],[DISC 2]])</f>
        <v/>
      </c>
      <c r="AA864" s="37" t="str">
        <f>IF(NOTA[[#This Row],[JUMLAH]]="","",(NOTA[[#This Row],[JUMLAH]]-NOTA[[#This Row],[DISC 1-]]-NOTA[[#This Row],[DISC 2-]])*NOTA[[#This Row],[DISC 3]])</f>
        <v/>
      </c>
      <c r="AB864" s="37" t="str">
        <f>IF(NOTA[[#This Row],[JUMLAH]]="","",NOTA[[#This Row],[DISC 1-]]+NOTA[[#This Row],[DISC 2-]]+NOTA[[#This Row],[DISC 3-]])</f>
        <v/>
      </c>
      <c r="AC864" s="37" t="str">
        <f>IF(NOTA[[#This Row],[JUMLAH]]="","",NOTA[[#This Row],[JUMLAH]]-NOTA[[#This Row],[DISC]])</f>
        <v/>
      </c>
      <c r="AD864" s="37"/>
      <c r="AE8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4" s="37" t="str">
        <f>IF(OR(NOTA[[#This Row],[QTY]]="",NOTA[[#This Row],[HARGA SATUAN]]="",),"",NOTA[[#This Row],[QTY]]*NOTA[[#This Row],[HARGA SATUAN]])</f>
        <v/>
      </c>
      <c r="AI864" s="26" t="str">
        <f ca="1">IF(NOTA[[#This Row],[ID_H]]="","",INDEX(NOTA[TANGGAL],MATCH(,INDIRECT(ADDRESS(ROW(NOTA[TANGGAL]),COLUMN(NOTA[TANGGAL]))&amp;":"&amp;ADDRESS(ROW(),COLUMN(NOTA[TANGGAL]))),-1)))</f>
        <v/>
      </c>
      <c r="AJ864" s="26" t="str">
        <f ca="1">IF(NOTA[[#This Row],[ID_H]]="","",INDEX(NOTA[TGL.NOTA],MATCH(,INDIRECT(ADDRESS(ROW(NOTA[TGL.NOTA]),COLUMN(NOTA[TGL.NOTA]))&amp;":"&amp;ADDRESS(ROW(),COLUMN(NOTA[TGL.NOTA]))),-1)))</f>
        <v/>
      </c>
      <c r="AK864" s="26" t="str">
        <f ca="1">IF(NOTA[[#This Row],[ID_H]]="","",INDEX(NOTA[NO.NOTA],MATCH(NOTA[[#This Row],[ID_H]],NOTA[ID_H],0)))</f>
        <v/>
      </c>
      <c r="AL864" s="28" t="str">
        <f ca="1">IF(NOTA[[#This Row],[NAMA BARANG]]="","",INDEX(NOTA[SUPPLIER],MATCH(,INDIRECT(ADDRESS(ROW(NOTA[ID]),COLUMN(NOTA[ID]))&amp;":"&amp;ADDRESS(ROW(),COLUMN(NOTA[ID]))),-1)))</f>
        <v/>
      </c>
      <c r="AM864" s="28" t="str">
        <f ca="1">IF(NOTA[[#This Row],[ID_H]]="","",IF(NOTA[[#This Row],[FAKTUR]]="",INDIRECT(ADDRESS(ROW()-1,COLUMN())),NOTA[[#This Row],[FAKTUR]]))</f>
        <v/>
      </c>
      <c r="AN864" s="25" t="str">
        <f ca="1">IF(NOTA[[#This Row],[ID]]="","",COUNTIF(NOTA[ID_H],NOTA[[#This Row],[ID_H]]))</f>
        <v/>
      </c>
      <c r="AO864" s="25" t="str">
        <f ca="1">IF(NOTA[[#This Row],[TGL.NOTA]]="",IF(NOTA[[#This Row],[SUPPLIER_H]]="","",AO863),MONTH(NOTA[[#This Row],[TGL.NOTA]]))</f>
        <v/>
      </c>
      <c r="AP8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4" s="25"/>
      <c r="AU864" s="25" t="str">
        <f>IF(NOTA[[#This Row],[CONCAT1]]="","",MATCH(NOTA[[#This Row],[CONCAT1]],[3]!db[NB NOTA_C],0))</f>
        <v/>
      </c>
      <c r="AV864" s="25" t="str">
        <f>IF(NOTA[[#This Row],[QTY/ CTN]]="","",TRUE)</f>
        <v/>
      </c>
      <c r="AW864" s="25" t="str">
        <f ca="1">IF(NOTA[[#This Row],[ID_H]]="","",IF(NOTA[[#This Row],[Column3]]=TRUE,NOTA[[#This Row],[QTY/ CTN]],INDEX([3]!db[QTY/ CTN],NOTA[[#This Row],[//DB]])))</f>
        <v/>
      </c>
      <c r="AX8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4" s="25" t="str">
        <f ca="1">IF(NOTA[[#This Row],[ID_H]]="","",MATCH(NOTA[[#This Row],[NB NOTA_C_QTY]],[3]!db[NB NOTA_C_QTY+F],0))</f>
        <v/>
      </c>
      <c r="AZ864" s="38" t="str">
        <f ca="1">IF(NOTA[[#This Row],[NB NOTA_C_QTY]]="","",ROW()-2)</f>
        <v/>
      </c>
    </row>
    <row r="865" spans="1:52" ht="20.100000000000001" customHeight="1">
      <c r="A8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5" s="25" t="str">
        <f ca="1">IF(NOTA[[#This Row],[NAMA BARANG]]="","",INDEX(NOTA[ID],MATCH(,INDIRECT(ADDRESS(ROW(NOTA[ID]),COLUMN(NOTA[ID]))&amp;":"&amp;ADDRESS(ROW(),COLUMN(NOTA[ID]))),-1)))</f>
        <v/>
      </c>
      <c r="E865" s="33"/>
      <c r="H865" s="34"/>
      <c r="Q865" s="29"/>
      <c r="R865" s="35"/>
      <c r="S865" s="36"/>
      <c r="V865" s="37"/>
      <c r="W865" s="32"/>
      <c r="X865" s="37" t="str">
        <f>IF(NOTA[[#This Row],[HARGA/ CTN]]="",NOTA[[#This Row],[JUMLAH_H]],NOTA[[#This Row],[HARGA/ CTN]]*IF(NOTA[[#This Row],[C]]="",0,NOTA[[#This Row],[C]]))</f>
        <v/>
      </c>
      <c r="Y865" s="37" t="str">
        <f>IF(NOTA[[#This Row],[JUMLAH]]="","",NOTA[[#This Row],[JUMLAH]]*NOTA[[#This Row],[DISC 1]])</f>
        <v/>
      </c>
      <c r="Z865" s="37" t="str">
        <f>IF(NOTA[[#This Row],[JUMLAH]]="","",(NOTA[[#This Row],[JUMLAH]]-NOTA[[#This Row],[DISC 1-]])*NOTA[[#This Row],[DISC 2]])</f>
        <v/>
      </c>
      <c r="AA865" s="37" t="str">
        <f>IF(NOTA[[#This Row],[JUMLAH]]="","",(NOTA[[#This Row],[JUMLAH]]-NOTA[[#This Row],[DISC 1-]]-NOTA[[#This Row],[DISC 2-]])*NOTA[[#This Row],[DISC 3]])</f>
        <v/>
      </c>
      <c r="AB865" s="37" t="str">
        <f>IF(NOTA[[#This Row],[JUMLAH]]="","",NOTA[[#This Row],[DISC 1-]]+NOTA[[#This Row],[DISC 2-]]+NOTA[[#This Row],[DISC 3-]])</f>
        <v/>
      </c>
      <c r="AC865" s="37" t="str">
        <f>IF(NOTA[[#This Row],[JUMLAH]]="","",NOTA[[#This Row],[JUMLAH]]-NOTA[[#This Row],[DISC]])</f>
        <v/>
      </c>
      <c r="AD865" s="37"/>
      <c r="AE8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5" s="37" t="str">
        <f>IF(OR(NOTA[[#This Row],[QTY]]="",NOTA[[#This Row],[HARGA SATUAN]]="",),"",NOTA[[#This Row],[QTY]]*NOTA[[#This Row],[HARGA SATUAN]])</f>
        <v/>
      </c>
      <c r="AI865" s="26" t="str">
        <f ca="1">IF(NOTA[[#This Row],[ID_H]]="","",INDEX(NOTA[TANGGAL],MATCH(,INDIRECT(ADDRESS(ROW(NOTA[TANGGAL]),COLUMN(NOTA[TANGGAL]))&amp;":"&amp;ADDRESS(ROW(),COLUMN(NOTA[TANGGAL]))),-1)))</f>
        <v/>
      </c>
      <c r="AJ865" s="26" t="str">
        <f ca="1">IF(NOTA[[#This Row],[ID_H]]="","",INDEX(NOTA[TGL.NOTA],MATCH(,INDIRECT(ADDRESS(ROW(NOTA[TGL.NOTA]),COLUMN(NOTA[TGL.NOTA]))&amp;":"&amp;ADDRESS(ROW(),COLUMN(NOTA[TGL.NOTA]))),-1)))</f>
        <v/>
      </c>
      <c r="AK865" s="26" t="str">
        <f ca="1">IF(NOTA[[#This Row],[ID_H]]="","",INDEX(NOTA[NO.NOTA],MATCH(NOTA[[#This Row],[ID_H]],NOTA[ID_H],0)))</f>
        <v/>
      </c>
      <c r="AL865" s="28" t="str">
        <f ca="1">IF(NOTA[[#This Row],[NAMA BARANG]]="","",INDEX(NOTA[SUPPLIER],MATCH(,INDIRECT(ADDRESS(ROW(NOTA[ID]),COLUMN(NOTA[ID]))&amp;":"&amp;ADDRESS(ROW(),COLUMN(NOTA[ID]))),-1)))</f>
        <v/>
      </c>
      <c r="AM865" s="28" t="str">
        <f ca="1">IF(NOTA[[#This Row],[ID_H]]="","",IF(NOTA[[#This Row],[FAKTUR]]="",INDIRECT(ADDRESS(ROW()-1,COLUMN())),NOTA[[#This Row],[FAKTUR]]))</f>
        <v/>
      </c>
      <c r="AN865" s="25" t="str">
        <f ca="1">IF(NOTA[[#This Row],[ID]]="","",COUNTIF(NOTA[ID_H],NOTA[[#This Row],[ID_H]]))</f>
        <v/>
      </c>
      <c r="AO865" s="25" t="str">
        <f ca="1">IF(NOTA[[#This Row],[TGL.NOTA]]="",IF(NOTA[[#This Row],[SUPPLIER_H]]="","",AO864),MONTH(NOTA[[#This Row],[TGL.NOTA]]))</f>
        <v/>
      </c>
      <c r="AP8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5" s="25"/>
      <c r="AU865" s="25" t="str">
        <f>IF(NOTA[[#This Row],[CONCAT1]]="","",MATCH(NOTA[[#This Row],[CONCAT1]],[3]!db[NB NOTA_C],0))</f>
        <v/>
      </c>
      <c r="AV865" s="25" t="str">
        <f>IF(NOTA[[#This Row],[QTY/ CTN]]="","",TRUE)</f>
        <v/>
      </c>
      <c r="AW865" s="25" t="str">
        <f ca="1">IF(NOTA[[#This Row],[ID_H]]="","",IF(NOTA[[#This Row],[Column3]]=TRUE,NOTA[[#This Row],[QTY/ CTN]],INDEX([3]!db[QTY/ CTN],NOTA[[#This Row],[//DB]])))</f>
        <v/>
      </c>
      <c r="AX8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5" s="25" t="str">
        <f ca="1">IF(NOTA[[#This Row],[ID_H]]="","",MATCH(NOTA[[#This Row],[NB NOTA_C_QTY]],[3]!db[NB NOTA_C_QTY+F],0))</f>
        <v/>
      </c>
      <c r="AZ865" s="38" t="str">
        <f ca="1">IF(NOTA[[#This Row],[NB NOTA_C_QTY]]="","",ROW()-2)</f>
        <v/>
      </c>
    </row>
    <row r="866" spans="1:52" ht="20.100000000000001" customHeight="1">
      <c r="A8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6" s="25" t="str">
        <f ca="1">IF(NOTA[[#This Row],[NAMA BARANG]]="","",INDEX(NOTA[ID],MATCH(,INDIRECT(ADDRESS(ROW(NOTA[ID]),COLUMN(NOTA[ID]))&amp;":"&amp;ADDRESS(ROW(),COLUMN(NOTA[ID]))),-1)))</f>
        <v/>
      </c>
      <c r="E866" s="33"/>
      <c r="H866" s="34"/>
      <c r="Q866" s="29"/>
      <c r="R866" s="35"/>
      <c r="S866" s="36"/>
      <c r="V866" s="37"/>
      <c r="W866" s="32"/>
      <c r="X866" s="37" t="str">
        <f>IF(NOTA[[#This Row],[HARGA/ CTN]]="",NOTA[[#This Row],[JUMLAH_H]],NOTA[[#This Row],[HARGA/ CTN]]*IF(NOTA[[#This Row],[C]]="",0,NOTA[[#This Row],[C]]))</f>
        <v/>
      </c>
      <c r="Y866" s="37" t="str">
        <f>IF(NOTA[[#This Row],[JUMLAH]]="","",NOTA[[#This Row],[JUMLAH]]*NOTA[[#This Row],[DISC 1]])</f>
        <v/>
      </c>
      <c r="Z866" s="37" t="str">
        <f>IF(NOTA[[#This Row],[JUMLAH]]="","",(NOTA[[#This Row],[JUMLAH]]-NOTA[[#This Row],[DISC 1-]])*NOTA[[#This Row],[DISC 2]])</f>
        <v/>
      </c>
      <c r="AA866" s="37" t="str">
        <f>IF(NOTA[[#This Row],[JUMLAH]]="","",(NOTA[[#This Row],[JUMLAH]]-NOTA[[#This Row],[DISC 1-]]-NOTA[[#This Row],[DISC 2-]])*NOTA[[#This Row],[DISC 3]])</f>
        <v/>
      </c>
      <c r="AB866" s="37" t="str">
        <f>IF(NOTA[[#This Row],[JUMLAH]]="","",NOTA[[#This Row],[DISC 1-]]+NOTA[[#This Row],[DISC 2-]]+NOTA[[#This Row],[DISC 3-]])</f>
        <v/>
      </c>
      <c r="AC866" s="37" t="str">
        <f>IF(NOTA[[#This Row],[JUMLAH]]="","",NOTA[[#This Row],[JUMLAH]]-NOTA[[#This Row],[DISC]])</f>
        <v/>
      </c>
      <c r="AD866" s="37"/>
      <c r="AE8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6" s="37" t="str">
        <f>IF(OR(NOTA[[#This Row],[QTY]]="",NOTA[[#This Row],[HARGA SATUAN]]="",),"",NOTA[[#This Row],[QTY]]*NOTA[[#This Row],[HARGA SATUAN]])</f>
        <v/>
      </c>
      <c r="AI866" s="26" t="str">
        <f ca="1">IF(NOTA[[#This Row],[ID_H]]="","",INDEX(NOTA[TANGGAL],MATCH(,INDIRECT(ADDRESS(ROW(NOTA[TANGGAL]),COLUMN(NOTA[TANGGAL]))&amp;":"&amp;ADDRESS(ROW(),COLUMN(NOTA[TANGGAL]))),-1)))</f>
        <v/>
      </c>
      <c r="AJ866" s="26" t="str">
        <f ca="1">IF(NOTA[[#This Row],[ID_H]]="","",INDEX(NOTA[TGL.NOTA],MATCH(,INDIRECT(ADDRESS(ROW(NOTA[TGL.NOTA]),COLUMN(NOTA[TGL.NOTA]))&amp;":"&amp;ADDRESS(ROW(),COLUMN(NOTA[TGL.NOTA]))),-1)))</f>
        <v/>
      </c>
      <c r="AK866" s="26" t="str">
        <f ca="1">IF(NOTA[[#This Row],[ID_H]]="","",INDEX(NOTA[NO.NOTA],MATCH(NOTA[[#This Row],[ID_H]],NOTA[ID_H],0)))</f>
        <v/>
      </c>
      <c r="AL866" s="28" t="str">
        <f ca="1">IF(NOTA[[#This Row],[NAMA BARANG]]="","",INDEX(NOTA[SUPPLIER],MATCH(,INDIRECT(ADDRESS(ROW(NOTA[ID]),COLUMN(NOTA[ID]))&amp;":"&amp;ADDRESS(ROW(),COLUMN(NOTA[ID]))),-1)))</f>
        <v/>
      </c>
      <c r="AM866" s="28" t="str">
        <f ca="1">IF(NOTA[[#This Row],[ID_H]]="","",IF(NOTA[[#This Row],[FAKTUR]]="",INDIRECT(ADDRESS(ROW()-1,COLUMN())),NOTA[[#This Row],[FAKTUR]]))</f>
        <v/>
      </c>
      <c r="AN866" s="25" t="str">
        <f ca="1">IF(NOTA[[#This Row],[ID]]="","",COUNTIF(NOTA[ID_H],NOTA[[#This Row],[ID_H]]))</f>
        <v/>
      </c>
      <c r="AO866" s="25" t="str">
        <f ca="1">IF(NOTA[[#This Row],[TGL.NOTA]]="",IF(NOTA[[#This Row],[SUPPLIER_H]]="","",AO865),MONTH(NOTA[[#This Row],[TGL.NOTA]]))</f>
        <v/>
      </c>
      <c r="AP8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6" s="25"/>
      <c r="AU866" s="25" t="str">
        <f>IF(NOTA[[#This Row],[CONCAT1]]="","",MATCH(NOTA[[#This Row],[CONCAT1]],[3]!db[NB NOTA_C],0))</f>
        <v/>
      </c>
      <c r="AV866" s="25" t="str">
        <f>IF(NOTA[[#This Row],[QTY/ CTN]]="","",TRUE)</f>
        <v/>
      </c>
      <c r="AW866" s="25" t="str">
        <f ca="1">IF(NOTA[[#This Row],[ID_H]]="","",IF(NOTA[[#This Row],[Column3]]=TRUE,NOTA[[#This Row],[QTY/ CTN]],INDEX([3]!db[QTY/ CTN],NOTA[[#This Row],[//DB]])))</f>
        <v/>
      </c>
      <c r="AX8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6" s="25" t="str">
        <f ca="1">IF(NOTA[[#This Row],[ID_H]]="","",MATCH(NOTA[[#This Row],[NB NOTA_C_QTY]],[3]!db[NB NOTA_C_QTY+F],0))</f>
        <v/>
      </c>
      <c r="AZ866" s="38" t="str">
        <f ca="1">IF(NOTA[[#This Row],[NB NOTA_C_QTY]]="","",ROW()-2)</f>
        <v/>
      </c>
    </row>
    <row r="867" spans="1:52" ht="20.100000000000001" customHeight="1">
      <c r="A8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7" s="25" t="str">
        <f ca="1">IF(NOTA[[#This Row],[NAMA BARANG]]="","",INDEX(NOTA[ID],MATCH(,INDIRECT(ADDRESS(ROW(NOTA[ID]),COLUMN(NOTA[ID]))&amp;":"&amp;ADDRESS(ROW(),COLUMN(NOTA[ID]))),-1)))</f>
        <v/>
      </c>
      <c r="E867" s="33"/>
      <c r="H867" s="34"/>
      <c r="Q867" s="29"/>
      <c r="R867" s="35"/>
      <c r="S867" s="36"/>
      <c r="V867" s="37"/>
      <c r="W867" s="32"/>
      <c r="X867" s="37" t="str">
        <f>IF(NOTA[[#This Row],[HARGA/ CTN]]="",NOTA[[#This Row],[JUMLAH_H]],NOTA[[#This Row],[HARGA/ CTN]]*IF(NOTA[[#This Row],[C]]="",0,NOTA[[#This Row],[C]]))</f>
        <v/>
      </c>
      <c r="Y867" s="37" t="str">
        <f>IF(NOTA[[#This Row],[JUMLAH]]="","",NOTA[[#This Row],[JUMLAH]]*NOTA[[#This Row],[DISC 1]])</f>
        <v/>
      </c>
      <c r="Z867" s="37" t="str">
        <f>IF(NOTA[[#This Row],[JUMLAH]]="","",(NOTA[[#This Row],[JUMLAH]]-NOTA[[#This Row],[DISC 1-]])*NOTA[[#This Row],[DISC 2]])</f>
        <v/>
      </c>
      <c r="AA867" s="37" t="str">
        <f>IF(NOTA[[#This Row],[JUMLAH]]="","",(NOTA[[#This Row],[JUMLAH]]-NOTA[[#This Row],[DISC 1-]]-NOTA[[#This Row],[DISC 2-]])*NOTA[[#This Row],[DISC 3]])</f>
        <v/>
      </c>
      <c r="AB867" s="37" t="str">
        <f>IF(NOTA[[#This Row],[JUMLAH]]="","",NOTA[[#This Row],[DISC 1-]]+NOTA[[#This Row],[DISC 2-]]+NOTA[[#This Row],[DISC 3-]])</f>
        <v/>
      </c>
      <c r="AC867" s="37" t="str">
        <f>IF(NOTA[[#This Row],[JUMLAH]]="","",NOTA[[#This Row],[JUMLAH]]-NOTA[[#This Row],[DISC]])</f>
        <v/>
      </c>
      <c r="AD867" s="37"/>
      <c r="AE8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7" s="37" t="str">
        <f>IF(OR(NOTA[[#This Row],[QTY]]="",NOTA[[#This Row],[HARGA SATUAN]]="",),"",NOTA[[#This Row],[QTY]]*NOTA[[#This Row],[HARGA SATUAN]])</f>
        <v/>
      </c>
      <c r="AI867" s="26" t="str">
        <f ca="1">IF(NOTA[[#This Row],[ID_H]]="","",INDEX(NOTA[TANGGAL],MATCH(,INDIRECT(ADDRESS(ROW(NOTA[TANGGAL]),COLUMN(NOTA[TANGGAL]))&amp;":"&amp;ADDRESS(ROW(),COLUMN(NOTA[TANGGAL]))),-1)))</f>
        <v/>
      </c>
      <c r="AJ867" s="26" t="str">
        <f ca="1">IF(NOTA[[#This Row],[ID_H]]="","",INDEX(NOTA[TGL.NOTA],MATCH(,INDIRECT(ADDRESS(ROW(NOTA[TGL.NOTA]),COLUMN(NOTA[TGL.NOTA]))&amp;":"&amp;ADDRESS(ROW(),COLUMN(NOTA[TGL.NOTA]))),-1)))</f>
        <v/>
      </c>
      <c r="AK867" s="26" t="str">
        <f ca="1">IF(NOTA[[#This Row],[ID_H]]="","",INDEX(NOTA[NO.NOTA],MATCH(NOTA[[#This Row],[ID_H]],NOTA[ID_H],0)))</f>
        <v/>
      </c>
      <c r="AL867" s="28" t="str">
        <f ca="1">IF(NOTA[[#This Row],[NAMA BARANG]]="","",INDEX(NOTA[SUPPLIER],MATCH(,INDIRECT(ADDRESS(ROW(NOTA[ID]),COLUMN(NOTA[ID]))&amp;":"&amp;ADDRESS(ROW(),COLUMN(NOTA[ID]))),-1)))</f>
        <v/>
      </c>
      <c r="AM867" s="28" t="str">
        <f ca="1">IF(NOTA[[#This Row],[ID_H]]="","",IF(NOTA[[#This Row],[FAKTUR]]="",INDIRECT(ADDRESS(ROW()-1,COLUMN())),NOTA[[#This Row],[FAKTUR]]))</f>
        <v/>
      </c>
      <c r="AN867" s="25" t="str">
        <f ca="1">IF(NOTA[[#This Row],[ID]]="","",COUNTIF(NOTA[ID_H],NOTA[[#This Row],[ID_H]]))</f>
        <v/>
      </c>
      <c r="AO867" s="25" t="str">
        <f ca="1">IF(NOTA[[#This Row],[TGL.NOTA]]="",IF(NOTA[[#This Row],[SUPPLIER_H]]="","",AO866),MONTH(NOTA[[#This Row],[TGL.NOTA]]))</f>
        <v/>
      </c>
      <c r="AP8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7" s="25"/>
      <c r="AU867" s="25" t="str">
        <f>IF(NOTA[[#This Row],[CONCAT1]]="","",MATCH(NOTA[[#This Row],[CONCAT1]],[3]!db[NB NOTA_C],0))</f>
        <v/>
      </c>
      <c r="AV867" s="25" t="str">
        <f>IF(NOTA[[#This Row],[QTY/ CTN]]="","",TRUE)</f>
        <v/>
      </c>
      <c r="AW867" s="25" t="str">
        <f ca="1">IF(NOTA[[#This Row],[ID_H]]="","",IF(NOTA[[#This Row],[Column3]]=TRUE,NOTA[[#This Row],[QTY/ CTN]],INDEX([3]!db[QTY/ CTN],NOTA[[#This Row],[//DB]])))</f>
        <v/>
      </c>
      <c r="AX8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7" s="25" t="str">
        <f ca="1">IF(NOTA[[#This Row],[ID_H]]="","",MATCH(NOTA[[#This Row],[NB NOTA_C_QTY]],[3]!db[NB NOTA_C_QTY+F],0))</f>
        <v/>
      </c>
      <c r="AZ867" s="38" t="str">
        <f ca="1">IF(NOTA[[#This Row],[NB NOTA_C_QTY]]="","",ROW()-2)</f>
        <v/>
      </c>
    </row>
    <row r="868" spans="1:52" ht="20.100000000000001" customHeight="1">
      <c r="A8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8" s="25" t="str">
        <f ca="1">IF(NOTA[[#This Row],[NAMA BARANG]]="","",INDEX(NOTA[ID],MATCH(,INDIRECT(ADDRESS(ROW(NOTA[ID]),COLUMN(NOTA[ID]))&amp;":"&amp;ADDRESS(ROW(),COLUMN(NOTA[ID]))),-1)))</f>
        <v/>
      </c>
      <c r="E868" s="33"/>
      <c r="H868" s="34"/>
      <c r="Q868" s="29"/>
      <c r="R868" s="35"/>
      <c r="S868" s="36"/>
      <c r="V868" s="37"/>
      <c r="W868" s="32"/>
      <c r="X868" s="37" t="str">
        <f>IF(NOTA[[#This Row],[HARGA/ CTN]]="",NOTA[[#This Row],[JUMLAH_H]],NOTA[[#This Row],[HARGA/ CTN]]*IF(NOTA[[#This Row],[C]]="",0,NOTA[[#This Row],[C]]))</f>
        <v/>
      </c>
      <c r="Y868" s="37" t="str">
        <f>IF(NOTA[[#This Row],[JUMLAH]]="","",NOTA[[#This Row],[JUMLAH]]*NOTA[[#This Row],[DISC 1]])</f>
        <v/>
      </c>
      <c r="Z868" s="37" t="str">
        <f>IF(NOTA[[#This Row],[JUMLAH]]="","",(NOTA[[#This Row],[JUMLAH]]-NOTA[[#This Row],[DISC 1-]])*NOTA[[#This Row],[DISC 2]])</f>
        <v/>
      </c>
      <c r="AA868" s="37" t="str">
        <f>IF(NOTA[[#This Row],[JUMLAH]]="","",(NOTA[[#This Row],[JUMLAH]]-NOTA[[#This Row],[DISC 1-]]-NOTA[[#This Row],[DISC 2-]])*NOTA[[#This Row],[DISC 3]])</f>
        <v/>
      </c>
      <c r="AB868" s="37" t="str">
        <f>IF(NOTA[[#This Row],[JUMLAH]]="","",NOTA[[#This Row],[DISC 1-]]+NOTA[[#This Row],[DISC 2-]]+NOTA[[#This Row],[DISC 3-]])</f>
        <v/>
      </c>
      <c r="AC868" s="37" t="str">
        <f>IF(NOTA[[#This Row],[JUMLAH]]="","",NOTA[[#This Row],[JUMLAH]]-NOTA[[#This Row],[DISC]])</f>
        <v/>
      </c>
      <c r="AD868" s="37"/>
      <c r="AE8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8" s="37" t="str">
        <f>IF(OR(NOTA[[#This Row],[QTY]]="",NOTA[[#This Row],[HARGA SATUAN]]="",),"",NOTA[[#This Row],[QTY]]*NOTA[[#This Row],[HARGA SATUAN]])</f>
        <v/>
      </c>
      <c r="AI868" s="26" t="str">
        <f ca="1">IF(NOTA[[#This Row],[ID_H]]="","",INDEX(NOTA[TANGGAL],MATCH(,INDIRECT(ADDRESS(ROW(NOTA[TANGGAL]),COLUMN(NOTA[TANGGAL]))&amp;":"&amp;ADDRESS(ROW(),COLUMN(NOTA[TANGGAL]))),-1)))</f>
        <v/>
      </c>
      <c r="AJ868" s="26" t="str">
        <f ca="1">IF(NOTA[[#This Row],[ID_H]]="","",INDEX(NOTA[TGL.NOTA],MATCH(,INDIRECT(ADDRESS(ROW(NOTA[TGL.NOTA]),COLUMN(NOTA[TGL.NOTA]))&amp;":"&amp;ADDRESS(ROW(),COLUMN(NOTA[TGL.NOTA]))),-1)))</f>
        <v/>
      </c>
      <c r="AK868" s="26" t="str">
        <f ca="1">IF(NOTA[[#This Row],[ID_H]]="","",INDEX(NOTA[NO.NOTA],MATCH(NOTA[[#This Row],[ID_H]],NOTA[ID_H],0)))</f>
        <v/>
      </c>
      <c r="AL868" s="28" t="str">
        <f ca="1">IF(NOTA[[#This Row],[NAMA BARANG]]="","",INDEX(NOTA[SUPPLIER],MATCH(,INDIRECT(ADDRESS(ROW(NOTA[ID]),COLUMN(NOTA[ID]))&amp;":"&amp;ADDRESS(ROW(),COLUMN(NOTA[ID]))),-1)))</f>
        <v/>
      </c>
      <c r="AM868" s="28" t="str">
        <f ca="1">IF(NOTA[[#This Row],[ID_H]]="","",IF(NOTA[[#This Row],[FAKTUR]]="",INDIRECT(ADDRESS(ROW()-1,COLUMN())),NOTA[[#This Row],[FAKTUR]]))</f>
        <v/>
      </c>
      <c r="AN868" s="25" t="str">
        <f ca="1">IF(NOTA[[#This Row],[ID]]="","",COUNTIF(NOTA[ID_H],NOTA[[#This Row],[ID_H]]))</f>
        <v/>
      </c>
      <c r="AO868" s="25" t="str">
        <f ca="1">IF(NOTA[[#This Row],[TGL.NOTA]]="",IF(NOTA[[#This Row],[SUPPLIER_H]]="","",AO867),MONTH(NOTA[[#This Row],[TGL.NOTA]]))</f>
        <v/>
      </c>
      <c r="AP8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8" s="25"/>
      <c r="AU868" s="25" t="str">
        <f>IF(NOTA[[#This Row],[CONCAT1]]="","",MATCH(NOTA[[#This Row],[CONCAT1]],[3]!db[NB NOTA_C],0))</f>
        <v/>
      </c>
      <c r="AV868" s="25" t="str">
        <f>IF(NOTA[[#This Row],[QTY/ CTN]]="","",TRUE)</f>
        <v/>
      </c>
      <c r="AW868" s="25" t="str">
        <f ca="1">IF(NOTA[[#This Row],[ID_H]]="","",IF(NOTA[[#This Row],[Column3]]=TRUE,NOTA[[#This Row],[QTY/ CTN]],INDEX([3]!db[QTY/ CTN],NOTA[[#This Row],[//DB]])))</f>
        <v/>
      </c>
      <c r="AX8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8" s="25" t="str">
        <f ca="1">IF(NOTA[[#This Row],[ID_H]]="","",MATCH(NOTA[[#This Row],[NB NOTA_C_QTY]],[3]!db[NB NOTA_C_QTY+F],0))</f>
        <v/>
      </c>
      <c r="AZ868" s="38" t="str">
        <f ca="1">IF(NOTA[[#This Row],[NB NOTA_C_QTY]]="","",ROW()-2)</f>
        <v/>
      </c>
    </row>
    <row r="869" spans="1:52" ht="20.100000000000001" customHeight="1">
      <c r="A8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9" s="25" t="str">
        <f ca="1">IF(NOTA[[#This Row],[NAMA BARANG]]="","",INDEX(NOTA[ID],MATCH(,INDIRECT(ADDRESS(ROW(NOTA[ID]),COLUMN(NOTA[ID]))&amp;":"&amp;ADDRESS(ROW(),COLUMN(NOTA[ID]))),-1)))</f>
        <v/>
      </c>
      <c r="E869" s="33"/>
      <c r="H869" s="34"/>
      <c r="Q869" s="29"/>
      <c r="R869" s="35"/>
      <c r="S869" s="36"/>
      <c r="V869" s="37"/>
      <c r="W869" s="32"/>
      <c r="X869" s="37" t="str">
        <f>IF(NOTA[[#This Row],[HARGA/ CTN]]="",NOTA[[#This Row],[JUMLAH_H]],NOTA[[#This Row],[HARGA/ CTN]]*IF(NOTA[[#This Row],[C]]="",0,NOTA[[#This Row],[C]]))</f>
        <v/>
      </c>
      <c r="Y869" s="37" t="str">
        <f>IF(NOTA[[#This Row],[JUMLAH]]="","",NOTA[[#This Row],[JUMLAH]]*NOTA[[#This Row],[DISC 1]])</f>
        <v/>
      </c>
      <c r="Z869" s="37" t="str">
        <f>IF(NOTA[[#This Row],[JUMLAH]]="","",(NOTA[[#This Row],[JUMLAH]]-NOTA[[#This Row],[DISC 1-]])*NOTA[[#This Row],[DISC 2]])</f>
        <v/>
      </c>
      <c r="AA869" s="37" t="str">
        <f>IF(NOTA[[#This Row],[JUMLAH]]="","",(NOTA[[#This Row],[JUMLAH]]-NOTA[[#This Row],[DISC 1-]]-NOTA[[#This Row],[DISC 2-]])*NOTA[[#This Row],[DISC 3]])</f>
        <v/>
      </c>
      <c r="AB869" s="37" t="str">
        <f>IF(NOTA[[#This Row],[JUMLAH]]="","",NOTA[[#This Row],[DISC 1-]]+NOTA[[#This Row],[DISC 2-]]+NOTA[[#This Row],[DISC 3-]])</f>
        <v/>
      </c>
      <c r="AC869" s="37" t="str">
        <f>IF(NOTA[[#This Row],[JUMLAH]]="","",NOTA[[#This Row],[JUMLAH]]-NOTA[[#This Row],[DISC]])</f>
        <v/>
      </c>
      <c r="AD869" s="37"/>
      <c r="AE8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9" s="37" t="str">
        <f>IF(OR(NOTA[[#This Row],[QTY]]="",NOTA[[#This Row],[HARGA SATUAN]]="",),"",NOTA[[#This Row],[QTY]]*NOTA[[#This Row],[HARGA SATUAN]])</f>
        <v/>
      </c>
      <c r="AI869" s="26" t="str">
        <f ca="1">IF(NOTA[[#This Row],[ID_H]]="","",INDEX(NOTA[TANGGAL],MATCH(,INDIRECT(ADDRESS(ROW(NOTA[TANGGAL]),COLUMN(NOTA[TANGGAL]))&amp;":"&amp;ADDRESS(ROW(),COLUMN(NOTA[TANGGAL]))),-1)))</f>
        <v/>
      </c>
      <c r="AJ869" s="26" t="str">
        <f ca="1">IF(NOTA[[#This Row],[ID_H]]="","",INDEX(NOTA[TGL.NOTA],MATCH(,INDIRECT(ADDRESS(ROW(NOTA[TGL.NOTA]),COLUMN(NOTA[TGL.NOTA]))&amp;":"&amp;ADDRESS(ROW(),COLUMN(NOTA[TGL.NOTA]))),-1)))</f>
        <v/>
      </c>
      <c r="AK869" s="26" t="str">
        <f ca="1">IF(NOTA[[#This Row],[ID_H]]="","",INDEX(NOTA[NO.NOTA],MATCH(NOTA[[#This Row],[ID_H]],NOTA[ID_H],0)))</f>
        <v/>
      </c>
      <c r="AL869" s="28" t="str">
        <f ca="1">IF(NOTA[[#This Row],[NAMA BARANG]]="","",INDEX(NOTA[SUPPLIER],MATCH(,INDIRECT(ADDRESS(ROW(NOTA[ID]),COLUMN(NOTA[ID]))&amp;":"&amp;ADDRESS(ROW(),COLUMN(NOTA[ID]))),-1)))</f>
        <v/>
      </c>
      <c r="AM869" s="28" t="str">
        <f ca="1">IF(NOTA[[#This Row],[ID_H]]="","",IF(NOTA[[#This Row],[FAKTUR]]="",INDIRECT(ADDRESS(ROW()-1,COLUMN())),NOTA[[#This Row],[FAKTUR]]))</f>
        <v/>
      </c>
      <c r="AN869" s="25" t="str">
        <f ca="1">IF(NOTA[[#This Row],[ID]]="","",COUNTIF(NOTA[ID_H],NOTA[[#This Row],[ID_H]]))</f>
        <v/>
      </c>
      <c r="AO869" s="25" t="str">
        <f ca="1">IF(NOTA[[#This Row],[TGL.NOTA]]="",IF(NOTA[[#This Row],[SUPPLIER_H]]="","",AO868),MONTH(NOTA[[#This Row],[TGL.NOTA]]))</f>
        <v/>
      </c>
      <c r="AP8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9" s="25"/>
      <c r="AU869" s="25" t="str">
        <f>IF(NOTA[[#This Row],[CONCAT1]]="","",MATCH(NOTA[[#This Row],[CONCAT1]],[3]!db[NB NOTA_C],0))</f>
        <v/>
      </c>
      <c r="AV869" s="25" t="str">
        <f>IF(NOTA[[#This Row],[QTY/ CTN]]="","",TRUE)</f>
        <v/>
      </c>
      <c r="AW869" s="25" t="str">
        <f ca="1">IF(NOTA[[#This Row],[ID_H]]="","",IF(NOTA[[#This Row],[Column3]]=TRUE,NOTA[[#This Row],[QTY/ CTN]],INDEX([3]!db[QTY/ CTN],NOTA[[#This Row],[//DB]])))</f>
        <v/>
      </c>
      <c r="AX8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9" s="25" t="str">
        <f ca="1">IF(NOTA[[#This Row],[ID_H]]="","",MATCH(NOTA[[#This Row],[NB NOTA_C_QTY]],[3]!db[NB NOTA_C_QTY+F],0))</f>
        <v/>
      </c>
      <c r="AZ869" s="38" t="str">
        <f ca="1">IF(NOTA[[#This Row],[NB NOTA_C_QTY]]="","",ROW()-2)</f>
        <v/>
      </c>
    </row>
    <row r="870" spans="1:52" ht="20.100000000000001" customHeight="1">
      <c r="A8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0" s="25" t="str">
        <f ca="1">IF(NOTA[[#This Row],[NAMA BARANG]]="","",INDEX(NOTA[ID],MATCH(,INDIRECT(ADDRESS(ROW(NOTA[ID]),COLUMN(NOTA[ID]))&amp;":"&amp;ADDRESS(ROW(),COLUMN(NOTA[ID]))),-1)))</f>
        <v/>
      </c>
      <c r="E870" s="33"/>
      <c r="H870" s="34"/>
      <c r="Q870" s="29"/>
      <c r="R870" s="35"/>
      <c r="S870" s="36"/>
      <c r="V870" s="37"/>
      <c r="W870" s="32"/>
      <c r="X870" s="37" t="str">
        <f>IF(NOTA[[#This Row],[HARGA/ CTN]]="",NOTA[[#This Row],[JUMLAH_H]],NOTA[[#This Row],[HARGA/ CTN]]*IF(NOTA[[#This Row],[C]]="",0,NOTA[[#This Row],[C]]))</f>
        <v/>
      </c>
      <c r="Y870" s="37" t="str">
        <f>IF(NOTA[[#This Row],[JUMLAH]]="","",NOTA[[#This Row],[JUMLAH]]*NOTA[[#This Row],[DISC 1]])</f>
        <v/>
      </c>
      <c r="Z870" s="37" t="str">
        <f>IF(NOTA[[#This Row],[JUMLAH]]="","",(NOTA[[#This Row],[JUMLAH]]-NOTA[[#This Row],[DISC 1-]])*NOTA[[#This Row],[DISC 2]])</f>
        <v/>
      </c>
      <c r="AA870" s="37" t="str">
        <f>IF(NOTA[[#This Row],[JUMLAH]]="","",(NOTA[[#This Row],[JUMLAH]]-NOTA[[#This Row],[DISC 1-]]-NOTA[[#This Row],[DISC 2-]])*NOTA[[#This Row],[DISC 3]])</f>
        <v/>
      </c>
      <c r="AB870" s="37" t="str">
        <f>IF(NOTA[[#This Row],[JUMLAH]]="","",NOTA[[#This Row],[DISC 1-]]+NOTA[[#This Row],[DISC 2-]]+NOTA[[#This Row],[DISC 3-]])</f>
        <v/>
      </c>
      <c r="AC870" s="37" t="str">
        <f>IF(NOTA[[#This Row],[JUMLAH]]="","",NOTA[[#This Row],[JUMLAH]]-NOTA[[#This Row],[DISC]])</f>
        <v/>
      </c>
      <c r="AD870" s="37"/>
      <c r="AE8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0" s="37" t="str">
        <f>IF(OR(NOTA[[#This Row],[QTY]]="",NOTA[[#This Row],[HARGA SATUAN]]="",),"",NOTA[[#This Row],[QTY]]*NOTA[[#This Row],[HARGA SATUAN]])</f>
        <v/>
      </c>
      <c r="AI870" s="26" t="str">
        <f ca="1">IF(NOTA[[#This Row],[ID_H]]="","",INDEX(NOTA[TANGGAL],MATCH(,INDIRECT(ADDRESS(ROW(NOTA[TANGGAL]),COLUMN(NOTA[TANGGAL]))&amp;":"&amp;ADDRESS(ROW(),COLUMN(NOTA[TANGGAL]))),-1)))</f>
        <v/>
      </c>
      <c r="AJ870" s="26" t="str">
        <f ca="1">IF(NOTA[[#This Row],[ID_H]]="","",INDEX(NOTA[TGL.NOTA],MATCH(,INDIRECT(ADDRESS(ROW(NOTA[TGL.NOTA]),COLUMN(NOTA[TGL.NOTA]))&amp;":"&amp;ADDRESS(ROW(),COLUMN(NOTA[TGL.NOTA]))),-1)))</f>
        <v/>
      </c>
      <c r="AK870" s="26" t="str">
        <f ca="1">IF(NOTA[[#This Row],[ID_H]]="","",INDEX(NOTA[NO.NOTA],MATCH(NOTA[[#This Row],[ID_H]],NOTA[ID_H],0)))</f>
        <v/>
      </c>
      <c r="AL870" s="28" t="str">
        <f ca="1">IF(NOTA[[#This Row],[NAMA BARANG]]="","",INDEX(NOTA[SUPPLIER],MATCH(,INDIRECT(ADDRESS(ROW(NOTA[ID]),COLUMN(NOTA[ID]))&amp;":"&amp;ADDRESS(ROW(),COLUMN(NOTA[ID]))),-1)))</f>
        <v/>
      </c>
      <c r="AM870" s="28" t="str">
        <f ca="1">IF(NOTA[[#This Row],[ID_H]]="","",IF(NOTA[[#This Row],[FAKTUR]]="",INDIRECT(ADDRESS(ROW()-1,COLUMN())),NOTA[[#This Row],[FAKTUR]]))</f>
        <v/>
      </c>
      <c r="AN870" s="25" t="str">
        <f ca="1">IF(NOTA[[#This Row],[ID]]="","",COUNTIF(NOTA[ID_H],NOTA[[#This Row],[ID_H]]))</f>
        <v/>
      </c>
      <c r="AO870" s="25" t="str">
        <f ca="1">IF(NOTA[[#This Row],[TGL.NOTA]]="",IF(NOTA[[#This Row],[SUPPLIER_H]]="","",AO869),MONTH(NOTA[[#This Row],[TGL.NOTA]]))</f>
        <v/>
      </c>
      <c r="AP8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0" s="25"/>
      <c r="AU870" s="25" t="str">
        <f>IF(NOTA[[#This Row],[CONCAT1]]="","",MATCH(NOTA[[#This Row],[CONCAT1]],[3]!db[NB NOTA_C],0))</f>
        <v/>
      </c>
      <c r="AV870" s="25" t="str">
        <f>IF(NOTA[[#This Row],[QTY/ CTN]]="","",TRUE)</f>
        <v/>
      </c>
      <c r="AW870" s="25" t="str">
        <f ca="1">IF(NOTA[[#This Row],[ID_H]]="","",IF(NOTA[[#This Row],[Column3]]=TRUE,NOTA[[#This Row],[QTY/ CTN]],INDEX([3]!db[QTY/ CTN],NOTA[[#This Row],[//DB]])))</f>
        <v/>
      </c>
      <c r="AX8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0" s="25" t="str">
        <f ca="1">IF(NOTA[[#This Row],[ID_H]]="","",MATCH(NOTA[[#This Row],[NB NOTA_C_QTY]],[3]!db[NB NOTA_C_QTY+F],0))</f>
        <v/>
      </c>
      <c r="AZ870" s="38" t="str">
        <f ca="1">IF(NOTA[[#This Row],[NB NOTA_C_QTY]]="","",ROW()-2)</f>
        <v/>
      </c>
    </row>
    <row r="871" spans="1:52" ht="20.100000000000001" customHeight="1">
      <c r="A8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1" s="25" t="str">
        <f ca="1">IF(NOTA[[#This Row],[NAMA BARANG]]="","",INDEX(NOTA[ID],MATCH(,INDIRECT(ADDRESS(ROW(NOTA[ID]),COLUMN(NOTA[ID]))&amp;":"&amp;ADDRESS(ROW(),COLUMN(NOTA[ID]))),-1)))</f>
        <v/>
      </c>
      <c r="E871" s="33"/>
      <c r="H871" s="34"/>
      <c r="Q871" s="29"/>
      <c r="R871" s="35"/>
      <c r="S871" s="36"/>
      <c r="V871" s="37"/>
      <c r="W871" s="32"/>
      <c r="X871" s="37" t="str">
        <f>IF(NOTA[[#This Row],[HARGA/ CTN]]="",NOTA[[#This Row],[JUMLAH_H]],NOTA[[#This Row],[HARGA/ CTN]]*IF(NOTA[[#This Row],[C]]="",0,NOTA[[#This Row],[C]]))</f>
        <v/>
      </c>
      <c r="Y871" s="37" t="str">
        <f>IF(NOTA[[#This Row],[JUMLAH]]="","",NOTA[[#This Row],[JUMLAH]]*NOTA[[#This Row],[DISC 1]])</f>
        <v/>
      </c>
      <c r="Z871" s="37" t="str">
        <f>IF(NOTA[[#This Row],[JUMLAH]]="","",(NOTA[[#This Row],[JUMLAH]]-NOTA[[#This Row],[DISC 1-]])*NOTA[[#This Row],[DISC 2]])</f>
        <v/>
      </c>
      <c r="AA871" s="37" t="str">
        <f>IF(NOTA[[#This Row],[JUMLAH]]="","",(NOTA[[#This Row],[JUMLAH]]-NOTA[[#This Row],[DISC 1-]]-NOTA[[#This Row],[DISC 2-]])*NOTA[[#This Row],[DISC 3]])</f>
        <v/>
      </c>
      <c r="AB871" s="37" t="str">
        <f>IF(NOTA[[#This Row],[JUMLAH]]="","",NOTA[[#This Row],[DISC 1-]]+NOTA[[#This Row],[DISC 2-]]+NOTA[[#This Row],[DISC 3-]])</f>
        <v/>
      </c>
      <c r="AC871" s="37" t="str">
        <f>IF(NOTA[[#This Row],[JUMLAH]]="","",NOTA[[#This Row],[JUMLAH]]-NOTA[[#This Row],[DISC]])</f>
        <v/>
      </c>
      <c r="AD871" s="37"/>
      <c r="AE8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1" s="37" t="str">
        <f>IF(OR(NOTA[[#This Row],[QTY]]="",NOTA[[#This Row],[HARGA SATUAN]]="",),"",NOTA[[#This Row],[QTY]]*NOTA[[#This Row],[HARGA SATUAN]])</f>
        <v/>
      </c>
      <c r="AI871" s="26" t="str">
        <f ca="1">IF(NOTA[[#This Row],[ID_H]]="","",INDEX(NOTA[TANGGAL],MATCH(,INDIRECT(ADDRESS(ROW(NOTA[TANGGAL]),COLUMN(NOTA[TANGGAL]))&amp;":"&amp;ADDRESS(ROW(),COLUMN(NOTA[TANGGAL]))),-1)))</f>
        <v/>
      </c>
      <c r="AJ871" s="26" t="str">
        <f ca="1">IF(NOTA[[#This Row],[ID_H]]="","",INDEX(NOTA[TGL.NOTA],MATCH(,INDIRECT(ADDRESS(ROW(NOTA[TGL.NOTA]),COLUMN(NOTA[TGL.NOTA]))&amp;":"&amp;ADDRESS(ROW(),COLUMN(NOTA[TGL.NOTA]))),-1)))</f>
        <v/>
      </c>
      <c r="AK871" s="26" t="str">
        <f ca="1">IF(NOTA[[#This Row],[ID_H]]="","",INDEX(NOTA[NO.NOTA],MATCH(NOTA[[#This Row],[ID_H]],NOTA[ID_H],0)))</f>
        <v/>
      </c>
      <c r="AL871" s="28" t="str">
        <f ca="1">IF(NOTA[[#This Row],[NAMA BARANG]]="","",INDEX(NOTA[SUPPLIER],MATCH(,INDIRECT(ADDRESS(ROW(NOTA[ID]),COLUMN(NOTA[ID]))&amp;":"&amp;ADDRESS(ROW(),COLUMN(NOTA[ID]))),-1)))</f>
        <v/>
      </c>
      <c r="AM871" s="28" t="str">
        <f ca="1">IF(NOTA[[#This Row],[ID_H]]="","",IF(NOTA[[#This Row],[FAKTUR]]="",INDIRECT(ADDRESS(ROW()-1,COLUMN())),NOTA[[#This Row],[FAKTUR]]))</f>
        <v/>
      </c>
      <c r="AN871" s="25" t="str">
        <f ca="1">IF(NOTA[[#This Row],[ID]]="","",COUNTIF(NOTA[ID_H],NOTA[[#This Row],[ID_H]]))</f>
        <v/>
      </c>
      <c r="AO871" s="25" t="str">
        <f ca="1">IF(NOTA[[#This Row],[TGL.NOTA]]="",IF(NOTA[[#This Row],[SUPPLIER_H]]="","",AO870),MONTH(NOTA[[#This Row],[TGL.NOTA]]))</f>
        <v/>
      </c>
      <c r="AP8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1" s="25"/>
      <c r="AU871" s="25" t="str">
        <f>IF(NOTA[[#This Row],[CONCAT1]]="","",MATCH(NOTA[[#This Row],[CONCAT1]],[3]!db[NB NOTA_C],0))</f>
        <v/>
      </c>
      <c r="AV871" s="25" t="str">
        <f>IF(NOTA[[#This Row],[QTY/ CTN]]="","",TRUE)</f>
        <v/>
      </c>
      <c r="AW871" s="25" t="str">
        <f ca="1">IF(NOTA[[#This Row],[ID_H]]="","",IF(NOTA[[#This Row],[Column3]]=TRUE,NOTA[[#This Row],[QTY/ CTN]],INDEX([3]!db[QTY/ CTN],NOTA[[#This Row],[//DB]])))</f>
        <v/>
      </c>
      <c r="AX8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1" s="25" t="str">
        <f ca="1">IF(NOTA[[#This Row],[ID_H]]="","",MATCH(NOTA[[#This Row],[NB NOTA_C_QTY]],[3]!db[NB NOTA_C_QTY+F],0))</f>
        <v/>
      </c>
      <c r="AZ871" s="38" t="str">
        <f ca="1">IF(NOTA[[#This Row],[NB NOTA_C_QTY]]="","",ROW()-2)</f>
        <v/>
      </c>
    </row>
    <row r="872" spans="1:52" ht="20.100000000000001" customHeight="1">
      <c r="A8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2" s="25" t="str">
        <f ca="1">IF(NOTA[[#This Row],[NAMA BARANG]]="","",INDEX(NOTA[ID],MATCH(,INDIRECT(ADDRESS(ROW(NOTA[ID]),COLUMN(NOTA[ID]))&amp;":"&amp;ADDRESS(ROW(),COLUMN(NOTA[ID]))),-1)))</f>
        <v/>
      </c>
      <c r="E872" s="33"/>
      <c r="H872" s="34"/>
      <c r="Q872" s="29"/>
      <c r="R872" s="35"/>
      <c r="S872" s="36"/>
      <c r="V872" s="37"/>
      <c r="W872" s="32"/>
      <c r="X872" s="37" t="str">
        <f>IF(NOTA[[#This Row],[HARGA/ CTN]]="",NOTA[[#This Row],[JUMLAH_H]],NOTA[[#This Row],[HARGA/ CTN]]*IF(NOTA[[#This Row],[C]]="",0,NOTA[[#This Row],[C]]))</f>
        <v/>
      </c>
      <c r="Y872" s="37" t="str">
        <f>IF(NOTA[[#This Row],[JUMLAH]]="","",NOTA[[#This Row],[JUMLAH]]*NOTA[[#This Row],[DISC 1]])</f>
        <v/>
      </c>
      <c r="Z872" s="37" t="str">
        <f>IF(NOTA[[#This Row],[JUMLAH]]="","",(NOTA[[#This Row],[JUMLAH]]-NOTA[[#This Row],[DISC 1-]])*NOTA[[#This Row],[DISC 2]])</f>
        <v/>
      </c>
      <c r="AA872" s="37" t="str">
        <f>IF(NOTA[[#This Row],[JUMLAH]]="","",(NOTA[[#This Row],[JUMLAH]]-NOTA[[#This Row],[DISC 1-]]-NOTA[[#This Row],[DISC 2-]])*NOTA[[#This Row],[DISC 3]])</f>
        <v/>
      </c>
      <c r="AB872" s="37" t="str">
        <f>IF(NOTA[[#This Row],[JUMLAH]]="","",NOTA[[#This Row],[DISC 1-]]+NOTA[[#This Row],[DISC 2-]]+NOTA[[#This Row],[DISC 3-]])</f>
        <v/>
      </c>
      <c r="AC872" s="37" t="str">
        <f>IF(NOTA[[#This Row],[JUMLAH]]="","",NOTA[[#This Row],[JUMLAH]]-NOTA[[#This Row],[DISC]])</f>
        <v/>
      </c>
      <c r="AD872" s="37"/>
      <c r="AE8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2" s="37" t="str">
        <f>IF(OR(NOTA[[#This Row],[QTY]]="",NOTA[[#This Row],[HARGA SATUAN]]="",),"",NOTA[[#This Row],[QTY]]*NOTA[[#This Row],[HARGA SATUAN]])</f>
        <v/>
      </c>
      <c r="AI872" s="26" t="str">
        <f ca="1">IF(NOTA[[#This Row],[ID_H]]="","",INDEX(NOTA[TANGGAL],MATCH(,INDIRECT(ADDRESS(ROW(NOTA[TANGGAL]),COLUMN(NOTA[TANGGAL]))&amp;":"&amp;ADDRESS(ROW(),COLUMN(NOTA[TANGGAL]))),-1)))</f>
        <v/>
      </c>
      <c r="AJ872" s="26" t="str">
        <f ca="1">IF(NOTA[[#This Row],[ID_H]]="","",INDEX(NOTA[TGL.NOTA],MATCH(,INDIRECT(ADDRESS(ROW(NOTA[TGL.NOTA]),COLUMN(NOTA[TGL.NOTA]))&amp;":"&amp;ADDRESS(ROW(),COLUMN(NOTA[TGL.NOTA]))),-1)))</f>
        <v/>
      </c>
      <c r="AK872" s="26" t="str">
        <f ca="1">IF(NOTA[[#This Row],[ID_H]]="","",INDEX(NOTA[NO.NOTA],MATCH(NOTA[[#This Row],[ID_H]],NOTA[ID_H],0)))</f>
        <v/>
      </c>
      <c r="AL872" s="28" t="str">
        <f ca="1">IF(NOTA[[#This Row],[NAMA BARANG]]="","",INDEX(NOTA[SUPPLIER],MATCH(,INDIRECT(ADDRESS(ROW(NOTA[ID]),COLUMN(NOTA[ID]))&amp;":"&amp;ADDRESS(ROW(),COLUMN(NOTA[ID]))),-1)))</f>
        <v/>
      </c>
      <c r="AM872" s="28" t="str">
        <f ca="1">IF(NOTA[[#This Row],[ID_H]]="","",IF(NOTA[[#This Row],[FAKTUR]]="",INDIRECT(ADDRESS(ROW()-1,COLUMN())),NOTA[[#This Row],[FAKTUR]]))</f>
        <v/>
      </c>
      <c r="AN872" s="25" t="str">
        <f ca="1">IF(NOTA[[#This Row],[ID]]="","",COUNTIF(NOTA[ID_H],NOTA[[#This Row],[ID_H]]))</f>
        <v/>
      </c>
      <c r="AO872" s="25" t="str">
        <f ca="1">IF(NOTA[[#This Row],[TGL.NOTA]]="",IF(NOTA[[#This Row],[SUPPLIER_H]]="","",AO871),MONTH(NOTA[[#This Row],[TGL.NOTA]]))</f>
        <v/>
      </c>
      <c r="AP8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2" s="25"/>
      <c r="AU872" s="25" t="str">
        <f>IF(NOTA[[#This Row],[CONCAT1]]="","",MATCH(NOTA[[#This Row],[CONCAT1]],[3]!db[NB NOTA_C],0))</f>
        <v/>
      </c>
      <c r="AV872" s="25" t="str">
        <f>IF(NOTA[[#This Row],[QTY/ CTN]]="","",TRUE)</f>
        <v/>
      </c>
      <c r="AW872" s="25" t="str">
        <f ca="1">IF(NOTA[[#This Row],[ID_H]]="","",IF(NOTA[[#This Row],[Column3]]=TRUE,NOTA[[#This Row],[QTY/ CTN]],INDEX([3]!db[QTY/ CTN],NOTA[[#This Row],[//DB]])))</f>
        <v/>
      </c>
      <c r="AX8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2" s="25" t="str">
        <f ca="1">IF(NOTA[[#This Row],[ID_H]]="","",MATCH(NOTA[[#This Row],[NB NOTA_C_QTY]],[3]!db[NB NOTA_C_QTY+F],0))</f>
        <v/>
      </c>
      <c r="AZ872" s="38" t="str">
        <f ca="1">IF(NOTA[[#This Row],[NB NOTA_C_QTY]]="","",ROW()-2)</f>
        <v/>
      </c>
    </row>
    <row r="873" spans="1:52" ht="20.100000000000001" customHeight="1">
      <c r="A8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3" s="25" t="str">
        <f ca="1">IF(NOTA[[#This Row],[NAMA BARANG]]="","",INDEX(NOTA[ID],MATCH(,INDIRECT(ADDRESS(ROW(NOTA[ID]),COLUMN(NOTA[ID]))&amp;":"&amp;ADDRESS(ROW(),COLUMN(NOTA[ID]))),-1)))</f>
        <v/>
      </c>
      <c r="E873" s="33"/>
      <c r="H873" s="34"/>
      <c r="Q873" s="29"/>
      <c r="R873" s="35"/>
      <c r="S873" s="36"/>
      <c r="V873" s="37"/>
      <c r="W873" s="32"/>
      <c r="X873" s="37" t="str">
        <f>IF(NOTA[[#This Row],[HARGA/ CTN]]="",NOTA[[#This Row],[JUMLAH_H]],NOTA[[#This Row],[HARGA/ CTN]]*IF(NOTA[[#This Row],[C]]="",0,NOTA[[#This Row],[C]]))</f>
        <v/>
      </c>
      <c r="Y873" s="37" t="str">
        <f>IF(NOTA[[#This Row],[JUMLAH]]="","",NOTA[[#This Row],[JUMLAH]]*NOTA[[#This Row],[DISC 1]])</f>
        <v/>
      </c>
      <c r="Z873" s="37" t="str">
        <f>IF(NOTA[[#This Row],[JUMLAH]]="","",(NOTA[[#This Row],[JUMLAH]]-NOTA[[#This Row],[DISC 1-]])*NOTA[[#This Row],[DISC 2]])</f>
        <v/>
      </c>
      <c r="AA873" s="37" t="str">
        <f>IF(NOTA[[#This Row],[JUMLAH]]="","",(NOTA[[#This Row],[JUMLAH]]-NOTA[[#This Row],[DISC 1-]]-NOTA[[#This Row],[DISC 2-]])*NOTA[[#This Row],[DISC 3]])</f>
        <v/>
      </c>
      <c r="AB873" s="37" t="str">
        <f>IF(NOTA[[#This Row],[JUMLAH]]="","",NOTA[[#This Row],[DISC 1-]]+NOTA[[#This Row],[DISC 2-]]+NOTA[[#This Row],[DISC 3-]])</f>
        <v/>
      </c>
      <c r="AC873" s="37" t="str">
        <f>IF(NOTA[[#This Row],[JUMLAH]]="","",NOTA[[#This Row],[JUMLAH]]-NOTA[[#This Row],[DISC]])</f>
        <v/>
      </c>
      <c r="AD873" s="37"/>
      <c r="AE8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3" s="37" t="str">
        <f>IF(OR(NOTA[[#This Row],[QTY]]="",NOTA[[#This Row],[HARGA SATUAN]]="",),"",NOTA[[#This Row],[QTY]]*NOTA[[#This Row],[HARGA SATUAN]])</f>
        <v/>
      </c>
      <c r="AI873" s="26" t="str">
        <f ca="1">IF(NOTA[[#This Row],[ID_H]]="","",INDEX(NOTA[TANGGAL],MATCH(,INDIRECT(ADDRESS(ROW(NOTA[TANGGAL]),COLUMN(NOTA[TANGGAL]))&amp;":"&amp;ADDRESS(ROW(),COLUMN(NOTA[TANGGAL]))),-1)))</f>
        <v/>
      </c>
      <c r="AJ873" s="26" t="str">
        <f ca="1">IF(NOTA[[#This Row],[ID_H]]="","",INDEX(NOTA[TGL.NOTA],MATCH(,INDIRECT(ADDRESS(ROW(NOTA[TGL.NOTA]),COLUMN(NOTA[TGL.NOTA]))&amp;":"&amp;ADDRESS(ROW(),COLUMN(NOTA[TGL.NOTA]))),-1)))</f>
        <v/>
      </c>
      <c r="AK873" s="26" t="str">
        <f ca="1">IF(NOTA[[#This Row],[ID_H]]="","",INDEX(NOTA[NO.NOTA],MATCH(NOTA[[#This Row],[ID_H]],NOTA[ID_H],0)))</f>
        <v/>
      </c>
      <c r="AL873" s="28" t="str">
        <f ca="1">IF(NOTA[[#This Row],[NAMA BARANG]]="","",INDEX(NOTA[SUPPLIER],MATCH(,INDIRECT(ADDRESS(ROW(NOTA[ID]),COLUMN(NOTA[ID]))&amp;":"&amp;ADDRESS(ROW(),COLUMN(NOTA[ID]))),-1)))</f>
        <v/>
      </c>
      <c r="AM873" s="28" t="str">
        <f ca="1">IF(NOTA[[#This Row],[ID_H]]="","",IF(NOTA[[#This Row],[FAKTUR]]="",INDIRECT(ADDRESS(ROW()-1,COLUMN())),NOTA[[#This Row],[FAKTUR]]))</f>
        <v/>
      </c>
      <c r="AN873" s="25" t="str">
        <f ca="1">IF(NOTA[[#This Row],[ID]]="","",COUNTIF(NOTA[ID_H],NOTA[[#This Row],[ID_H]]))</f>
        <v/>
      </c>
      <c r="AO873" s="25" t="str">
        <f ca="1">IF(NOTA[[#This Row],[TGL.NOTA]]="",IF(NOTA[[#This Row],[SUPPLIER_H]]="","",AO872),MONTH(NOTA[[#This Row],[TGL.NOTA]]))</f>
        <v/>
      </c>
      <c r="AP8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3" s="25"/>
      <c r="AU873" s="25" t="str">
        <f>IF(NOTA[[#This Row],[CONCAT1]]="","",MATCH(NOTA[[#This Row],[CONCAT1]],[3]!db[NB NOTA_C],0))</f>
        <v/>
      </c>
      <c r="AV873" s="25" t="str">
        <f>IF(NOTA[[#This Row],[QTY/ CTN]]="","",TRUE)</f>
        <v/>
      </c>
      <c r="AW873" s="25" t="str">
        <f ca="1">IF(NOTA[[#This Row],[ID_H]]="","",IF(NOTA[[#This Row],[Column3]]=TRUE,NOTA[[#This Row],[QTY/ CTN]],INDEX([3]!db[QTY/ CTN],NOTA[[#This Row],[//DB]])))</f>
        <v/>
      </c>
      <c r="AX8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3" s="25" t="str">
        <f ca="1">IF(NOTA[[#This Row],[ID_H]]="","",MATCH(NOTA[[#This Row],[NB NOTA_C_QTY]],[3]!db[NB NOTA_C_QTY+F],0))</f>
        <v/>
      </c>
      <c r="AZ873" s="38" t="str">
        <f ca="1">IF(NOTA[[#This Row],[NB NOTA_C_QTY]]="","",ROW()-2)</f>
        <v/>
      </c>
    </row>
    <row r="874" spans="1:52" ht="20.100000000000001" customHeight="1">
      <c r="A8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4" s="25" t="str">
        <f ca="1">IF(NOTA[[#This Row],[NAMA BARANG]]="","",INDEX(NOTA[ID],MATCH(,INDIRECT(ADDRESS(ROW(NOTA[ID]),COLUMN(NOTA[ID]))&amp;":"&amp;ADDRESS(ROW(),COLUMN(NOTA[ID]))),-1)))</f>
        <v/>
      </c>
      <c r="E874" s="33"/>
      <c r="H874" s="34"/>
      <c r="Q874" s="29"/>
      <c r="R874" s="35"/>
      <c r="S874" s="36"/>
      <c r="V874" s="37"/>
      <c r="W874" s="32"/>
      <c r="X874" s="37" t="str">
        <f>IF(NOTA[[#This Row],[HARGA/ CTN]]="",NOTA[[#This Row],[JUMLAH_H]],NOTA[[#This Row],[HARGA/ CTN]]*IF(NOTA[[#This Row],[C]]="",0,NOTA[[#This Row],[C]]))</f>
        <v/>
      </c>
      <c r="Y874" s="37" t="str">
        <f>IF(NOTA[[#This Row],[JUMLAH]]="","",NOTA[[#This Row],[JUMLAH]]*NOTA[[#This Row],[DISC 1]])</f>
        <v/>
      </c>
      <c r="Z874" s="37" t="str">
        <f>IF(NOTA[[#This Row],[JUMLAH]]="","",(NOTA[[#This Row],[JUMLAH]]-NOTA[[#This Row],[DISC 1-]])*NOTA[[#This Row],[DISC 2]])</f>
        <v/>
      </c>
      <c r="AA874" s="37" t="str">
        <f>IF(NOTA[[#This Row],[JUMLAH]]="","",(NOTA[[#This Row],[JUMLAH]]-NOTA[[#This Row],[DISC 1-]]-NOTA[[#This Row],[DISC 2-]])*NOTA[[#This Row],[DISC 3]])</f>
        <v/>
      </c>
      <c r="AB874" s="37" t="str">
        <f>IF(NOTA[[#This Row],[JUMLAH]]="","",NOTA[[#This Row],[DISC 1-]]+NOTA[[#This Row],[DISC 2-]]+NOTA[[#This Row],[DISC 3-]])</f>
        <v/>
      </c>
      <c r="AC874" s="37" t="str">
        <f>IF(NOTA[[#This Row],[JUMLAH]]="","",NOTA[[#This Row],[JUMLAH]]-NOTA[[#This Row],[DISC]])</f>
        <v/>
      </c>
      <c r="AD874" s="37"/>
      <c r="AE8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4" s="37" t="str">
        <f>IF(OR(NOTA[[#This Row],[QTY]]="",NOTA[[#This Row],[HARGA SATUAN]]="",),"",NOTA[[#This Row],[QTY]]*NOTA[[#This Row],[HARGA SATUAN]])</f>
        <v/>
      </c>
      <c r="AI874" s="26" t="str">
        <f ca="1">IF(NOTA[[#This Row],[ID_H]]="","",INDEX(NOTA[TANGGAL],MATCH(,INDIRECT(ADDRESS(ROW(NOTA[TANGGAL]),COLUMN(NOTA[TANGGAL]))&amp;":"&amp;ADDRESS(ROW(),COLUMN(NOTA[TANGGAL]))),-1)))</f>
        <v/>
      </c>
      <c r="AJ874" s="26" t="str">
        <f ca="1">IF(NOTA[[#This Row],[ID_H]]="","",INDEX(NOTA[TGL.NOTA],MATCH(,INDIRECT(ADDRESS(ROW(NOTA[TGL.NOTA]),COLUMN(NOTA[TGL.NOTA]))&amp;":"&amp;ADDRESS(ROW(),COLUMN(NOTA[TGL.NOTA]))),-1)))</f>
        <v/>
      </c>
      <c r="AK874" s="26" t="str">
        <f ca="1">IF(NOTA[[#This Row],[ID_H]]="","",INDEX(NOTA[NO.NOTA],MATCH(NOTA[[#This Row],[ID_H]],NOTA[ID_H],0)))</f>
        <v/>
      </c>
      <c r="AL874" s="28" t="str">
        <f ca="1">IF(NOTA[[#This Row],[NAMA BARANG]]="","",INDEX(NOTA[SUPPLIER],MATCH(,INDIRECT(ADDRESS(ROW(NOTA[ID]),COLUMN(NOTA[ID]))&amp;":"&amp;ADDRESS(ROW(),COLUMN(NOTA[ID]))),-1)))</f>
        <v/>
      </c>
      <c r="AM874" s="28" t="str">
        <f ca="1">IF(NOTA[[#This Row],[ID_H]]="","",IF(NOTA[[#This Row],[FAKTUR]]="",INDIRECT(ADDRESS(ROW()-1,COLUMN())),NOTA[[#This Row],[FAKTUR]]))</f>
        <v/>
      </c>
      <c r="AN874" s="25" t="str">
        <f ca="1">IF(NOTA[[#This Row],[ID]]="","",COUNTIF(NOTA[ID_H],NOTA[[#This Row],[ID_H]]))</f>
        <v/>
      </c>
      <c r="AO874" s="25" t="str">
        <f ca="1">IF(NOTA[[#This Row],[TGL.NOTA]]="",IF(NOTA[[#This Row],[SUPPLIER_H]]="","",AO873),MONTH(NOTA[[#This Row],[TGL.NOTA]]))</f>
        <v/>
      </c>
      <c r="AP8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4" s="25"/>
      <c r="AU874" s="25" t="str">
        <f>IF(NOTA[[#This Row],[CONCAT1]]="","",MATCH(NOTA[[#This Row],[CONCAT1]],[3]!db[NB NOTA_C],0))</f>
        <v/>
      </c>
      <c r="AV874" s="25" t="str">
        <f>IF(NOTA[[#This Row],[QTY/ CTN]]="","",TRUE)</f>
        <v/>
      </c>
      <c r="AW874" s="25" t="str">
        <f ca="1">IF(NOTA[[#This Row],[ID_H]]="","",IF(NOTA[[#This Row],[Column3]]=TRUE,NOTA[[#This Row],[QTY/ CTN]],INDEX([3]!db[QTY/ CTN],NOTA[[#This Row],[//DB]])))</f>
        <v/>
      </c>
      <c r="AX8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4" s="25" t="str">
        <f ca="1">IF(NOTA[[#This Row],[ID_H]]="","",MATCH(NOTA[[#This Row],[NB NOTA_C_QTY]],[3]!db[NB NOTA_C_QTY+F],0))</f>
        <v/>
      </c>
      <c r="AZ874" s="38" t="str">
        <f ca="1">IF(NOTA[[#This Row],[NB NOTA_C_QTY]]="","",ROW()-2)</f>
        <v/>
      </c>
    </row>
    <row r="875" spans="1:52" ht="20.100000000000001" customHeight="1">
      <c r="A8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5" s="25" t="str">
        <f ca="1">IF(NOTA[[#This Row],[NAMA BARANG]]="","",INDEX(NOTA[ID],MATCH(,INDIRECT(ADDRESS(ROW(NOTA[ID]),COLUMN(NOTA[ID]))&amp;":"&amp;ADDRESS(ROW(),COLUMN(NOTA[ID]))),-1)))</f>
        <v/>
      </c>
      <c r="E875" s="33"/>
      <c r="H875" s="34"/>
      <c r="Q875" s="29"/>
      <c r="R875" s="35"/>
      <c r="S875" s="36"/>
      <c r="V875" s="37"/>
      <c r="W875" s="32"/>
      <c r="X875" s="37" t="str">
        <f>IF(NOTA[[#This Row],[HARGA/ CTN]]="",NOTA[[#This Row],[JUMLAH_H]],NOTA[[#This Row],[HARGA/ CTN]]*IF(NOTA[[#This Row],[C]]="",0,NOTA[[#This Row],[C]]))</f>
        <v/>
      </c>
      <c r="Y875" s="37" t="str">
        <f>IF(NOTA[[#This Row],[JUMLAH]]="","",NOTA[[#This Row],[JUMLAH]]*NOTA[[#This Row],[DISC 1]])</f>
        <v/>
      </c>
      <c r="Z875" s="37" t="str">
        <f>IF(NOTA[[#This Row],[JUMLAH]]="","",(NOTA[[#This Row],[JUMLAH]]-NOTA[[#This Row],[DISC 1-]])*NOTA[[#This Row],[DISC 2]])</f>
        <v/>
      </c>
      <c r="AA875" s="37" t="str">
        <f>IF(NOTA[[#This Row],[JUMLAH]]="","",(NOTA[[#This Row],[JUMLAH]]-NOTA[[#This Row],[DISC 1-]]-NOTA[[#This Row],[DISC 2-]])*NOTA[[#This Row],[DISC 3]])</f>
        <v/>
      </c>
      <c r="AB875" s="37" t="str">
        <f>IF(NOTA[[#This Row],[JUMLAH]]="","",NOTA[[#This Row],[DISC 1-]]+NOTA[[#This Row],[DISC 2-]]+NOTA[[#This Row],[DISC 3-]])</f>
        <v/>
      </c>
      <c r="AC875" s="37" t="str">
        <f>IF(NOTA[[#This Row],[JUMLAH]]="","",NOTA[[#This Row],[JUMLAH]]-NOTA[[#This Row],[DISC]])</f>
        <v/>
      </c>
      <c r="AD875" s="37"/>
      <c r="AE8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5" s="37" t="str">
        <f>IF(OR(NOTA[[#This Row],[QTY]]="",NOTA[[#This Row],[HARGA SATUAN]]="",),"",NOTA[[#This Row],[QTY]]*NOTA[[#This Row],[HARGA SATUAN]])</f>
        <v/>
      </c>
      <c r="AI875" s="26" t="str">
        <f ca="1">IF(NOTA[[#This Row],[ID_H]]="","",INDEX(NOTA[TANGGAL],MATCH(,INDIRECT(ADDRESS(ROW(NOTA[TANGGAL]),COLUMN(NOTA[TANGGAL]))&amp;":"&amp;ADDRESS(ROW(),COLUMN(NOTA[TANGGAL]))),-1)))</f>
        <v/>
      </c>
      <c r="AJ875" s="26" t="str">
        <f ca="1">IF(NOTA[[#This Row],[ID_H]]="","",INDEX(NOTA[TGL.NOTA],MATCH(,INDIRECT(ADDRESS(ROW(NOTA[TGL.NOTA]),COLUMN(NOTA[TGL.NOTA]))&amp;":"&amp;ADDRESS(ROW(),COLUMN(NOTA[TGL.NOTA]))),-1)))</f>
        <v/>
      </c>
      <c r="AK875" s="26" t="str">
        <f ca="1">IF(NOTA[[#This Row],[ID_H]]="","",INDEX(NOTA[NO.NOTA],MATCH(NOTA[[#This Row],[ID_H]],NOTA[ID_H],0)))</f>
        <v/>
      </c>
      <c r="AL875" s="28" t="str">
        <f ca="1">IF(NOTA[[#This Row],[NAMA BARANG]]="","",INDEX(NOTA[SUPPLIER],MATCH(,INDIRECT(ADDRESS(ROW(NOTA[ID]),COLUMN(NOTA[ID]))&amp;":"&amp;ADDRESS(ROW(),COLUMN(NOTA[ID]))),-1)))</f>
        <v/>
      </c>
      <c r="AM875" s="28" t="str">
        <f ca="1">IF(NOTA[[#This Row],[ID_H]]="","",IF(NOTA[[#This Row],[FAKTUR]]="",INDIRECT(ADDRESS(ROW()-1,COLUMN())),NOTA[[#This Row],[FAKTUR]]))</f>
        <v/>
      </c>
      <c r="AN875" s="25" t="str">
        <f ca="1">IF(NOTA[[#This Row],[ID]]="","",COUNTIF(NOTA[ID_H],NOTA[[#This Row],[ID_H]]))</f>
        <v/>
      </c>
      <c r="AO875" s="25" t="str">
        <f ca="1">IF(NOTA[[#This Row],[TGL.NOTA]]="",IF(NOTA[[#This Row],[SUPPLIER_H]]="","",AO874),MONTH(NOTA[[#This Row],[TGL.NOTA]]))</f>
        <v/>
      </c>
      <c r="AP8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5" s="25"/>
      <c r="AU875" s="25" t="str">
        <f>IF(NOTA[[#This Row],[CONCAT1]]="","",MATCH(NOTA[[#This Row],[CONCAT1]],[3]!db[NB NOTA_C],0))</f>
        <v/>
      </c>
      <c r="AV875" s="25" t="str">
        <f>IF(NOTA[[#This Row],[QTY/ CTN]]="","",TRUE)</f>
        <v/>
      </c>
      <c r="AW875" s="25" t="str">
        <f ca="1">IF(NOTA[[#This Row],[ID_H]]="","",IF(NOTA[[#This Row],[Column3]]=TRUE,NOTA[[#This Row],[QTY/ CTN]],INDEX([3]!db[QTY/ CTN],NOTA[[#This Row],[//DB]])))</f>
        <v/>
      </c>
      <c r="AX8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5" s="25" t="str">
        <f ca="1">IF(NOTA[[#This Row],[ID_H]]="","",MATCH(NOTA[[#This Row],[NB NOTA_C_QTY]],[3]!db[NB NOTA_C_QTY+F],0))</f>
        <v/>
      </c>
      <c r="AZ875" s="38" t="str">
        <f ca="1">IF(NOTA[[#This Row],[NB NOTA_C_QTY]]="","",ROW()-2)</f>
        <v/>
      </c>
    </row>
    <row r="876" spans="1:52" ht="20.100000000000001" customHeight="1">
      <c r="A8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6" s="25" t="str">
        <f ca="1">IF(NOTA[[#This Row],[NAMA BARANG]]="","",INDEX(NOTA[ID],MATCH(,INDIRECT(ADDRESS(ROW(NOTA[ID]),COLUMN(NOTA[ID]))&amp;":"&amp;ADDRESS(ROW(),COLUMN(NOTA[ID]))),-1)))</f>
        <v/>
      </c>
      <c r="E876" s="33"/>
      <c r="H876" s="34"/>
      <c r="Q876" s="29"/>
      <c r="R876" s="35"/>
      <c r="S876" s="36"/>
      <c r="V876" s="37"/>
      <c r="W876" s="32"/>
      <c r="X876" s="37" t="str">
        <f>IF(NOTA[[#This Row],[HARGA/ CTN]]="",NOTA[[#This Row],[JUMLAH_H]],NOTA[[#This Row],[HARGA/ CTN]]*IF(NOTA[[#This Row],[C]]="",0,NOTA[[#This Row],[C]]))</f>
        <v/>
      </c>
      <c r="Y876" s="37" t="str">
        <f>IF(NOTA[[#This Row],[JUMLAH]]="","",NOTA[[#This Row],[JUMLAH]]*NOTA[[#This Row],[DISC 1]])</f>
        <v/>
      </c>
      <c r="Z876" s="37" t="str">
        <f>IF(NOTA[[#This Row],[JUMLAH]]="","",(NOTA[[#This Row],[JUMLAH]]-NOTA[[#This Row],[DISC 1-]])*NOTA[[#This Row],[DISC 2]])</f>
        <v/>
      </c>
      <c r="AA876" s="37" t="str">
        <f>IF(NOTA[[#This Row],[JUMLAH]]="","",(NOTA[[#This Row],[JUMLAH]]-NOTA[[#This Row],[DISC 1-]]-NOTA[[#This Row],[DISC 2-]])*NOTA[[#This Row],[DISC 3]])</f>
        <v/>
      </c>
      <c r="AB876" s="37" t="str">
        <f>IF(NOTA[[#This Row],[JUMLAH]]="","",NOTA[[#This Row],[DISC 1-]]+NOTA[[#This Row],[DISC 2-]]+NOTA[[#This Row],[DISC 3-]])</f>
        <v/>
      </c>
      <c r="AC876" s="37" t="str">
        <f>IF(NOTA[[#This Row],[JUMLAH]]="","",NOTA[[#This Row],[JUMLAH]]-NOTA[[#This Row],[DISC]])</f>
        <v/>
      </c>
      <c r="AD876" s="37"/>
      <c r="AE8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6" s="37" t="str">
        <f>IF(OR(NOTA[[#This Row],[QTY]]="",NOTA[[#This Row],[HARGA SATUAN]]="",),"",NOTA[[#This Row],[QTY]]*NOTA[[#This Row],[HARGA SATUAN]])</f>
        <v/>
      </c>
      <c r="AI876" s="26" t="str">
        <f ca="1">IF(NOTA[[#This Row],[ID_H]]="","",INDEX(NOTA[TANGGAL],MATCH(,INDIRECT(ADDRESS(ROW(NOTA[TANGGAL]),COLUMN(NOTA[TANGGAL]))&amp;":"&amp;ADDRESS(ROW(),COLUMN(NOTA[TANGGAL]))),-1)))</f>
        <v/>
      </c>
      <c r="AJ876" s="26" t="str">
        <f ca="1">IF(NOTA[[#This Row],[ID_H]]="","",INDEX(NOTA[TGL.NOTA],MATCH(,INDIRECT(ADDRESS(ROW(NOTA[TGL.NOTA]),COLUMN(NOTA[TGL.NOTA]))&amp;":"&amp;ADDRESS(ROW(),COLUMN(NOTA[TGL.NOTA]))),-1)))</f>
        <v/>
      </c>
      <c r="AK876" s="26" t="str">
        <f ca="1">IF(NOTA[[#This Row],[ID_H]]="","",INDEX(NOTA[NO.NOTA],MATCH(NOTA[[#This Row],[ID_H]],NOTA[ID_H],0)))</f>
        <v/>
      </c>
      <c r="AL876" s="28" t="str">
        <f ca="1">IF(NOTA[[#This Row],[NAMA BARANG]]="","",INDEX(NOTA[SUPPLIER],MATCH(,INDIRECT(ADDRESS(ROW(NOTA[ID]),COLUMN(NOTA[ID]))&amp;":"&amp;ADDRESS(ROW(),COLUMN(NOTA[ID]))),-1)))</f>
        <v/>
      </c>
      <c r="AM876" s="28" t="str">
        <f ca="1">IF(NOTA[[#This Row],[ID_H]]="","",IF(NOTA[[#This Row],[FAKTUR]]="",INDIRECT(ADDRESS(ROW()-1,COLUMN())),NOTA[[#This Row],[FAKTUR]]))</f>
        <v/>
      </c>
      <c r="AN876" s="25" t="str">
        <f ca="1">IF(NOTA[[#This Row],[ID]]="","",COUNTIF(NOTA[ID_H],NOTA[[#This Row],[ID_H]]))</f>
        <v/>
      </c>
      <c r="AO876" s="25" t="str">
        <f ca="1">IF(NOTA[[#This Row],[TGL.NOTA]]="",IF(NOTA[[#This Row],[SUPPLIER_H]]="","",AO875),MONTH(NOTA[[#This Row],[TGL.NOTA]]))</f>
        <v/>
      </c>
      <c r="AP8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6" s="25"/>
      <c r="AU876" s="25" t="str">
        <f>IF(NOTA[[#This Row],[CONCAT1]]="","",MATCH(NOTA[[#This Row],[CONCAT1]],[3]!db[NB NOTA_C],0))</f>
        <v/>
      </c>
      <c r="AV876" s="25" t="str">
        <f>IF(NOTA[[#This Row],[QTY/ CTN]]="","",TRUE)</f>
        <v/>
      </c>
      <c r="AW876" s="25" t="str">
        <f ca="1">IF(NOTA[[#This Row],[ID_H]]="","",IF(NOTA[[#This Row],[Column3]]=TRUE,NOTA[[#This Row],[QTY/ CTN]],INDEX([3]!db[QTY/ CTN],NOTA[[#This Row],[//DB]])))</f>
        <v/>
      </c>
      <c r="AX8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6" s="25" t="str">
        <f ca="1">IF(NOTA[[#This Row],[ID_H]]="","",MATCH(NOTA[[#This Row],[NB NOTA_C_QTY]],[3]!db[NB NOTA_C_QTY+F],0))</f>
        <v/>
      </c>
      <c r="AZ876" s="38" t="str">
        <f ca="1">IF(NOTA[[#This Row],[NB NOTA_C_QTY]]="","",ROW()-2)</f>
        <v/>
      </c>
    </row>
    <row r="877" spans="1:52" ht="20.100000000000001" customHeight="1">
      <c r="A8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7" s="25" t="str">
        <f ca="1">IF(NOTA[[#This Row],[NAMA BARANG]]="","",INDEX(NOTA[ID],MATCH(,INDIRECT(ADDRESS(ROW(NOTA[ID]),COLUMN(NOTA[ID]))&amp;":"&amp;ADDRESS(ROW(),COLUMN(NOTA[ID]))),-1)))</f>
        <v/>
      </c>
      <c r="E877" s="33"/>
      <c r="H877" s="34"/>
      <c r="Q877" s="29"/>
      <c r="R877" s="35"/>
      <c r="S877" s="36"/>
      <c r="V877" s="37"/>
      <c r="W877" s="32"/>
      <c r="X877" s="37" t="str">
        <f>IF(NOTA[[#This Row],[HARGA/ CTN]]="",NOTA[[#This Row],[JUMLAH_H]],NOTA[[#This Row],[HARGA/ CTN]]*IF(NOTA[[#This Row],[C]]="",0,NOTA[[#This Row],[C]]))</f>
        <v/>
      </c>
      <c r="Y877" s="37" t="str">
        <f>IF(NOTA[[#This Row],[JUMLAH]]="","",NOTA[[#This Row],[JUMLAH]]*NOTA[[#This Row],[DISC 1]])</f>
        <v/>
      </c>
      <c r="Z877" s="37" t="str">
        <f>IF(NOTA[[#This Row],[JUMLAH]]="","",(NOTA[[#This Row],[JUMLAH]]-NOTA[[#This Row],[DISC 1-]])*NOTA[[#This Row],[DISC 2]])</f>
        <v/>
      </c>
      <c r="AA877" s="37" t="str">
        <f>IF(NOTA[[#This Row],[JUMLAH]]="","",(NOTA[[#This Row],[JUMLAH]]-NOTA[[#This Row],[DISC 1-]]-NOTA[[#This Row],[DISC 2-]])*NOTA[[#This Row],[DISC 3]])</f>
        <v/>
      </c>
      <c r="AB877" s="37" t="str">
        <f>IF(NOTA[[#This Row],[JUMLAH]]="","",NOTA[[#This Row],[DISC 1-]]+NOTA[[#This Row],[DISC 2-]]+NOTA[[#This Row],[DISC 3-]])</f>
        <v/>
      </c>
      <c r="AC877" s="37" t="str">
        <f>IF(NOTA[[#This Row],[JUMLAH]]="","",NOTA[[#This Row],[JUMLAH]]-NOTA[[#This Row],[DISC]])</f>
        <v/>
      </c>
      <c r="AD877" s="37"/>
      <c r="AE8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7" s="37" t="str">
        <f>IF(OR(NOTA[[#This Row],[QTY]]="",NOTA[[#This Row],[HARGA SATUAN]]="",),"",NOTA[[#This Row],[QTY]]*NOTA[[#This Row],[HARGA SATUAN]])</f>
        <v/>
      </c>
      <c r="AI877" s="26" t="str">
        <f ca="1">IF(NOTA[[#This Row],[ID_H]]="","",INDEX(NOTA[TANGGAL],MATCH(,INDIRECT(ADDRESS(ROW(NOTA[TANGGAL]),COLUMN(NOTA[TANGGAL]))&amp;":"&amp;ADDRESS(ROW(),COLUMN(NOTA[TANGGAL]))),-1)))</f>
        <v/>
      </c>
      <c r="AJ877" s="26" t="str">
        <f ca="1">IF(NOTA[[#This Row],[ID_H]]="","",INDEX(NOTA[TGL.NOTA],MATCH(,INDIRECT(ADDRESS(ROW(NOTA[TGL.NOTA]),COLUMN(NOTA[TGL.NOTA]))&amp;":"&amp;ADDRESS(ROW(),COLUMN(NOTA[TGL.NOTA]))),-1)))</f>
        <v/>
      </c>
      <c r="AK877" s="26" t="str">
        <f ca="1">IF(NOTA[[#This Row],[ID_H]]="","",INDEX(NOTA[NO.NOTA],MATCH(NOTA[[#This Row],[ID_H]],NOTA[ID_H],0)))</f>
        <v/>
      </c>
      <c r="AL877" s="28" t="str">
        <f ca="1">IF(NOTA[[#This Row],[NAMA BARANG]]="","",INDEX(NOTA[SUPPLIER],MATCH(,INDIRECT(ADDRESS(ROW(NOTA[ID]),COLUMN(NOTA[ID]))&amp;":"&amp;ADDRESS(ROW(),COLUMN(NOTA[ID]))),-1)))</f>
        <v/>
      </c>
      <c r="AM877" s="28" t="str">
        <f ca="1">IF(NOTA[[#This Row],[ID_H]]="","",IF(NOTA[[#This Row],[FAKTUR]]="",INDIRECT(ADDRESS(ROW()-1,COLUMN())),NOTA[[#This Row],[FAKTUR]]))</f>
        <v/>
      </c>
      <c r="AN877" s="25" t="str">
        <f ca="1">IF(NOTA[[#This Row],[ID]]="","",COUNTIF(NOTA[ID_H],NOTA[[#This Row],[ID_H]]))</f>
        <v/>
      </c>
      <c r="AO877" s="25" t="str">
        <f ca="1">IF(NOTA[[#This Row],[TGL.NOTA]]="",IF(NOTA[[#This Row],[SUPPLIER_H]]="","",AO876),MONTH(NOTA[[#This Row],[TGL.NOTA]]))</f>
        <v/>
      </c>
      <c r="AP8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7" s="25"/>
      <c r="AU877" s="25" t="str">
        <f>IF(NOTA[[#This Row],[CONCAT1]]="","",MATCH(NOTA[[#This Row],[CONCAT1]],[3]!db[NB NOTA_C],0))</f>
        <v/>
      </c>
      <c r="AV877" s="25" t="str">
        <f>IF(NOTA[[#This Row],[QTY/ CTN]]="","",TRUE)</f>
        <v/>
      </c>
      <c r="AW877" s="25" t="str">
        <f ca="1">IF(NOTA[[#This Row],[ID_H]]="","",IF(NOTA[[#This Row],[Column3]]=TRUE,NOTA[[#This Row],[QTY/ CTN]],INDEX([3]!db[QTY/ CTN],NOTA[[#This Row],[//DB]])))</f>
        <v/>
      </c>
      <c r="AX8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7" s="25" t="str">
        <f ca="1">IF(NOTA[[#This Row],[ID_H]]="","",MATCH(NOTA[[#This Row],[NB NOTA_C_QTY]],[3]!db[NB NOTA_C_QTY+F],0))</f>
        <v/>
      </c>
      <c r="AZ877" s="38" t="str">
        <f ca="1">IF(NOTA[[#This Row],[NB NOTA_C_QTY]]="","",ROW()-2)</f>
        <v/>
      </c>
    </row>
    <row r="878" spans="1:52" ht="20.100000000000001" customHeight="1">
      <c r="A8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8" s="25" t="str">
        <f ca="1">IF(NOTA[[#This Row],[NAMA BARANG]]="","",INDEX(NOTA[ID],MATCH(,INDIRECT(ADDRESS(ROW(NOTA[ID]),COLUMN(NOTA[ID]))&amp;":"&amp;ADDRESS(ROW(),COLUMN(NOTA[ID]))),-1)))</f>
        <v/>
      </c>
      <c r="E878" s="33"/>
      <c r="H878" s="34"/>
      <c r="Q878" s="29"/>
      <c r="R878" s="35"/>
      <c r="S878" s="36"/>
      <c r="V878" s="37"/>
      <c r="W878" s="32"/>
      <c r="X878" s="37" t="str">
        <f>IF(NOTA[[#This Row],[HARGA/ CTN]]="",NOTA[[#This Row],[JUMLAH_H]],NOTA[[#This Row],[HARGA/ CTN]]*IF(NOTA[[#This Row],[C]]="",0,NOTA[[#This Row],[C]]))</f>
        <v/>
      </c>
      <c r="Y878" s="37" t="str">
        <f>IF(NOTA[[#This Row],[JUMLAH]]="","",NOTA[[#This Row],[JUMLAH]]*NOTA[[#This Row],[DISC 1]])</f>
        <v/>
      </c>
      <c r="Z878" s="37" t="str">
        <f>IF(NOTA[[#This Row],[JUMLAH]]="","",(NOTA[[#This Row],[JUMLAH]]-NOTA[[#This Row],[DISC 1-]])*NOTA[[#This Row],[DISC 2]])</f>
        <v/>
      </c>
      <c r="AA878" s="37" t="str">
        <f>IF(NOTA[[#This Row],[JUMLAH]]="","",(NOTA[[#This Row],[JUMLAH]]-NOTA[[#This Row],[DISC 1-]]-NOTA[[#This Row],[DISC 2-]])*NOTA[[#This Row],[DISC 3]])</f>
        <v/>
      </c>
      <c r="AB878" s="37" t="str">
        <f>IF(NOTA[[#This Row],[JUMLAH]]="","",NOTA[[#This Row],[DISC 1-]]+NOTA[[#This Row],[DISC 2-]]+NOTA[[#This Row],[DISC 3-]])</f>
        <v/>
      </c>
      <c r="AC878" s="37" t="str">
        <f>IF(NOTA[[#This Row],[JUMLAH]]="","",NOTA[[#This Row],[JUMLAH]]-NOTA[[#This Row],[DISC]])</f>
        <v/>
      </c>
      <c r="AD878" s="37"/>
      <c r="AE8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8" s="37" t="str">
        <f>IF(OR(NOTA[[#This Row],[QTY]]="",NOTA[[#This Row],[HARGA SATUAN]]="",),"",NOTA[[#This Row],[QTY]]*NOTA[[#This Row],[HARGA SATUAN]])</f>
        <v/>
      </c>
      <c r="AI878" s="26" t="str">
        <f ca="1">IF(NOTA[[#This Row],[ID_H]]="","",INDEX(NOTA[TANGGAL],MATCH(,INDIRECT(ADDRESS(ROW(NOTA[TANGGAL]),COLUMN(NOTA[TANGGAL]))&amp;":"&amp;ADDRESS(ROW(),COLUMN(NOTA[TANGGAL]))),-1)))</f>
        <v/>
      </c>
      <c r="AJ878" s="26" t="str">
        <f ca="1">IF(NOTA[[#This Row],[ID_H]]="","",INDEX(NOTA[TGL.NOTA],MATCH(,INDIRECT(ADDRESS(ROW(NOTA[TGL.NOTA]),COLUMN(NOTA[TGL.NOTA]))&amp;":"&amp;ADDRESS(ROW(),COLUMN(NOTA[TGL.NOTA]))),-1)))</f>
        <v/>
      </c>
      <c r="AK878" s="26" t="str">
        <f ca="1">IF(NOTA[[#This Row],[ID_H]]="","",INDEX(NOTA[NO.NOTA],MATCH(NOTA[[#This Row],[ID_H]],NOTA[ID_H],0)))</f>
        <v/>
      </c>
      <c r="AL878" s="28" t="str">
        <f ca="1">IF(NOTA[[#This Row],[NAMA BARANG]]="","",INDEX(NOTA[SUPPLIER],MATCH(,INDIRECT(ADDRESS(ROW(NOTA[ID]),COLUMN(NOTA[ID]))&amp;":"&amp;ADDRESS(ROW(),COLUMN(NOTA[ID]))),-1)))</f>
        <v/>
      </c>
      <c r="AM878" s="28" t="str">
        <f ca="1">IF(NOTA[[#This Row],[ID_H]]="","",IF(NOTA[[#This Row],[FAKTUR]]="",INDIRECT(ADDRESS(ROW()-1,COLUMN())),NOTA[[#This Row],[FAKTUR]]))</f>
        <v/>
      </c>
      <c r="AN878" s="25" t="str">
        <f ca="1">IF(NOTA[[#This Row],[ID]]="","",COUNTIF(NOTA[ID_H],NOTA[[#This Row],[ID_H]]))</f>
        <v/>
      </c>
      <c r="AO878" s="25" t="str">
        <f ca="1">IF(NOTA[[#This Row],[TGL.NOTA]]="",IF(NOTA[[#This Row],[SUPPLIER_H]]="","",AO877),MONTH(NOTA[[#This Row],[TGL.NOTA]]))</f>
        <v/>
      </c>
      <c r="AP8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8" s="25"/>
      <c r="AU878" s="25" t="str">
        <f>IF(NOTA[[#This Row],[CONCAT1]]="","",MATCH(NOTA[[#This Row],[CONCAT1]],[3]!db[NB NOTA_C],0))</f>
        <v/>
      </c>
      <c r="AV878" s="25" t="str">
        <f>IF(NOTA[[#This Row],[QTY/ CTN]]="","",TRUE)</f>
        <v/>
      </c>
      <c r="AW878" s="25" t="str">
        <f ca="1">IF(NOTA[[#This Row],[ID_H]]="","",IF(NOTA[[#This Row],[Column3]]=TRUE,NOTA[[#This Row],[QTY/ CTN]],INDEX([3]!db[QTY/ CTN],NOTA[[#This Row],[//DB]])))</f>
        <v/>
      </c>
      <c r="AX8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8" s="25" t="str">
        <f ca="1">IF(NOTA[[#This Row],[ID_H]]="","",MATCH(NOTA[[#This Row],[NB NOTA_C_QTY]],[3]!db[NB NOTA_C_QTY+F],0))</f>
        <v/>
      </c>
      <c r="AZ878" s="38" t="str">
        <f ca="1">IF(NOTA[[#This Row],[NB NOTA_C_QTY]]="","",ROW()-2)</f>
        <v/>
      </c>
    </row>
    <row r="879" spans="1:52" ht="20.100000000000001" customHeight="1">
      <c r="A8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9" s="25" t="str">
        <f ca="1">IF(NOTA[[#This Row],[NAMA BARANG]]="","",INDEX(NOTA[ID],MATCH(,INDIRECT(ADDRESS(ROW(NOTA[ID]),COLUMN(NOTA[ID]))&amp;":"&amp;ADDRESS(ROW(),COLUMN(NOTA[ID]))),-1)))</f>
        <v/>
      </c>
      <c r="E879" s="33"/>
      <c r="H879" s="34"/>
      <c r="Q879" s="29"/>
      <c r="R879" s="35"/>
      <c r="S879" s="36"/>
      <c r="V879" s="37"/>
      <c r="W879" s="32"/>
      <c r="X879" s="37" t="str">
        <f>IF(NOTA[[#This Row],[HARGA/ CTN]]="",NOTA[[#This Row],[JUMLAH_H]],NOTA[[#This Row],[HARGA/ CTN]]*IF(NOTA[[#This Row],[C]]="",0,NOTA[[#This Row],[C]]))</f>
        <v/>
      </c>
      <c r="Y879" s="37" t="str">
        <f>IF(NOTA[[#This Row],[JUMLAH]]="","",NOTA[[#This Row],[JUMLAH]]*NOTA[[#This Row],[DISC 1]])</f>
        <v/>
      </c>
      <c r="Z879" s="37" t="str">
        <f>IF(NOTA[[#This Row],[JUMLAH]]="","",(NOTA[[#This Row],[JUMLAH]]-NOTA[[#This Row],[DISC 1-]])*NOTA[[#This Row],[DISC 2]])</f>
        <v/>
      </c>
      <c r="AA879" s="37" t="str">
        <f>IF(NOTA[[#This Row],[JUMLAH]]="","",(NOTA[[#This Row],[JUMLAH]]-NOTA[[#This Row],[DISC 1-]]-NOTA[[#This Row],[DISC 2-]])*NOTA[[#This Row],[DISC 3]])</f>
        <v/>
      </c>
      <c r="AB879" s="37" t="str">
        <f>IF(NOTA[[#This Row],[JUMLAH]]="","",NOTA[[#This Row],[DISC 1-]]+NOTA[[#This Row],[DISC 2-]]+NOTA[[#This Row],[DISC 3-]])</f>
        <v/>
      </c>
      <c r="AC879" s="37" t="str">
        <f>IF(NOTA[[#This Row],[JUMLAH]]="","",NOTA[[#This Row],[JUMLAH]]-NOTA[[#This Row],[DISC]])</f>
        <v/>
      </c>
      <c r="AD879" s="37"/>
      <c r="AE8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9" s="37" t="str">
        <f>IF(OR(NOTA[[#This Row],[QTY]]="",NOTA[[#This Row],[HARGA SATUAN]]="",),"",NOTA[[#This Row],[QTY]]*NOTA[[#This Row],[HARGA SATUAN]])</f>
        <v/>
      </c>
      <c r="AI879" s="26" t="str">
        <f ca="1">IF(NOTA[[#This Row],[ID_H]]="","",INDEX(NOTA[TANGGAL],MATCH(,INDIRECT(ADDRESS(ROW(NOTA[TANGGAL]),COLUMN(NOTA[TANGGAL]))&amp;":"&amp;ADDRESS(ROW(),COLUMN(NOTA[TANGGAL]))),-1)))</f>
        <v/>
      </c>
      <c r="AJ879" s="26" t="str">
        <f ca="1">IF(NOTA[[#This Row],[ID_H]]="","",INDEX(NOTA[TGL.NOTA],MATCH(,INDIRECT(ADDRESS(ROW(NOTA[TGL.NOTA]),COLUMN(NOTA[TGL.NOTA]))&amp;":"&amp;ADDRESS(ROW(),COLUMN(NOTA[TGL.NOTA]))),-1)))</f>
        <v/>
      </c>
      <c r="AK879" s="26" t="str">
        <f ca="1">IF(NOTA[[#This Row],[ID_H]]="","",INDEX(NOTA[NO.NOTA],MATCH(NOTA[[#This Row],[ID_H]],NOTA[ID_H],0)))</f>
        <v/>
      </c>
      <c r="AL879" s="28" t="str">
        <f ca="1">IF(NOTA[[#This Row],[NAMA BARANG]]="","",INDEX(NOTA[SUPPLIER],MATCH(,INDIRECT(ADDRESS(ROW(NOTA[ID]),COLUMN(NOTA[ID]))&amp;":"&amp;ADDRESS(ROW(),COLUMN(NOTA[ID]))),-1)))</f>
        <v/>
      </c>
      <c r="AM879" s="28" t="str">
        <f ca="1">IF(NOTA[[#This Row],[ID_H]]="","",IF(NOTA[[#This Row],[FAKTUR]]="",INDIRECT(ADDRESS(ROW()-1,COLUMN())),NOTA[[#This Row],[FAKTUR]]))</f>
        <v/>
      </c>
      <c r="AN879" s="25" t="str">
        <f ca="1">IF(NOTA[[#This Row],[ID]]="","",COUNTIF(NOTA[ID_H],NOTA[[#This Row],[ID_H]]))</f>
        <v/>
      </c>
      <c r="AO879" s="25" t="str">
        <f ca="1">IF(NOTA[[#This Row],[TGL.NOTA]]="",IF(NOTA[[#This Row],[SUPPLIER_H]]="","",AO878),MONTH(NOTA[[#This Row],[TGL.NOTA]]))</f>
        <v/>
      </c>
      <c r="AP8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9" s="25"/>
      <c r="AU879" s="25" t="str">
        <f>IF(NOTA[[#This Row],[CONCAT1]]="","",MATCH(NOTA[[#This Row],[CONCAT1]],[3]!db[NB NOTA_C],0))</f>
        <v/>
      </c>
      <c r="AV879" s="25" t="str">
        <f>IF(NOTA[[#This Row],[QTY/ CTN]]="","",TRUE)</f>
        <v/>
      </c>
      <c r="AW879" s="25" t="str">
        <f ca="1">IF(NOTA[[#This Row],[ID_H]]="","",IF(NOTA[[#This Row],[Column3]]=TRUE,NOTA[[#This Row],[QTY/ CTN]],INDEX([3]!db[QTY/ CTN],NOTA[[#This Row],[//DB]])))</f>
        <v/>
      </c>
      <c r="AX8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9" s="25" t="str">
        <f ca="1">IF(NOTA[[#This Row],[ID_H]]="","",MATCH(NOTA[[#This Row],[NB NOTA_C_QTY]],[3]!db[NB NOTA_C_QTY+F],0))</f>
        <v/>
      </c>
      <c r="AZ879" s="38" t="str">
        <f ca="1">IF(NOTA[[#This Row],[NB NOTA_C_QTY]]="","",ROW()-2)</f>
        <v/>
      </c>
    </row>
    <row r="880" spans="1:52" ht="20.100000000000001" customHeight="1">
      <c r="A8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0" s="25" t="str">
        <f ca="1">IF(NOTA[[#This Row],[NAMA BARANG]]="","",INDEX(NOTA[ID],MATCH(,INDIRECT(ADDRESS(ROW(NOTA[ID]),COLUMN(NOTA[ID]))&amp;":"&amp;ADDRESS(ROW(),COLUMN(NOTA[ID]))),-1)))</f>
        <v/>
      </c>
      <c r="E880" s="33"/>
      <c r="H880" s="34"/>
      <c r="Q880" s="29"/>
      <c r="R880" s="35"/>
      <c r="S880" s="36"/>
      <c r="V880" s="37"/>
      <c r="W880" s="32"/>
      <c r="X880" s="37" t="str">
        <f>IF(NOTA[[#This Row],[HARGA/ CTN]]="",NOTA[[#This Row],[JUMLAH_H]],NOTA[[#This Row],[HARGA/ CTN]]*IF(NOTA[[#This Row],[C]]="",0,NOTA[[#This Row],[C]]))</f>
        <v/>
      </c>
      <c r="Y880" s="37" t="str">
        <f>IF(NOTA[[#This Row],[JUMLAH]]="","",NOTA[[#This Row],[JUMLAH]]*NOTA[[#This Row],[DISC 1]])</f>
        <v/>
      </c>
      <c r="Z880" s="37" t="str">
        <f>IF(NOTA[[#This Row],[JUMLAH]]="","",(NOTA[[#This Row],[JUMLAH]]-NOTA[[#This Row],[DISC 1-]])*NOTA[[#This Row],[DISC 2]])</f>
        <v/>
      </c>
      <c r="AA880" s="37" t="str">
        <f>IF(NOTA[[#This Row],[JUMLAH]]="","",(NOTA[[#This Row],[JUMLAH]]-NOTA[[#This Row],[DISC 1-]]-NOTA[[#This Row],[DISC 2-]])*NOTA[[#This Row],[DISC 3]])</f>
        <v/>
      </c>
      <c r="AB880" s="37" t="str">
        <f>IF(NOTA[[#This Row],[JUMLAH]]="","",NOTA[[#This Row],[DISC 1-]]+NOTA[[#This Row],[DISC 2-]]+NOTA[[#This Row],[DISC 3-]])</f>
        <v/>
      </c>
      <c r="AC880" s="37" t="str">
        <f>IF(NOTA[[#This Row],[JUMLAH]]="","",NOTA[[#This Row],[JUMLAH]]-NOTA[[#This Row],[DISC]])</f>
        <v/>
      </c>
      <c r="AD880" s="37"/>
      <c r="AE8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0" s="37" t="str">
        <f>IF(OR(NOTA[[#This Row],[QTY]]="",NOTA[[#This Row],[HARGA SATUAN]]="",),"",NOTA[[#This Row],[QTY]]*NOTA[[#This Row],[HARGA SATUAN]])</f>
        <v/>
      </c>
      <c r="AI880" s="26" t="str">
        <f ca="1">IF(NOTA[[#This Row],[ID_H]]="","",INDEX(NOTA[TANGGAL],MATCH(,INDIRECT(ADDRESS(ROW(NOTA[TANGGAL]),COLUMN(NOTA[TANGGAL]))&amp;":"&amp;ADDRESS(ROW(),COLUMN(NOTA[TANGGAL]))),-1)))</f>
        <v/>
      </c>
      <c r="AJ880" s="26" t="str">
        <f ca="1">IF(NOTA[[#This Row],[ID_H]]="","",INDEX(NOTA[TGL.NOTA],MATCH(,INDIRECT(ADDRESS(ROW(NOTA[TGL.NOTA]),COLUMN(NOTA[TGL.NOTA]))&amp;":"&amp;ADDRESS(ROW(),COLUMN(NOTA[TGL.NOTA]))),-1)))</f>
        <v/>
      </c>
      <c r="AK880" s="26" t="str">
        <f ca="1">IF(NOTA[[#This Row],[ID_H]]="","",INDEX(NOTA[NO.NOTA],MATCH(NOTA[[#This Row],[ID_H]],NOTA[ID_H],0)))</f>
        <v/>
      </c>
      <c r="AL880" s="28" t="str">
        <f ca="1">IF(NOTA[[#This Row],[NAMA BARANG]]="","",INDEX(NOTA[SUPPLIER],MATCH(,INDIRECT(ADDRESS(ROW(NOTA[ID]),COLUMN(NOTA[ID]))&amp;":"&amp;ADDRESS(ROW(),COLUMN(NOTA[ID]))),-1)))</f>
        <v/>
      </c>
      <c r="AM880" s="28" t="str">
        <f ca="1">IF(NOTA[[#This Row],[ID_H]]="","",IF(NOTA[[#This Row],[FAKTUR]]="",INDIRECT(ADDRESS(ROW()-1,COLUMN())),NOTA[[#This Row],[FAKTUR]]))</f>
        <v/>
      </c>
      <c r="AN880" s="25" t="str">
        <f ca="1">IF(NOTA[[#This Row],[ID]]="","",COUNTIF(NOTA[ID_H],NOTA[[#This Row],[ID_H]]))</f>
        <v/>
      </c>
      <c r="AO880" s="25" t="str">
        <f ca="1">IF(NOTA[[#This Row],[TGL.NOTA]]="",IF(NOTA[[#This Row],[SUPPLIER_H]]="","",AO879),MONTH(NOTA[[#This Row],[TGL.NOTA]]))</f>
        <v/>
      </c>
      <c r="AP8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0" s="25"/>
      <c r="AU880" s="25" t="str">
        <f>IF(NOTA[[#This Row],[CONCAT1]]="","",MATCH(NOTA[[#This Row],[CONCAT1]],[3]!db[NB NOTA_C],0))</f>
        <v/>
      </c>
      <c r="AV880" s="25" t="str">
        <f>IF(NOTA[[#This Row],[QTY/ CTN]]="","",TRUE)</f>
        <v/>
      </c>
      <c r="AW880" s="25" t="str">
        <f ca="1">IF(NOTA[[#This Row],[ID_H]]="","",IF(NOTA[[#This Row],[Column3]]=TRUE,NOTA[[#This Row],[QTY/ CTN]],INDEX([3]!db[QTY/ CTN],NOTA[[#This Row],[//DB]])))</f>
        <v/>
      </c>
      <c r="AX8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0" s="25" t="str">
        <f ca="1">IF(NOTA[[#This Row],[ID_H]]="","",MATCH(NOTA[[#This Row],[NB NOTA_C_QTY]],[3]!db[NB NOTA_C_QTY+F],0))</f>
        <v/>
      </c>
      <c r="AZ880" s="38" t="str">
        <f ca="1">IF(NOTA[[#This Row],[NB NOTA_C_QTY]]="","",ROW()-2)</f>
        <v/>
      </c>
    </row>
    <row r="881" spans="1:52" ht="20.100000000000001" customHeight="1">
      <c r="A8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1" s="25" t="str">
        <f ca="1">IF(NOTA[[#This Row],[NAMA BARANG]]="","",INDEX(NOTA[ID],MATCH(,INDIRECT(ADDRESS(ROW(NOTA[ID]),COLUMN(NOTA[ID]))&amp;":"&amp;ADDRESS(ROW(),COLUMN(NOTA[ID]))),-1)))</f>
        <v/>
      </c>
      <c r="E881" s="33"/>
      <c r="H881" s="34"/>
      <c r="Q881" s="29"/>
      <c r="R881" s="35"/>
      <c r="S881" s="36"/>
      <c r="V881" s="37"/>
      <c r="W881" s="32"/>
      <c r="X881" s="37" t="str">
        <f>IF(NOTA[[#This Row],[HARGA/ CTN]]="",NOTA[[#This Row],[JUMLAH_H]],NOTA[[#This Row],[HARGA/ CTN]]*IF(NOTA[[#This Row],[C]]="",0,NOTA[[#This Row],[C]]))</f>
        <v/>
      </c>
      <c r="Y881" s="37" t="str">
        <f>IF(NOTA[[#This Row],[JUMLAH]]="","",NOTA[[#This Row],[JUMLAH]]*NOTA[[#This Row],[DISC 1]])</f>
        <v/>
      </c>
      <c r="Z881" s="37" t="str">
        <f>IF(NOTA[[#This Row],[JUMLAH]]="","",(NOTA[[#This Row],[JUMLAH]]-NOTA[[#This Row],[DISC 1-]])*NOTA[[#This Row],[DISC 2]])</f>
        <v/>
      </c>
      <c r="AA881" s="37" t="str">
        <f>IF(NOTA[[#This Row],[JUMLAH]]="","",(NOTA[[#This Row],[JUMLAH]]-NOTA[[#This Row],[DISC 1-]]-NOTA[[#This Row],[DISC 2-]])*NOTA[[#This Row],[DISC 3]])</f>
        <v/>
      </c>
      <c r="AB881" s="37" t="str">
        <f>IF(NOTA[[#This Row],[JUMLAH]]="","",NOTA[[#This Row],[DISC 1-]]+NOTA[[#This Row],[DISC 2-]]+NOTA[[#This Row],[DISC 3-]])</f>
        <v/>
      </c>
      <c r="AC881" s="37" t="str">
        <f>IF(NOTA[[#This Row],[JUMLAH]]="","",NOTA[[#This Row],[JUMLAH]]-NOTA[[#This Row],[DISC]])</f>
        <v/>
      </c>
      <c r="AD881" s="37"/>
      <c r="AE8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1" s="37" t="str">
        <f>IF(OR(NOTA[[#This Row],[QTY]]="",NOTA[[#This Row],[HARGA SATUAN]]="",),"",NOTA[[#This Row],[QTY]]*NOTA[[#This Row],[HARGA SATUAN]])</f>
        <v/>
      </c>
      <c r="AI881" s="26" t="str">
        <f ca="1">IF(NOTA[[#This Row],[ID_H]]="","",INDEX(NOTA[TANGGAL],MATCH(,INDIRECT(ADDRESS(ROW(NOTA[TANGGAL]),COLUMN(NOTA[TANGGAL]))&amp;":"&amp;ADDRESS(ROW(),COLUMN(NOTA[TANGGAL]))),-1)))</f>
        <v/>
      </c>
      <c r="AJ881" s="26" t="str">
        <f ca="1">IF(NOTA[[#This Row],[ID_H]]="","",INDEX(NOTA[TGL.NOTA],MATCH(,INDIRECT(ADDRESS(ROW(NOTA[TGL.NOTA]),COLUMN(NOTA[TGL.NOTA]))&amp;":"&amp;ADDRESS(ROW(),COLUMN(NOTA[TGL.NOTA]))),-1)))</f>
        <v/>
      </c>
      <c r="AK881" s="26" t="str">
        <f ca="1">IF(NOTA[[#This Row],[ID_H]]="","",INDEX(NOTA[NO.NOTA],MATCH(NOTA[[#This Row],[ID_H]],NOTA[ID_H],0)))</f>
        <v/>
      </c>
      <c r="AL881" s="28" t="str">
        <f ca="1">IF(NOTA[[#This Row],[NAMA BARANG]]="","",INDEX(NOTA[SUPPLIER],MATCH(,INDIRECT(ADDRESS(ROW(NOTA[ID]),COLUMN(NOTA[ID]))&amp;":"&amp;ADDRESS(ROW(),COLUMN(NOTA[ID]))),-1)))</f>
        <v/>
      </c>
      <c r="AM881" s="28" t="str">
        <f ca="1">IF(NOTA[[#This Row],[ID_H]]="","",IF(NOTA[[#This Row],[FAKTUR]]="",INDIRECT(ADDRESS(ROW()-1,COLUMN())),NOTA[[#This Row],[FAKTUR]]))</f>
        <v/>
      </c>
      <c r="AN881" s="25" t="str">
        <f ca="1">IF(NOTA[[#This Row],[ID]]="","",COUNTIF(NOTA[ID_H],NOTA[[#This Row],[ID_H]]))</f>
        <v/>
      </c>
      <c r="AO881" s="25" t="str">
        <f ca="1">IF(NOTA[[#This Row],[TGL.NOTA]]="",IF(NOTA[[#This Row],[SUPPLIER_H]]="","",AO880),MONTH(NOTA[[#This Row],[TGL.NOTA]]))</f>
        <v/>
      </c>
      <c r="AP8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1" s="25"/>
      <c r="AU881" s="25" t="str">
        <f>IF(NOTA[[#This Row],[CONCAT1]]="","",MATCH(NOTA[[#This Row],[CONCAT1]],[3]!db[NB NOTA_C],0))</f>
        <v/>
      </c>
      <c r="AV881" s="25" t="str">
        <f>IF(NOTA[[#This Row],[QTY/ CTN]]="","",TRUE)</f>
        <v/>
      </c>
      <c r="AW881" s="25" t="str">
        <f ca="1">IF(NOTA[[#This Row],[ID_H]]="","",IF(NOTA[[#This Row],[Column3]]=TRUE,NOTA[[#This Row],[QTY/ CTN]],INDEX([3]!db[QTY/ CTN],NOTA[[#This Row],[//DB]])))</f>
        <v/>
      </c>
      <c r="AX8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1" s="25" t="str">
        <f ca="1">IF(NOTA[[#This Row],[ID_H]]="","",MATCH(NOTA[[#This Row],[NB NOTA_C_QTY]],[3]!db[NB NOTA_C_QTY+F],0))</f>
        <v/>
      </c>
      <c r="AZ881" s="38" t="str">
        <f ca="1">IF(NOTA[[#This Row],[NB NOTA_C_QTY]]="","",ROW()-2)</f>
        <v/>
      </c>
    </row>
    <row r="882" spans="1:52" ht="20.100000000000001" customHeight="1">
      <c r="A8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2" s="25" t="str">
        <f ca="1">IF(NOTA[[#This Row],[NAMA BARANG]]="","",INDEX(NOTA[ID],MATCH(,INDIRECT(ADDRESS(ROW(NOTA[ID]),COLUMN(NOTA[ID]))&amp;":"&amp;ADDRESS(ROW(),COLUMN(NOTA[ID]))),-1)))</f>
        <v/>
      </c>
      <c r="E882" s="33"/>
      <c r="H882" s="34"/>
      <c r="Q882" s="29"/>
      <c r="R882" s="35"/>
      <c r="S882" s="36"/>
      <c r="V882" s="37"/>
      <c r="W882" s="32"/>
      <c r="X882" s="37" t="str">
        <f>IF(NOTA[[#This Row],[HARGA/ CTN]]="",NOTA[[#This Row],[JUMLAH_H]],NOTA[[#This Row],[HARGA/ CTN]]*IF(NOTA[[#This Row],[C]]="",0,NOTA[[#This Row],[C]]))</f>
        <v/>
      </c>
      <c r="Y882" s="37" t="str">
        <f>IF(NOTA[[#This Row],[JUMLAH]]="","",NOTA[[#This Row],[JUMLAH]]*NOTA[[#This Row],[DISC 1]])</f>
        <v/>
      </c>
      <c r="Z882" s="37" t="str">
        <f>IF(NOTA[[#This Row],[JUMLAH]]="","",(NOTA[[#This Row],[JUMLAH]]-NOTA[[#This Row],[DISC 1-]])*NOTA[[#This Row],[DISC 2]])</f>
        <v/>
      </c>
      <c r="AA882" s="37" t="str">
        <f>IF(NOTA[[#This Row],[JUMLAH]]="","",(NOTA[[#This Row],[JUMLAH]]-NOTA[[#This Row],[DISC 1-]]-NOTA[[#This Row],[DISC 2-]])*NOTA[[#This Row],[DISC 3]])</f>
        <v/>
      </c>
      <c r="AB882" s="37" t="str">
        <f>IF(NOTA[[#This Row],[JUMLAH]]="","",NOTA[[#This Row],[DISC 1-]]+NOTA[[#This Row],[DISC 2-]]+NOTA[[#This Row],[DISC 3-]])</f>
        <v/>
      </c>
      <c r="AC882" s="37" t="str">
        <f>IF(NOTA[[#This Row],[JUMLAH]]="","",NOTA[[#This Row],[JUMLAH]]-NOTA[[#This Row],[DISC]])</f>
        <v/>
      </c>
      <c r="AD882" s="37"/>
      <c r="AE8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2" s="37" t="str">
        <f>IF(OR(NOTA[[#This Row],[QTY]]="",NOTA[[#This Row],[HARGA SATUAN]]="",),"",NOTA[[#This Row],[QTY]]*NOTA[[#This Row],[HARGA SATUAN]])</f>
        <v/>
      </c>
      <c r="AI882" s="26" t="str">
        <f ca="1">IF(NOTA[[#This Row],[ID_H]]="","",INDEX(NOTA[TANGGAL],MATCH(,INDIRECT(ADDRESS(ROW(NOTA[TANGGAL]),COLUMN(NOTA[TANGGAL]))&amp;":"&amp;ADDRESS(ROW(),COLUMN(NOTA[TANGGAL]))),-1)))</f>
        <v/>
      </c>
      <c r="AJ882" s="26" t="str">
        <f ca="1">IF(NOTA[[#This Row],[ID_H]]="","",INDEX(NOTA[TGL.NOTA],MATCH(,INDIRECT(ADDRESS(ROW(NOTA[TGL.NOTA]),COLUMN(NOTA[TGL.NOTA]))&amp;":"&amp;ADDRESS(ROW(),COLUMN(NOTA[TGL.NOTA]))),-1)))</f>
        <v/>
      </c>
      <c r="AK882" s="26" t="str">
        <f ca="1">IF(NOTA[[#This Row],[ID_H]]="","",INDEX(NOTA[NO.NOTA],MATCH(NOTA[[#This Row],[ID_H]],NOTA[ID_H],0)))</f>
        <v/>
      </c>
      <c r="AL882" s="28" t="str">
        <f ca="1">IF(NOTA[[#This Row],[NAMA BARANG]]="","",INDEX(NOTA[SUPPLIER],MATCH(,INDIRECT(ADDRESS(ROW(NOTA[ID]),COLUMN(NOTA[ID]))&amp;":"&amp;ADDRESS(ROW(),COLUMN(NOTA[ID]))),-1)))</f>
        <v/>
      </c>
      <c r="AM882" s="28" t="str">
        <f ca="1">IF(NOTA[[#This Row],[ID_H]]="","",IF(NOTA[[#This Row],[FAKTUR]]="",INDIRECT(ADDRESS(ROW()-1,COLUMN())),NOTA[[#This Row],[FAKTUR]]))</f>
        <v/>
      </c>
      <c r="AN882" s="25" t="str">
        <f ca="1">IF(NOTA[[#This Row],[ID]]="","",COUNTIF(NOTA[ID_H],NOTA[[#This Row],[ID_H]]))</f>
        <v/>
      </c>
      <c r="AO882" s="25" t="str">
        <f ca="1">IF(NOTA[[#This Row],[TGL.NOTA]]="",IF(NOTA[[#This Row],[SUPPLIER_H]]="","",AO881),MONTH(NOTA[[#This Row],[TGL.NOTA]]))</f>
        <v/>
      </c>
      <c r="AP8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2" s="25"/>
      <c r="AU882" s="25" t="str">
        <f>IF(NOTA[[#This Row],[CONCAT1]]="","",MATCH(NOTA[[#This Row],[CONCAT1]],[3]!db[NB NOTA_C],0))</f>
        <v/>
      </c>
      <c r="AV882" s="25" t="str">
        <f>IF(NOTA[[#This Row],[QTY/ CTN]]="","",TRUE)</f>
        <v/>
      </c>
      <c r="AW882" s="25" t="str">
        <f ca="1">IF(NOTA[[#This Row],[ID_H]]="","",IF(NOTA[[#This Row],[Column3]]=TRUE,NOTA[[#This Row],[QTY/ CTN]],INDEX([3]!db[QTY/ CTN],NOTA[[#This Row],[//DB]])))</f>
        <v/>
      </c>
      <c r="AX8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2" s="25" t="str">
        <f ca="1">IF(NOTA[[#This Row],[ID_H]]="","",MATCH(NOTA[[#This Row],[NB NOTA_C_QTY]],[3]!db[NB NOTA_C_QTY+F],0))</f>
        <v/>
      </c>
      <c r="AZ882" s="38" t="str">
        <f ca="1">IF(NOTA[[#This Row],[NB NOTA_C_QTY]]="","",ROW()-2)</f>
        <v/>
      </c>
    </row>
    <row r="883" spans="1:52" ht="20.100000000000001" customHeight="1">
      <c r="A8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3" s="25" t="str">
        <f ca="1">IF(NOTA[[#This Row],[NAMA BARANG]]="","",INDEX(NOTA[ID],MATCH(,INDIRECT(ADDRESS(ROW(NOTA[ID]),COLUMN(NOTA[ID]))&amp;":"&amp;ADDRESS(ROW(),COLUMN(NOTA[ID]))),-1)))</f>
        <v/>
      </c>
      <c r="E883" s="33"/>
      <c r="H883" s="34"/>
      <c r="Q883" s="29"/>
      <c r="R883" s="35"/>
      <c r="S883" s="36"/>
      <c r="V883" s="37"/>
      <c r="W883" s="32"/>
      <c r="X883" s="37" t="str">
        <f>IF(NOTA[[#This Row],[HARGA/ CTN]]="",NOTA[[#This Row],[JUMLAH_H]],NOTA[[#This Row],[HARGA/ CTN]]*IF(NOTA[[#This Row],[C]]="",0,NOTA[[#This Row],[C]]))</f>
        <v/>
      </c>
      <c r="Y883" s="37" t="str">
        <f>IF(NOTA[[#This Row],[JUMLAH]]="","",NOTA[[#This Row],[JUMLAH]]*NOTA[[#This Row],[DISC 1]])</f>
        <v/>
      </c>
      <c r="Z883" s="37" t="str">
        <f>IF(NOTA[[#This Row],[JUMLAH]]="","",(NOTA[[#This Row],[JUMLAH]]-NOTA[[#This Row],[DISC 1-]])*NOTA[[#This Row],[DISC 2]])</f>
        <v/>
      </c>
      <c r="AA883" s="37" t="str">
        <f>IF(NOTA[[#This Row],[JUMLAH]]="","",(NOTA[[#This Row],[JUMLAH]]-NOTA[[#This Row],[DISC 1-]]-NOTA[[#This Row],[DISC 2-]])*NOTA[[#This Row],[DISC 3]])</f>
        <v/>
      </c>
      <c r="AB883" s="37" t="str">
        <f>IF(NOTA[[#This Row],[JUMLAH]]="","",NOTA[[#This Row],[DISC 1-]]+NOTA[[#This Row],[DISC 2-]]+NOTA[[#This Row],[DISC 3-]])</f>
        <v/>
      </c>
      <c r="AC883" s="37" t="str">
        <f>IF(NOTA[[#This Row],[JUMLAH]]="","",NOTA[[#This Row],[JUMLAH]]-NOTA[[#This Row],[DISC]])</f>
        <v/>
      </c>
      <c r="AD883" s="37"/>
      <c r="AE8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3" s="37" t="str">
        <f>IF(OR(NOTA[[#This Row],[QTY]]="",NOTA[[#This Row],[HARGA SATUAN]]="",),"",NOTA[[#This Row],[QTY]]*NOTA[[#This Row],[HARGA SATUAN]])</f>
        <v/>
      </c>
      <c r="AI883" s="26" t="str">
        <f ca="1">IF(NOTA[[#This Row],[ID_H]]="","",INDEX(NOTA[TANGGAL],MATCH(,INDIRECT(ADDRESS(ROW(NOTA[TANGGAL]),COLUMN(NOTA[TANGGAL]))&amp;":"&amp;ADDRESS(ROW(),COLUMN(NOTA[TANGGAL]))),-1)))</f>
        <v/>
      </c>
      <c r="AJ883" s="26" t="str">
        <f ca="1">IF(NOTA[[#This Row],[ID_H]]="","",INDEX(NOTA[TGL.NOTA],MATCH(,INDIRECT(ADDRESS(ROW(NOTA[TGL.NOTA]),COLUMN(NOTA[TGL.NOTA]))&amp;":"&amp;ADDRESS(ROW(),COLUMN(NOTA[TGL.NOTA]))),-1)))</f>
        <v/>
      </c>
      <c r="AK883" s="26" t="str">
        <f ca="1">IF(NOTA[[#This Row],[ID_H]]="","",INDEX(NOTA[NO.NOTA],MATCH(NOTA[[#This Row],[ID_H]],NOTA[ID_H],0)))</f>
        <v/>
      </c>
      <c r="AL883" s="28" t="str">
        <f ca="1">IF(NOTA[[#This Row],[NAMA BARANG]]="","",INDEX(NOTA[SUPPLIER],MATCH(,INDIRECT(ADDRESS(ROW(NOTA[ID]),COLUMN(NOTA[ID]))&amp;":"&amp;ADDRESS(ROW(),COLUMN(NOTA[ID]))),-1)))</f>
        <v/>
      </c>
      <c r="AM883" s="28" t="str">
        <f ca="1">IF(NOTA[[#This Row],[ID_H]]="","",IF(NOTA[[#This Row],[FAKTUR]]="",INDIRECT(ADDRESS(ROW()-1,COLUMN())),NOTA[[#This Row],[FAKTUR]]))</f>
        <v/>
      </c>
      <c r="AN883" s="25" t="str">
        <f ca="1">IF(NOTA[[#This Row],[ID]]="","",COUNTIF(NOTA[ID_H],NOTA[[#This Row],[ID_H]]))</f>
        <v/>
      </c>
      <c r="AO883" s="25" t="str">
        <f ca="1">IF(NOTA[[#This Row],[TGL.NOTA]]="",IF(NOTA[[#This Row],[SUPPLIER_H]]="","",AO882),MONTH(NOTA[[#This Row],[TGL.NOTA]]))</f>
        <v/>
      </c>
      <c r="AP8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3" s="25"/>
      <c r="AU883" s="25" t="str">
        <f>IF(NOTA[[#This Row],[CONCAT1]]="","",MATCH(NOTA[[#This Row],[CONCAT1]],[3]!db[NB NOTA_C],0))</f>
        <v/>
      </c>
      <c r="AV883" s="25" t="str">
        <f>IF(NOTA[[#This Row],[QTY/ CTN]]="","",TRUE)</f>
        <v/>
      </c>
      <c r="AW883" s="25" t="str">
        <f ca="1">IF(NOTA[[#This Row],[ID_H]]="","",IF(NOTA[[#This Row],[Column3]]=TRUE,NOTA[[#This Row],[QTY/ CTN]],INDEX([3]!db[QTY/ CTN],NOTA[[#This Row],[//DB]])))</f>
        <v/>
      </c>
      <c r="AX8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3" s="25" t="str">
        <f ca="1">IF(NOTA[[#This Row],[ID_H]]="","",MATCH(NOTA[[#This Row],[NB NOTA_C_QTY]],[3]!db[NB NOTA_C_QTY+F],0))</f>
        <v/>
      </c>
      <c r="AZ883" s="38" t="str">
        <f ca="1">IF(NOTA[[#This Row],[NB NOTA_C_QTY]]="","",ROW()-2)</f>
        <v/>
      </c>
    </row>
    <row r="884" spans="1:52" ht="20.100000000000001" customHeight="1">
      <c r="A8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4" s="25" t="str">
        <f ca="1">IF(NOTA[[#This Row],[NAMA BARANG]]="","",INDEX(NOTA[ID],MATCH(,INDIRECT(ADDRESS(ROW(NOTA[ID]),COLUMN(NOTA[ID]))&amp;":"&amp;ADDRESS(ROW(),COLUMN(NOTA[ID]))),-1)))</f>
        <v/>
      </c>
      <c r="E884" s="33"/>
      <c r="H884" s="34"/>
      <c r="Q884" s="29"/>
      <c r="R884" s="35"/>
      <c r="S884" s="36"/>
      <c r="V884" s="37"/>
      <c r="W884" s="32"/>
      <c r="X884" s="37" t="str">
        <f>IF(NOTA[[#This Row],[HARGA/ CTN]]="",NOTA[[#This Row],[JUMLAH_H]],NOTA[[#This Row],[HARGA/ CTN]]*IF(NOTA[[#This Row],[C]]="",0,NOTA[[#This Row],[C]]))</f>
        <v/>
      </c>
      <c r="Y884" s="37" t="str">
        <f>IF(NOTA[[#This Row],[JUMLAH]]="","",NOTA[[#This Row],[JUMLAH]]*NOTA[[#This Row],[DISC 1]])</f>
        <v/>
      </c>
      <c r="Z884" s="37" t="str">
        <f>IF(NOTA[[#This Row],[JUMLAH]]="","",(NOTA[[#This Row],[JUMLAH]]-NOTA[[#This Row],[DISC 1-]])*NOTA[[#This Row],[DISC 2]])</f>
        <v/>
      </c>
      <c r="AA884" s="37" t="str">
        <f>IF(NOTA[[#This Row],[JUMLAH]]="","",(NOTA[[#This Row],[JUMLAH]]-NOTA[[#This Row],[DISC 1-]]-NOTA[[#This Row],[DISC 2-]])*NOTA[[#This Row],[DISC 3]])</f>
        <v/>
      </c>
      <c r="AB884" s="37" t="str">
        <f>IF(NOTA[[#This Row],[JUMLAH]]="","",NOTA[[#This Row],[DISC 1-]]+NOTA[[#This Row],[DISC 2-]]+NOTA[[#This Row],[DISC 3-]])</f>
        <v/>
      </c>
      <c r="AC884" s="37" t="str">
        <f>IF(NOTA[[#This Row],[JUMLAH]]="","",NOTA[[#This Row],[JUMLAH]]-NOTA[[#This Row],[DISC]])</f>
        <v/>
      </c>
      <c r="AD884" s="37"/>
      <c r="AE8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4" s="37" t="str">
        <f>IF(OR(NOTA[[#This Row],[QTY]]="",NOTA[[#This Row],[HARGA SATUAN]]="",),"",NOTA[[#This Row],[QTY]]*NOTA[[#This Row],[HARGA SATUAN]])</f>
        <v/>
      </c>
      <c r="AI884" s="26" t="str">
        <f ca="1">IF(NOTA[[#This Row],[ID_H]]="","",INDEX(NOTA[TANGGAL],MATCH(,INDIRECT(ADDRESS(ROW(NOTA[TANGGAL]),COLUMN(NOTA[TANGGAL]))&amp;":"&amp;ADDRESS(ROW(),COLUMN(NOTA[TANGGAL]))),-1)))</f>
        <v/>
      </c>
      <c r="AJ884" s="26" t="str">
        <f ca="1">IF(NOTA[[#This Row],[ID_H]]="","",INDEX(NOTA[TGL.NOTA],MATCH(,INDIRECT(ADDRESS(ROW(NOTA[TGL.NOTA]),COLUMN(NOTA[TGL.NOTA]))&amp;":"&amp;ADDRESS(ROW(),COLUMN(NOTA[TGL.NOTA]))),-1)))</f>
        <v/>
      </c>
      <c r="AK884" s="26" t="str">
        <f ca="1">IF(NOTA[[#This Row],[ID_H]]="","",INDEX(NOTA[NO.NOTA],MATCH(NOTA[[#This Row],[ID_H]],NOTA[ID_H],0)))</f>
        <v/>
      </c>
      <c r="AL884" s="28" t="str">
        <f ca="1">IF(NOTA[[#This Row],[NAMA BARANG]]="","",INDEX(NOTA[SUPPLIER],MATCH(,INDIRECT(ADDRESS(ROW(NOTA[ID]),COLUMN(NOTA[ID]))&amp;":"&amp;ADDRESS(ROW(),COLUMN(NOTA[ID]))),-1)))</f>
        <v/>
      </c>
      <c r="AM884" s="28" t="str">
        <f ca="1">IF(NOTA[[#This Row],[ID_H]]="","",IF(NOTA[[#This Row],[FAKTUR]]="",INDIRECT(ADDRESS(ROW()-1,COLUMN())),NOTA[[#This Row],[FAKTUR]]))</f>
        <v/>
      </c>
      <c r="AN884" s="25" t="str">
        <f ca="1">IF(NOTA[[#This Row],[ID]]="","",COUNTIF(NOTA[ID_H],NOTA[[#This Row],[ID_H]]))</f>
        <v/>
      </c>
      <c r="AO884" s="25" t="str">
        <f ca="1">IF(NOTA[[#This Row],[TGL.NOTA]]="",IF(NOTA[[#This Row],[SUPPLIER_H]]="","",AO883),MONTH(NOTA[[#This Row],[TGL.NOTA]]))</f>
        <v/>
      </c>
      <c r="AP8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4" s="25"/>
      <c r="AU884" s="25" t="str">
        <f>IF(NOTA[[#This Row],[CONCAT1]]="","",MATCH(NOTA[[#This Row],[CONCAT1]],[3]!db[NB NOTA_C],0))</f>
        <v/>
      </c>
      <c r="AV884" s="25" t="str">
        <f>IF(NOTA[[#This Row],[QTY/ CTN]]="","",TRUE)</f>
        <v/>
      </c>
      <c r="AW884" s="25" t="str">
        <f ca="1">IF(NOTA[[#This Row],[ID_H]]="","",IF(NOTA[[#This Row],[Column3]]=TRUE,NOTA[[#This Row],[QTY/ CTN]],INDEX([3]!db[QTY/ CTN],NOTA[[#This Row],[//DB]])))</f>
        <v/>
      </c>
      <c r="AX8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4" s="25" t="str">
        <f ca="1">IF(NOTA[[#This Row],[ID_H]]="","",MATCH(NOTA[[#This Row],[NB NOTA_C_QTY]],[3]!db[NB NOTA_C_QTY+F],0))</f>
        <v/>
      </c>
      <c r="AZ884" s="38" t="str">
        <f ca="1">IF(NOTA[[#This Row],[NB NOTA_C_QTY]]="","",ROW()-2)</f>
        <v/>
      </c>
    </row>
    <row r="885" spans="1:52" ht="20.100000000000001" customHeight="1">
      <c r="A8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5" s="25" t="str">
        <f ca="1">IF(NOTA[[#This Row],[NAMA BARANG]]="","",INDEX(NOTA[ID],MATCH(,INDIRECT(ADDRESS(ROW(NOTA[ID]),COLUMN(NOTA[ID]))&amp;":"&amp;ADDRESS(ROW(),COLUMN(NOTA[ID]))),-1)))</f>
        <v/>
      </c>
      <c r="E885" s="33"/>
      <c r="H885" s="34"/>
      <c r="Q885" s="29"/>
      <c r="R885" s="35"/>
      <c r="S885" s="36"/>
      <c r="V885" s="37"/>
      <c r="W885" s="32"/>
      <c r="X885" s="37" t="str">
        <f>IF(NOTA[[#This Row],[HARGA/ CTN]]="",NOTA[[#This Row],[JUMLAH_H]],NOTA[[#This Row],[HARGA/ CTN]]*IF(NOTA[[#This Row],[C]]="",0,NOTA[[#This Row],[C]]))</f>
        <v/>
      </c>
      <c r="Y885" s="37" t="str">
        <f>IF(NOTA[[#This Row],[JUMLAH]]="","",NOTA[[#This Row],[JUMLAH]]*NOTA[[#This Row],[DISC 1]])</f>
        <v/>
      </c>
      <c r="Z885" s="37" t="str">
        <f>IF(NOTA[[#This Row],[JUMLAH]]="","",(NOTA[[#This Row],[JUMLAH]]-NOTA[[#This Row],[DISC 1-]])*NOTA[[#This Row],[DISC 2]])</f>
        <v/>
      </c>
      <c r="AA885" s="37" t="str">
        <f>IF(NOTA[[#This Row],[JUMLAH]]="","",(NOTA[[#This Row],[JUMLAH]]-NOTA[[#This Row],[DISC 1-]]-NOTA[[#This Row],[DISC 2-]])*NOTA[[#This Row],[DISC 3]])</f>
        <v/>
      </c>
      <c r="AB885" s="37" t="str">
        <f>IF(NOTA[[#This Row],[JUMLAH]]="","",NOTA[[#This Row],[DISC 1-]]+NOTA[[#This Row],[DISC 2-]]+NOTA[[#This Row],[DISC 3-]])</f>
        <v/>
      </c>
      <c r="AC885" s="37" t="str">
        <f>IF(NOTA[[#This Row],[JUMLAH]]="","",NOTA[[#This Row],[JUMLAH]]-NOTA[[#This Row],[DISC]])</f>
        <v/>
      </c>
      <c r="AD885" s="37"/>
      <c r="AE8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5" s="37" t="str">
        <f>IF(OR(NOTA[[#This Row],[QTY]]="",NOTA[[#This Row],[HARGA SATUAN]]="",),"",NOTA[[#This Row],[QTY]]*NOTA[[#This Row],[HARGA SATUAN]])</f>
        <v/>
      </c>
      <c r="AI885" s="26" t="str">
        <f ca="1">IF(NOTA[[#This Row],[ID_H]]="","",INDEX(NOTA[TANGGAL],MATCH(,INDIRECT(ADDRESS(ROW(NOTA[TANGGAL]),COLUMN(NOTA[TANGGAL]))&amp;":"&amp;ADDRESS(ROW(),COLUMN(NOTA[TANGGAL]))),-1)))</f>
        <v/>
      </c>
      <c r="AJ885" s="26" t="str">
        <f ca="1">IF(NOTA[[#This Row],[ID_H]]="","",INDEX(NOTA[TGL.NOTA],MATCH(,INDIRECT(ADDRESS(ROW(NOTA[TGL.NOTA]),COLUMN(NOTA[TGL.NOTA]))&amp;":"&amp;ADDRESS(ROW(),COLUMN(NOTA[TGL.NOTA]))),-1)))</f>
        <v/>
      </c>
      <c r="AK885" s="26" t="str">
        <f ca="1">IF(NOTA[[#This Row],[ID_H]]="","",INDEX(NOTA[NO.NOTA],MATCH(NOTA[[#This Row],[ID_H]],NOTA[ID_H],0)))</f>
        <v/>
      </c>
      <c r="AL885" s="28" t="str">
        <f ca="1">IF(NOTA[[#This Row],[NAMA BARANG]]="","",INDEX(NOTA[SUPPLIER],MATCH(,INDIRECT(ADDRESS(ROW(NOTA[ID]),COLUMN(NOTA[ID]))&amp;":"&amp;ADDRESS(ROW(),COLUMN(NOTA[ID]))),-1)))</f>
        <v/>
      </c>
      <c r="AM885" s="28" t="str">
        <f ca="1">IF(NOTA[[#This Row],[ID_H]]="","",IF(NOTA[[#This Row],[FAKTUR]]="",INDIRECT(ADDRESS(ROW()-1,COLUMN())),NOTA[[#This Row],[FAKTUR]]))</f>
        <v/>
      </c>
      <c r="AN885" s="25" t="str">
        <f ca="1">IF(NOTA[[#This Row],[ID]]="","",COUNTIF(NOTA[ID_H],NOTA[[#This Row],[ID_H]]))</f>
        <v/>
      </c>
      <c r="AO885" s="25" t="str">
        <f ca="1">IF(NOTA[[#This Row],[TGL.NOTA]]="",IF(NOTA[[#This Row],[SUPPLIER_H]]="","",AO884),MONTH(NOTA[[#This Row],[TGL.NOTA]]))</f>
        <v/>
      </c>
      <c r="AP8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5" s="25"/>
      <c r="AU885" s="25" t="str">
        <f>IF(NOTA[[#This Row],[CONCAT1]]="","",MATCH(NOTA[[#This Row],[CONCAT1]],[3]!db[NB NOTA_C],0))</f>
        <v/>
      </c>
      <c r="AV885" s="25" t="str">
        <f>IF(NOTA[[#This Row],[QTY/ CTN]]="","",TRUE)</f>
        <v/>
      </c>
      <c r="AW885" s="25" t="str">
        <f ca="1">IF(NOTA[[#This Row],[ID_H]]="","",IF(NOTA[[#This Row],[Column3]]=TRUE,NOTA[[#This Row],[QTY/ CTN]],INDEX([3]!db[QTY/ CTN],NOTA[[#This Row],[//DB]])))</f>
        <v/>
      </c>
      <c r="AX8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5" s="25" t="str">
        <f ca="1">IF(NOTA[[#This Row],[ID_H]]="","",MATCH(NOTA[[#This Row],[NB NOTA_C_QTY]],[3]!db[NB NOTA_C_QTY+F],0))</f>
        <v/>
      </c>
      <c r="AZ885" s="38" t="str">
        <f ca="1">IF(NOTA[[#This Row],[NB NOTA_C_QTY]]="","",ROW()-2)</f>
        <v/>
      </c>
    </row>
    <row r="886" spans="1:52" ht="20.100000000000001" customHeight="1">
      <c r="A8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6" s="25" t="str">
        <f ca="1">IF(NOTA[[#This Row],[NAMA BARANG]]="","",INDEX(NOTA[ID],MATCH(,INDIRECT(ADDRESS(ROW(NOTA[ID]),COLUMN(NOTA[ID]))&amp;":"&amp;ADDRESS(ROW(),COLUMN(NOTA[ID]))),-1)))</f>
        <v/>
      </c>
      <c r="E886" s="33"/>
      <c r="H886" s="34"/>
      <c r="Q886" s="29"/>
      <c r="R886" s="35"/>
      <c r="S886" s="36"/>
      <c r="V886" s="37"/>
      <c r="W886" s="32"/>
      <c r="X886" s="37" t="str">
        <f>IF(NOTA[[#This Row],[HARGA/ CTN]]="",NOTA[[#This Row],[JUMLAH_H]],NOTA[[#This Row],[HARGA/ CTN]]*IF(NOTA[[#This Row],[C]]="",0,NOTA[[#This Row],[C]]))</f>
        <v/>
      </c>
      <c r="Y886" s="37" t="str">
        <f>IF(NOTA[[#This Row],[JUMLAH]]="","",NOTA[[#This Row],[JUMLAH]]*NOTA[[#This Row],[DISC 1]])</f>
        <v/>
      </c>
      <c r="Z886" s="37" t="str">
        <f>IF(NOTA[[#This Row],[JUMLAH]]="","",(NOTA[[#This Row],[JUMLAH]]-NOTA[[#This Row],[DISC 1-]])*NOTA[[#This Row],[DISC 2]])</f>
        <v/>
      </c>
      <c r="AA886" s="37" t="str">
        <f>IF(NOTA[[#This Row],[JUMLAH]]="","",(NOTA[[#This Row],[JUMLAH]]-NOTA[[#This Row],[DISC 1-]]-NOTA[[#This Row],[DISC 2-]])*NOTA[[#This Row],[DISC 3]])</f>
        <v/>
      </c>
      <c r="AB886" s="37" t="str">
        <f>IF(NOTA[[#This Row],[JUMLAH]]="","",NOTA[[#This Row],[DISC 1-]]+NOTA[[#This Row],[DISC 2-]]+NOTA[[#This Row],[DISC 3-]])</f>
        <v/>
      </c>
      <c r="AC886" s="37" t="str">
        <f>IF(NOTA[[#This Row],[JUMLAH]]="","",NOTA[[#This Row],[JUMLAH]]-NOTA[[#This Row],[DISC]])</f>
        <v/>
      </c>
      <c r="AD886" s="37"/>
      <c r="AE8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6" s="37" t="str">
        <f>IF(OR(NOTA[[#This Row],[QTY]]="",NOTA[[#This Row],[HARGA SATUAN]]="",),"",NOTA[[#This Row],[QTY]]*NOTA[[#This Row],[HARGA SATUAN]])</f>
        <v/>
      </c>
      <c r="AI886" s="26" t="str">
        <f ca="1">IF(NOTA[[#This Row],[ID_H]]="","",INDEX(NOTA[TANGGAL],MATCH(,INDIRECT(ADDRESS(ROW(NOTA[TANGGAL]),COLUMN(NOTA[TANGGAL]))&amp;":"&amp;ADDRESS(ROW(),COLUMN(NOTA[TANGGAL]))),-1)))</f>
        <v/>
      </c>
      <c r="AJ886" s="26" t="str">
        <f ca="1">IF(NOTA[[#This Row],[ID_H]]="","",INDEX(NOTA[TGL.NOTA],MATCH(,INDIRECT(ADDRESS(ROW(NOTA[TGL.NOTA]),COLUMN(NOTA[TGL.NOTA]))&amp;":"&amp;ADDRESS(ROW(),COLUMN(NOTA[TGL.NOTA]))),-1)))</f>
        <v/>
      </c>
      <c r="AK886" s="26" t="str">
        <f ca="1">IF(NOTA[[#This Row],[ID_H]]="","",INDEX(NOTA[NO.NOTA],MATCH(NOTA[[#This Row],[ID_H]],NOTA[ID_H],0)))</f>
        <v/>
      </c>
      <c r="AL886" s="28" t="str">
        <f ca="1">IF(NOTA[[#This Row],[NAMA BARANG]]="","",INDEX(NOTA[SUPPLIER],MATCH(,INDIRECT(ADDRESS(ROW(NOTA[ID]),COLUMN(NOTA[ID]))&amp;":"&amp;ADDRESS(ROW(),COLUMN(NOTA[ID]))),-1)))</f>
        <v/>
      </c>
      <c r="AM886" s="28" t="str">
        <f ca="1">IF(NOTA[[#This Row],[ID_H]]="","",IF(NOTA[[#This Row],[FAKTUR]]="",INDIRECT(ADDRESS(ROW()-1,COLUMN())),NOTA[[#This Row],[FAKTUR]]))</f>
        <v/>
      </c>
      <c r="AN886" s="25" t="str">
        <f ca="1">IF(NOTA[[#This Row],[ID]]="","",COUNTIF(NOTA[ID_H],NOTA[[#This Row],[ID_H]]))</f>
        <v/>
      </c>
      <c r="AO886" s="25" t="str">
        <f ca="1">IF(NOTA[[#This Row],[TGL.NOTA]]="",IF(NOTA[[#This Row],[SUPPLIER_H]]="","",AO885),MONTH(NOTA[[#This Row],[TGL.NOTA]]))</f>
        <v/>
      </c>
      <c r="AP8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6" s="25"/>
      <c r="AU886" s="25" t="str">
        <f>IF(NOTA[[#This Row],[CONCAT1]]="","",MATCH(NOTA[[#This Row],[CONCAT1]],[3]!db[NB NOTA_C],0))</f>
        <v/>
      </c>
      <c r="AV886" s="25" t="str">
        <f>IF(NOTA[[#This Row],[QTY/ CTN]]="","",TRUE)</f>
        <v/>
      </c>
      <c r="AW886" s="25" t="str">
        <f ca="1">IF(NOTA[[#This Row],[ID_H]]="","",IF(NOTA[[#This Row],[Column3]]=TRUE,NOTA[[#This Row],[QTY/ CTN]],INDEX([3]!db[QTY/ CTN],NOTA[[#This Row],[//DB]])))</f>
        <v/>
      </c>
      <c r="AX8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6" s="25" t="str">
        <f ca="1">IF(NOTA[[#This Row],[ID_H]]="","",MATCH(NOTA[[#This Row],[NB NOTA_C_QTY]],[3]!db[NB NOTA_C_QTY+F],0))</f>
        <v/>
      </c>
      <c r="AZ886" s="38" t="str">
        <f ca="1">IF(NOTA[[#This Row],[NB NOTA_C_QTY]]="","",ROW()-2)</f>
        <v/>
      </c>
    </row>
    <row r="887" spans="1:52" ht="20.100000000000001" customHeight="1">
      <c r="A8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7" s="25" t="str">
        <f ca="1">IF(NOTA[[#This Row],[NAMA BARANG]]="","",INDEX(NOTA[ID],MATCH(,INDIRECT(ADDRESS(ROW(NOTA[ID]),COLUMN(NOTA[ID]))&amp;":"&amp;ADDRESS(ROW(),COLUMN(NOTA[ID]))),-1)))</f>
        <v/>
      </c>
      <c r="E887" s="33"/>
      <c r="H887" s="34"/>
      <c r="Q887" s="29"/>
      <c r="R887" s="35"/>
      <c r="S887" s="36"/>
      <c r="V887" s="37"/>
      <c r="W887" s="32"/>
      <c r="X887" s="37" t="str">
        <f>IF(NOTA[[#This Row],[HARGA/ CTN]]="",NOTA[[#This Row],[JUMLAH_H]],NOTA[[#This Row],[HARGA/ CTN]]*IF(NOTA[[#This Row],[C]]="",0,NOTA[[#This Row],[C]]))</f>
        <v/>
      </c>
      <c r="Y887" s="37" t="str">
        <f>IF(NOTA[[#This Row],[JUMLAH]]="","",NOTA[[#This Row],[JUMLAH]]*NOTA[[#This Row],[DISC 1]])</f>
        <v/>
      </c>
      <c r="Z887" s="37" t="str">
        <f>IF(NOTA[[#This Row],[JUMLAH]]="","",(NOTA[[#This Row],[JUMLAH]]-NOTA[[#This Row],[DISC 1-]])*NOTA[[#This Row],[DISC 2]])</f>
        <v/>
      </c>
      <c r="AA887" s="37" t="str">
        <f>IF(NOTA[[#This Row],[JUMLAH]]="","",(NOTA[[#This Row],[JUMLAH]]-NOTA[[#This Row],[DISC 1-]]-NOTA[[#This Row],[DISC 2-]])*NOTA[[#This Row],[DISC 3]])</f>
        <v/>
      </c>
      <c r="AB887" s="37" t="str">
        <f>IF(NOTA[[#This Row],[JUMLAH]]="","",NOTA[[#This Row],[DISC 1-]]+NOTA[[#This Row],[DISC 2-]]+NOTA[[#This Row],[DISC 3-]])</f>
        <v/>
      </c>
      <c r="AC887" s="37" t="str">
        <f>IF(NOTA[[#This Row],[JUMLAH]]="","",NOTA[[#This Row],[JUMLAH]]-NOTA[[#This Row],[DISC]])</f>
        <v/>
      </c>
      <c r="AD887" s="37"/>
      <c r="AE8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7" s="37" t="str">
        <f>IF(OR(NOTA[[#This Row],[QTY]]="",NOTA[[#This Row],[HARGA SATUAN]]="",),"",NOTA[[#This Row],[QTY]]*NOTA[[#This Row],[HARGA SATUAN]])</f>
        <v/>
      </c>
      <c r="AI887" s="26" t="str">
        <f ca="1">IF(NOTA[[#This Row],[ID_H]]="","",INDEX(NOTA[TANGGAL],MATCH(,INDIRECT(ADDRESS(ROW(NOTA[TANGGAL]),COLUMN(NOTA[TANGGAL]))&amp;":"&amp;ADDRESS(ROW(),COLUMN(NOTA[TANGGAL]))),-1)))</f>
        <v/>
      </c>
      <c r="AJ887" s="26" t="str">
        <f ca="1">IF(NOTA[[#This Row],[ID_H]]="","",INDEX(NOTA[TGL.NOTA],MATCH(,INDIRECT(ADDRESS(ROW(NOTA[TGL.NOTA]),COLUMN(NOTA[TGL.NOTA]))&amp;":"&amp;ADDRESS(ROW(),COLUMN(NOTA[TGL.NOTA]))),-1)))</f>
        <v/>
      </c>
      <c r="AK887" s="26" t="str">
        <f ca="1">IF(NOTA[[#This Row],[ID_H]]="","",INDEX(NOTA[NO.NOTA],MATCH(NOTA[[#This Row],[ID_H]],NOTA[ID_H],0)))</f>
        <v/>
      </c>
      <c r="AL887" s="28" t="str">
        <f ca="1">IF(NOTA[[#This Row],[NAMA BARANG]]="","",INDEX(NOTA[SUPPLIER],MATCH(,INDIRECT(ADDRESS(ROW(NOTA[ID]),COLUMN(NOTA[ID]))&amp;":"&amp;ADDRESS(ROW(),COLUMN(NOTA[ID]))),-1)))</f>
        <v/>
      </c>
      <c r="AM887" s="28" t="str">
        <f ca="1">IF(NOTA[[#This Row],[ID_H]]="","",IF(NOTA[[#This Row],[FAKTUR]]="",INDIRECT(ADDRESS(ROW()-1,COLUMN())),NOTA[[#This Row],[FAKTUR]]))</f>
        <v/>
      </c>
      <c r="AN887" s="25" t="str">
        <f ca="1">IF(NOTA[[#This Row],[ID]]="","",COUNTIF(NOTA[ID_H],NOTA[[#This Row],[ID_H]]))</f>
        <v/>
      </c>
      <c r="AO887" s="25" t="str">
        <f ca="1">IF(NOTA[[#This Row],[TGL.NOTA]]="",IF(NOTA[[#This Row],[SUPPLIER_H]]="","",AO886),MONTH(NOTA[[#This Row],[TGL.NOTA]]))</f>
        <v/>
      </c>
      <c r="AP8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7" s="25"/>
      <c r="AU887" s="25" t="str">
        <f>IF(NOTA[[#This Row],[CONCAT1]]="","",MATCH(NOTA[[#This Row],[CONCAT1]],[3]!db[NB NOTA_C],0))</f>
        <v/>
      </c>
      <c r="AV887" s="25" t="str">
        <f>IF(NOTA[[#This Row],[QTY/ CTN]]="","",TRUE)</f>
        <v/>
      </c>
      <c r="AW887" s="25" t="str">
        <f ca="1">IF(NOTA[[#This Row],[ID_H]]="","",IF(NOTA[[#This Row],[Column3]]=TRUE,NOTA[[#This Row],[QTY/ CTN]],INDEX([3]!db[QTY/ CTN],NOTA[[#This Row],[//DB]])))</f>
        <v/>
      </c>
      <c r="AX8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7" s="25" t="str">
        <f ca="1">IF(NOTA[[#This Row],[ID_H]]="","",MATCH(NOTA[[#This Row],[NB NOTA_C_QTY]],[3]!db[NB NOTA_C_QTY+F],0))</f>
        <v/>
      </c>
      <c r="AZ887" s="38" t="str">
        <f ca="1">IF(NOTA[[#This Row],[NB NOTA_C_QTY]]="","",ROW()-2)</f>
        <v/>
      </c>
    </row>
    <row r="888" spans="1:52" ht="20.100000000000001" customHeight="1">
      <c r="A8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8" s="25" t="str">
        <f ca="1">IF(NOTA[[#This Row],[NAMA BARANG]]="","",INDEX(NOTA[ID],MATCH(,INDIRECT(ADDRESS(ROW(NOTA[ID]),COLUMN(NOTA[ID]))&amp;":"&amp;ADDRESS(ROW(),COLUMN(NOTA[ID]))),-1)))</f>
        <v/>
      </c>
      <c r="E888" s="33"/>
      <c r="H888" s="34"/>
      <c r="Q888" s="29"/>
      <c r="R888" s="35"/>
      <c r="S888" s="36"/>
      <c r="V888" s="37"/>
      <c r="W888" s="32"/>
      <c r="X888" s="37" t="str">
        <f>IF(NOTA[[#This Row],[HARGA/ CTN]]="",NOTA[[#This Row],[JUMLAH_H]],NOTA[[#This Row],[HARGA/ CTN]]*IF(NOTA[[#This Row],[C]]="",0,NOTA[[#This Row],[C]]))</f>
        <v/>
      </c>
      <c r="Y888" s="37" t="str">
        <f>IF(NOTA[[#This Row],[JUMLAH]]="","",NOTA[[#This Row],[JUMLAH]]*NOTA[[#This Row],[DISC 1]])</f>
        <v/>
      </c>
      <c r="Z888" s="37" t="str">
        <f>IF(NOTA[[#This Row],[JUMLAH]]="","",(NOTA[[#This Row],[JUMLAH]]-NOTA[[#This Row],[DISC 1-]])*NOTA[[#This Row],[DISC 2]])</f>
        <v/>
      </c>
      <c r="AA888" s="37" t="str">
        <f>IF(NOTA[[#This Row],[JUMLAH]]="","",(NOTA[[#This Row],[JUMLAH]]-NOTA[[#This Row],[DISC 1-]]-NOTA[[#This Row],[DISC 2-]])*NOTA[[#This Row],[DISC 3]])</f>
        <v/>
      </c>
      <c r="AB888" s="37" t="str">
        <f>IF(NOTA[[#This Row],[JUMLAH]]="","",NOTA[[#This Row],[DISC 1-]]+NOTA[[#This Row],[DISC 2-]]+NOTA[[#This Row],[DISC 3-]])</f>
        <v/>
      </c>
      <c r="AC888" s="37" t="str">
        <f>IF(NOTA[[#This Row],[JUMLAH]]="","",NOTA[[#This Row],[JUMLAH]]-NOTA[[#This Row],[DISC]])</f>
        <v/>
      </c>
      <c r="AD888" s="37"/>
      <c r="AE8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8" s="37" t="str">
        <f>IF(OR(NOTA[[#This Row],[QTY]]="",NOTA[[#This Row],[HARGA SATUAN]]="",),"",NOTA[[#This Row],[QTY]]*NOTA[[#This Row],[HARGA SATUAN]])</f>
        <v/>
      </c>
      <c r="AI888" s="26" t="str">
        <f ca="1">IF(NOTA[[#This Row],[ID_H]]="","",INDEX(NOTA[TANGGAL],MATCH(,INDIRECT(ADDRESS(ROW(NOTA[TANGGAL]),COLUMN(NOTA[TANGGAL]))&amp;":"&amp;ADDRESS(ROW(),COLUMN(NOTA[TANGGAL]))),-1)))</f>
        <v/>
      </c>
      <c r="AJ888" s="26" t="str">
        <f ca="1">IF(NOTA[[#This Row],[ID_H]]="","",INDEX(NOTA[TGL.NOTA],MATCH(,INDIRECT(ADDRESS(ROW(NOTA[TGL.NOTA]),COLUMN(NOTA[TGL.NOTA]))&amp;":"&amp;ADDRESS(ROW(),COLUMN(NOTA[TGL.NOTA]))),-1)))</f>
        <v/>
      </c>
      <c r="AK888" s="26" t="str">
        <f ca="1">IF(NOTA[[#This Row],[ID_H]]="","",INDEX(NOTA[NO.NOTA],MATCH(NOTA[[#This Row],[ID_H]],NOTA[ID_H],0)))</f>
        <v/>
      </c>
      <c r="AL888" s="28" t="str">
        <f ca="1">IF(NOTA[[#This Row],[NAMA BARANG]]="","",INDEX(NOTA[SUPPLIER],MATCH(,INDIRECT(ADDRESS(ROW(NOTA[ID]),COLUMN(NOTA[ID]))&amp;":"&amp;ADDRESS(ROW(),COLUMN(NOTA[ID]))),-1)))</f>
        <v/>
      </c>
      <c r="AM888" s="28" t="str">
        <f ca="1">IF(NOTA[[#This Row],[ID_H]]="","",IF(NOTA[[#This Row],[FAKTUR]]="",INDIRECT(ADDRESS(ROW()-1,COLUMN())),NOTA[[#This Row],[FAKTUR]]))</f>
        <v/>
      </c>
      <c r="AN888" s="25" t="str">
        <f ca="1">IF(NOTA[[#This Row],[ID]]="","",COUNTIF(NOTA[ID_H],NOTA[[#This Row],[ID_H]]))</f>
        <v/>
      </c>
      <c r="AO888" s="25" t="str">
        <f ca="1">IF(NOTA[[#This Row],[TGL.NOTA]]="",IF(NOTA[[#This Row],[SUPPLIER_H]]="","",AO887),MONTH(NOTA[[#This Row],[TGL.NOTA]]))</f>
        <v/>
      </c>
      <c r="AP8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8" s="25"/>
      <c r="AU888" s="25" t="str">
        <f>IF(NOTA[[#This Row],[CONCAT1]]="","",MATCH(NOTA[[#This Row],[CONCAT1]],[3]!db[NB NOTA_C],0))</f>
        <v/>
      </c>
      <c r="AV888" s="25" t="str">
        <f>IF(NOTA[[#This Row],[QTY/ CTN]]="","",TRUE)</f>
        <v/>
      </c>
      <c r="AW888" s="25" t="str">
        <f ca="1">IF(NOTA[[#This Row],[ID_H]]="","",IF(NOTA[[#This Row],[Column3]]=TRUE,NOTA[[#This Row],[QTY/ CTN]],INDEX([3]!db[QTY/ CTN],NOTA[[#This Row],[//DB]])))</f>
        <v/>
      </c>
      <c r="AX8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8" s="25" t="str">
        <f ca="1">IF(NOTA[[#This Row],[ID_H]]="","",MATCH(NOTA[[#This Row],[NB NOTA_C_QTY]],[3]!db[NB NOTA_C_QTY+F],0))</f>
        <v/>
      </c>
      <c r="AZ888" s="38" t="str">
        <f ca="1">IF(NOTA[[#This Row],[NB NOTA_C_QTY]]="","",ROW()-2)</f>
        <v/>
      </c>
    </row>
    <row r="889" spans="1:52" ht="20.100000000000001" customHeight="1">
      <c r="A8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9" s="25" t="str">
        <f ca="1">IF(NOTA[[#This Row],[NAMA BARANG]]="","",INDEX(NOTA[ID],MATCH(,INDIRECT(ADDRESS(ROW(NOTA[ID]),COLUMN(NOTA[ID]))&amp;":"&amp;ADDRESS(ROW(),COLUMN(NOTA[ID]))),-1)))</f>
        <v/>
      </c>
      <c r="E889" s="33"/>
      <c r="H889" s="34"/>
      <c r="Q889" s="29"/>
      <c r="R889" s="35"/>
      <c r="S889" s="36"/>
      <c r="V889" s="37"/>
      <c r="W889" s="32"/>
      <c r="X889" s="37" t="str">
        <f>IF(NOTA[[#This Row],[HARGA/ CTN]]="",NOTA[[#This Row],[JUMLAH_H]],NOTA[[#This Row],[HARGA/ CTN]]*IF(NOTA[[#This Row],[C]]="",0,NOTA[[#This Row],[C]]))</f>
        <v/>
      </c>
      <c r="Y889" s="37" t="str">
        <f>IF(NOTA[[#This Row],[JUMLAH]]="","",NOTA[[#This Row],[JUMLAH]]*NOTA[[#This Row],[DISC 1]])</f>
        <v/>
      </c>
      <c r="Z889" s="37" t="str">
        <f>IF(NOTA[[#This Row],[JUMLAH]]="","",(NOTA[[#This Row],[JUMLAH]]-NOTA[[#This Row],[DISC 1-]])*NOTA[[#This Row],[DISC 2]])</f>
        <v/>
      </c>
      <c r="AA889" s="37" t="str">
        <f>IF(NOTA[[#This Row],[JUMLAH]]="","",(NOTA[[#This Row],[JUMLAH]]-NOTA[[#This Row],[DISC 1-]]-NOTA[[#This Row],[DISC 2-]])*NOTA[[#This Row],[DISC 3]])</f>
        <v/>
      </c>
      <c r="AB889" s="37" t="str">
        <f>IF(NOTA[[#This Row],[JUMLAH]]="","",NOTA[[#This Row],[DISC 1-]]+NOTA[[#This Row],[DISC 2-]]+NOTA[[#This Row],[DISC 3-]])</f>
        <v/>
      </c>
      <c r="AC889" s="37" t="str">
        <f>IF(NOTA[[#This Row],[JUMLAH]]="","",NOTA[[#This Row],[JUMLAH]]-NOTA[[#This Row],[DISC]])</f>
        <v/>
      </c>
      <c r="AD889" s="37"/>
      <c r="AE8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9" s="37" t="str">
        <f>IF(OR(NOTA[[#This Row],[QTY]]="",NOTA[[#This Row],[HARGA SATUAN]]="",),"",NOTA[[#This Row],[QTY]]*NOTA[[#This Row],[HARGA SATUAN]])</f>
        <v/>
      </c>
      <c r="AI889" s="26" t="str">
        <f ca="1">IF(NOTA[[#This Row],[ID_H]]="","",INDEX(NOTA[TANGGAL],MATCH(,INDIRECT(ADDRESS(ROW(NOTA[TANGGAL]),COLUMN(NOTA[TANGGAL]))&amp;":"&amp;ADDRESS(ROW(),COLUMN(NOTA[TANGGAL]))),-1)))</f>
        <v/>
      </c>
      <c r="AJ889" s="26" t="str">
        <f ca="1">IF(NOTA[[#This Row],[ID_H]]="","",INDEX(NOTA[TGL.NOTA],MATCH(,INDIRECT(ADDRESS(ROW(NOTA[TGL.NOTA]),COLUMN(NOTA[TGL.NOTA]))&amp;":"&amp;ADDRESS(ROW(),COLUMN(NOTA[TGL.NOTA]))),-1)))</f>
        <v/>
      </c>
      <c r="AK889" s="26" t="str">
        <f ca="1">IF(NOTA[[#This Row],[ID_H]]="","",INDEX(NOTA[NO.NOTA],MATCH(NOTA[[#This Row],[ID_H]],NOTA[ID_H],0)))</f>
        <v/>
      </c>
      <c r="AL889" s="28" t="str">
        <f ca="1">IF(NOTA[[#This Row],[NAMA BARANG]]="","",INDEX(NOTA[SUPPLIER],MATCH(,INDIRECT(ADDRESS(ROW(NOTA[ID]),COLUMN(NOTA[ID]))&amp;":"&amp;ADDRESS(ROW(),COLUMN(NOTA[ID]))),-1)))</f>
        <v/>
      </c>
      <c r="AM889" s="28" t="str">
        <f ca="1">IF(NOTA[[#This Row],[ID_H]]="","",IF(NOTA[[#This Row],[FAKTUR]]="",INDIRECT(ADDRESS(ROW()-1,COLUMN())),NOTA[[#This Row],[FAKTUR]]))</f>
        <v/>
      </c>
      <c r="AN889" s="25" t="str">
        <f ca="1">IF(NOTA[[#This Row],[ID]]="","",COUNTIF(NOTA[ID_H],NOTA[[#This Row],[ID_H]]))</f>
        <v/>
      </c>
      <c r="AO889" s="25" t="str">
        <f ca="1">IF(NOTA[[#This Row],[TGL.NOTA]]="",IF(NOTA[[#This Row],[SUPPLIER_H]]="","",AO888),MONTH(NOTA[[#This Row],[TGL.NOTA]]))</f>
        <v/>
      </c>
      <c r="AP8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9" s="25"/>
      <c r="AU889" s="25" t="str">
        <f>IF(NOTA[[#This Row],[CONCAT1]]="","",MATCH(NOTA[[#This Row],[CONCAT1]],[3]!db[NB NOTA_C],0))</f>
        <v/>
      </c>
      <c r="AV889" s="25" t="str">
        <f>IF(NOTA[[#This Row],[QTY/ CTN]]="","",TRUE)</f>
        <v/>
      </c>
      <c r="AW889" s="25" t="str">
        <f ca="1">IF(NOTA[[#This Row],[ID_H]]="","",IF(NOTA[[#This Row],[Column3]]=TRUE,NOTA[[#This Row],[QTY/ CTN]],INDEX([3]!db[QTY/ CTN],NOTA[[#This Row],[//DB]])))</f>
        <v/>
      </c>
      <c r="AX8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9" s="25" t="str">
        <f ca="1">IF(NOTA[[#This Row],[ID_H]]="","",MATCH(NOTA[[#This Row],[NB NOTA_C_QTY]],[3]!db[NB NOTA_C_QTY+F],0))</f>
        <v/>
      </c>
      <c r="AZ889" s="38" t="str">
        <f ca="1">IF(NOTA[[#This Row],[NB NOTA_C_QTY]]="","",ROW()-2)</f>
        <v/>
      </c>
    </row>
    <row r="890" spans="1:52" ht="20.100000000000001" customHeight="1">
      <c r="A8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0" s="25" t="str">
        <f ca="1">IF(NOTA[[#This Row],[NAMA BARANG]]="","",INDEX(NOTA[ID],MATCH(,INDIRECT(ADDRESS(ROW(NOTA[ID]),COLUMN(NOTA[ID]))&amp;":"&amp;ADDRESS(ROW(),COLUMN(NOTA[ID]))),-1)))</f>
        <v/>
      </c>
      <c r="E890" s="33"/>
      <c r="H890" s="34"/>
      <c r="Q890" s="29"/>
      <c r="R890" s="35"/>
      <c r="S890" s="36"/>
      <c r="V890" s="37"/>
      <c r="W890" s="32"/>
      <c r="X890" s="37" t="str">
        <f>IF(NOTA[[#This Row],[HARGA/ CTN]]="",NOTA[[#This Row],[JUMLAH_H]],NOTA[[#This Row],[HARGA/ CTN]]*IF(NOTA[[#This Row],[C]]="",0,NOTA[[#This Row],[C]]))</f>
        <v/>
      </c>
      <c r="Y890" s="37" t="str">
        <f>IF(NOTA[[#This Row],[JUMLAH]]="","",NOTA[[#This Row],[JUMLAH]]*NOTA[[#This Row],[DISC 1]])</f>
        <v/>
      </c>
      <c r="Z890" s="37" t="str">
        <f>IF(NOTA[[#This Row],[JUMLAH]]="","",(NOTA[[#This Row],[JUMLAH]]-NOTA[[#This Row],[DISC 1-]])*NOTA[[#This Row],[DISC 2]])</f>
        <v/>
      </c>
      <c r="AA890" s="37" t="str">
        <f>IF(NOTA[[#This Row],[JUMLAH]]="","",(NOTA[[#This Row],[JUMLAH]]-NOTA[[#This Row],[DISC 1-]]-NOTA[[#This Row],[DISC 2-]])*NOTA[[#This Row],[DISC 3]])</f>
        <v/>
      </c>
      <c r="AB890" s="37" t="str">
        <f>IF(NOTA[[#This Row],[JUMLAH]]="","",NOTA[[#This Row],[DISC 1-]]+NOTA[[#This Row],[DISC 2-]]+NOTA[[#This Row],[DISC 3-]])</f>
        <v/>
      </c>
      <c r="AC890" s="37" t="str">
        <f>IF(NOTA[[#This Row],[JUMLAH]]="","",NOTA[[#This Row],[JUMLAH]]-NOTA[[#This Row],[DISC]])</f>
        <v/>
      </c>
      <c r="AD890" s="37"/>
      <c r="AE8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0" s="37" t="str">
        <f>IF(OR(NOTA[[#This Row],[QTY]]="",NOTA[[#This Row],[HARGA SATUAN]]="",),"",NOTA[[#This Row],[QTY]]*NOTA[[#This Row],[HARGA SATUAN]])</f>
        <v/>
      </c>
      <c r="AI890" s="26" t="str">
        <f ca="1">IF(NOTA[[#This Row],[ID_H]]="","",INDEX(NOTA[TANGGAL],MATCH(,INDIRECT(ADDRESS(ROW(NOTA[TANGGAL]),COLUMN(NOTA[TANGGAL]))&amp;":"&amp;ADDRESS(ROW(),COLUMN(NOTA[TANGGAL]))),-1)))</f>
        <v/>
      </c>
      <c r="AJ890" s="26" t="str">
        <f ca="1">IF(NOTA[[#This Row],[ID_H]]="","",INDEX(NOTA[TGL.NOTA],MATCH(,INDIRECT(ADDRESS(ROW(NOTA[TGL.NOTA]),COLUMN(NOTA[TGL.NOTA]))&amp;":"&amp;ADDRESS(ROW(),COLUMN(NOTA[TGL.NOTA]))),-1)))</f>
        <v/>
      </c>
      <c r="AK890" s="26" t="str">
        <f ca="1">IF(NOTA[[#This Row],[ID_H]]="","",INDEX(NOTA[NO.NOTA],MATCH(NOTA[[#This Row],[ID_H]],NOTA[ID_H],0)))</f>
        <v/>
      </c>
      <c r="AL890" s="28" t="str">
        <f ca="1">IF(NOTA[[#This Row],[NAMA BARANG]]="","",INDEX(NOTA[SUPPLIER],MATCH(,INDIRECT(ADDRESS(ROW(NOTA[ID]),COLUMN(NOTA[ID]))&amp;":"&amp;ADDRESS(ROW(),COLUMN(NOTA[ID]))),-1)))</f>
        <v/>
      </c>
      <c r="AM890" s="28" t="str">
        <f ca="1">IF(NOTA[[#This Row],[ID_H]]="","",IF(NOTA[[#This Row],[FAKTUR]]="",INDIRECT(ADDRESS(ROW()-1,COLUMN())),NOTA[[#This Row],[FAKTUR]]))</f>
        <v/>
      </c>
      <c r="AN890" s="25" t="str">
        <f ca="1">IF(NOTA[[#This Row],[ID]]="","",COUNTIF(NOTA[ID_H],NOTA[[#This Row],[ID_H]]))</f>
        <v/>
      </c>
      <c r="AO890" s="25" t="str">
        <f ca="1">IF(NOTA[[#This Row],[TGL.NOTA]]="",IF(NOTA[[#This Row],[SUPPLIER_H]]="","",AO889),MONTH(NOTA[[#This Row],[TGL.NOTA]]))</f>
        <v/>
      </c>
      <c r="AP8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0" s="25"/>
      <c r="AU890" s="25" t="str">
        <f>IF(NOTA[[#This Row],[CONCAT1]]="","",MATCH(NOTA[[#This Row],[CONCAT1]],[3]!db[NB NOTA_C],0))</f>
        <v/>
      </c>
      <c r="AV890" s="25" t="str">
        <f>IF(NOTA[[#This Row],[QTY/ CTN]]="","",TRUE)</f>
        <v/>
      </c>
      <c r="AW890" s="25" t="str">
        <f ca="1">IF(NOTA[[#This Row],[ID_H]]="","",IF(NOTA[[#This Row],[Column3]]=TRUE,NOTA[[#This Row],[QTY/ CTN]],INDEX([3]!db[QTY/ CTN],NOTA[[#This Row],[//DB]])))</f>
        <v/>
      </c>
      <c r="AX8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0" s="25" t="str">
        <f ca="1">IF(NOTA[[#This Row],[ID_H]]="","",MATCH(NOTA[[#This Row],[NB NOTA_C_QTY]],[3]!db[NB NOTA_C_QTY+F],0))</f>
        <v/>
      </c>
      <c r="AZ890" s="38" t="str">
        <f ca="1">IF(NOTA[[#This Row],[NB NOTA_C_QTY]]="","",ROW()-2)</f>
        <v/>
      </c>
    </row>
    <row r="891" spans="1:52" ht="20.100000000000001" customHeight="1">
      <c r="A8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1" s="25" t="str">
        <f ca="1">IF(NOTA[[#This Row],[NAMA BARANG]]="","",INDEX(NOTA[ID],MATCH(,INDIRECT(ADDRESS(ROW(NOTA[ID]),COLUMN(NOTA[ID]))&amp;":"&amp;ADDRESS(ROW(),COLUMN(NOTA[ID]))),-1)))</f>
        <v/>
      </c>
      <c r="E891" s="33"/>
      <c r="H891" s="34"/>
      <c r="Q891" s="29"/>
      <c r="R891" s="35"/>
      <c r="S891" s="36"/>
      <c r="V891" s="37"/>
      <c r="W891" s="32"/>
      <c r="X891" s="37" t="str">
        <f>IF(NOTA[[#This Row],[HARGA/ CTN]]="",NOTA[[#This Row],[JUMLAH_H]],NOTA[[#This Row],[HARGA/ CTN]]*IF(NOTA[[#This Row],[C]]="",0,NOTA[[#This Row],[C]]))</f>
        <v/>
      </c>
      <c r="Y891" s="37" t="str">
        <f>IF(NOTA[[#This Row],[JUMLAH]]="","",NOTA[[#This Row],[JUMLAH]]*NOTA[[#This Row],[DISC 1]])</f>
        <v/>
      </c>
      <c r="Z891" s="37" t="str">
        <f>IF(NOTA[[#This Row],[JUMLAH]]="","",(NOTA[[#This Row],[JUMLAH]]-NOTA[[#This Row],[DISC 1-]])*NOTA[[#This Row],[DISC 2]])</f>
        <v/>
      </c>
      <c r="AA891" s="37" t="str">
        <f>IF(NOTA[[#This Row],[JUMLAH]]="","",(NOTA[[#This Row],[JUMLAH]]-NOTA[[#This Row],[DISC 1-]]-NOTA[[#This Row],[DISC 2-]])*NOTA[[#This Row],[DISC 3]])</f>
        <v/>
      </c>
      <c r="AB891" s="37" t="str">
        <f>IF(NOTA[[#This Row],[JUMLAH]]="","",NOTA[[#This Row],[DISC 1-]]+NOTA[[#This Row],[DISC 2-]]+NOTA[[#This Row],[DISC 3-]])</f>
        <v/>
      </c>
      <c r="AC891" s="37" t="str">
        <f>IF(NOTA[[#This Row],[JUMLAH]]="","",NOTA[[#This Row],[JUMLAH]]-NOTA[[#This Row],[DISC]])</f>
        <v/>
      </c>
      <c r="AD891" s="37"/>
      <c r="AE8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1" s="37" t="str">
        <f>IF(OR(NOTA[[#This Row],[QTY]]="",NOTA[[#This Row],[HARGA SATUAN]]="",),"",NOTA[[#This Row],[QTY]]*NOTA[[#This Row],[HARGA SATUAN]])</f>
        <v/>
      </c>
      <c r="AI891" s="26" t="str">
        <f ca="1">IF(NOTA[[#This Row],[ID_H]]="","",INDEX(NOTA[TANGGAL],MATCH(,INDIRECT(ADDRESS(ROW(NOTA[TANGGAL]),COLUMN(NOTA[TANGGAL]))&amp;":"&amp;ADDRESS(ROW(),COLUMN(NOTA[TANGGAL]))),-1)))</f>
        <v/>
      </c>
      <c r="AJ891" s="26" t="str">
        <f ca="1">IF(NOTA[[#This Row],[ID_H]]="","",INDEX(NOTA[TGL.NOTA],MATCH(,INDIRECT(ADDRESS(ROW(NOTA[TGL.NOTA]),COLUMN(NOTA[TGL.NOTA]))&amp;":"&amp;ADDRESS(ROW(),COLUMN(NOTA[TGL.NOTA]))),-1)))</f>
        <v/>
      </c>
      <c r="AK891" s="26" t="str">
        <f ca="1">IF(NOTA[[#This Row],[ID_H]]="","",INDEX(NOTA[NO.NOTA],MATCH(NOTA[[#This Row],[ID_H]],NOTA[ID_H],0)))</f>
        <v/>
      </c>
      <c r="AL891" s="28" t="str">
        <f ca="1">IF(NOTA[[#This Row],[NAMA BARANG]]="","",INDEX(NOTA[SUPPLIER],MATCH(,INDIRECT(ADDRESS(ROW(NOTA[ID]),COLUMN(NOTA[ID]))&amp;":"&amp;ADDRESS(ROW(),COLUMN(NOTA[ID]))),-1)))</f>
        <v/>
      </c>
      <c r="AM891" s="28" t="str">
        <f ca="1">IF(NOTA[[#This Row],[ID_H]]="","",IF(NOTA[[#This Row],[FAKTUR]]="",INDIRECT(ADDRESS(ROW()-1,COLUMN())),NOTA[[#This Row],[FAKTUR]]))</f>
        <v/>
      </c>
      <c r="AN891" s="25" t="str">
        <f ca="1">IF(NOTA[[#This Row],[ID]]="","",COUNTIF(NOTA[ID_H],NOTA[[#This Row],[ID_H]]))</f>
        <v/>
      </c>
      <c r="AO891" s="25" t="str">
        <f ca="1">IF(NOTA[[#This Row],[TGL.NOTA]]="",IF(NOTA[[#This Row],[SUPPLIER_H]]="","",AO890),MONTH(NOTA[[#This Row],[TGL.NOTA]]))</f>
        <v/>
      </c>
      <c r="AP8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1" s="25"/>
      <c r="AU891" s="25" t="str">
        <f>IF(NOTA[[#This Row],[CONCAT1]]="","",MATCH(NOTA[[#This Row],[CONCAT1]],[3]!db[NB NOTA_C],0))</f>
        <v/>
      </c>
      <c r="AV891" s="25" t="str">
        <f>IF(NOTA[[#This Row],[QTY/ CTN]]="","",TRUE)</f>
        <v/>
      </c>
      <c r="AW891" s="25" t="str">
        <f ca="1">IF(NOTA[[#This Row],[ID_H]]="","",IF(NOTA[[#This Row],[Column3]]=TRUE,NOTA[[#This Row],[QTY/ CTN]],INDEX([3]!db[QTY/ CTN],NOTA[[#This Row],[//DB]])))</f>
        <v/>
      </c>
      <c r="AX8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1" s="25" t="str">
        <f ca="1">IF(NOTA[[#This Row],[ID_H]]="","",MATCH(NOTA[[#This Row],[NB NOTA_C_QTY]],[3]!db[NB NOTA_C_QTY+F],0))</f>
        <v/>
      </c>
      <c r="AZ891" s="38" t="str">
        <f ca="1">IF(NOTA[[#This Row],[NB NOTA_C_QTY]]="","",ROW()-2)</f>
        <v/>
      </c>
    </row>
    <row r="892" spans="1:52" ht="20.100000000000001" customHeight="1">
      <c r="A8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2" s="25" t="str">
        <f ca="1">IF(NOTA[[#This Row],[NAMA BARANG]]="","",INDEX(NOTA[ID],MATCH(,INDIRECT(ADDRESS(ROW(NOTA[ID]),COLUMN(NOTA[ID]))&amp;":"&amp;ADDRESS(ROW(),COLUMN(NOTA[ID]))),-1)))</f>
        <v/>
      </c>
      <c r="E892" s="33"/>
      <c r="H892" s="34"/>
      <c r="Q892" s="29"/>
      <c r="R892" s="35"/>
      <c r="S892" s="36"/>
      <c r="V892" s="37"/>
      <c r="W892" s="32"/>
      <c r="X892" s="37" t="str">
        <f>IF(NOTA[[#This Row],[HARGA/ CTN]]="",NOTA[[#This Row],[JUMLAH_H]],NOTA[[#This Row],[HARGA/ CTN]]*IF(NOTA[[#This Row],[C]]="",0,NOTA[[#This Row],[C]]))</f>
        <v/>
      </c>
      <c r="Y892" s="37" t="str">
        <f>IF(NOTA[[#This Row],[JUMLAH]]="","",NOTA[[#This Row],[JUMLAH]]*NOTA[[#This Row],[DISC 1]])</f>
        <v/>
      </c>
      <c r="Z892" s="37" t="str">
        <f>IF(NOTA[[#This Row],[JUMLAH]]="","",(NOTA[[#This Row],[JUMLAH]]-NOTA[[#This Row],[DISC 1-]])*NOTA[[#This Row],[DISC 2]])</f>
        <v/>
      </c>
      <c r="AA892" s="37" t="str">
        <f>IF(NOTA[[#This Row],[JUMLAH]]="","",(NOTA[[#This Row],[JUMLAH]]-NOTA[[#This Row],[DISC 1-]]-NOTA[[#This Row],[DISC 2-]])*NOTA[[#This Row],[DISC 3]])</f>
        <v/>
      </c>
      <c r="AB892" s="37" t="str">
        <f>IF(NOTA[[#This Row],[JUMLAH]]="","",NOTA[[#This Row],[DISC 1-]]+NOTA[[#This Row],[DISC 2-]]+NOTA[[#This Row],[DISC 3-]])</f>
        <v/>
      </c>
      <c r="AC892" s="37" t="str">
        <f>IF(NOTA[[#This Row],[JUMLAH]]="","",NOTA[[#This Row],[JUMLAH]]-NOTA[[#This Row],[DISC]])</f>
        <v/>
      </c>
      <c r="AD892" s="37"/>
      <c r="AE8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2" s="37" t="str">
        <f>IF(OR(NOTA[[#This Row],[QTY]]="",NOTA[[#This Row],[HARGA SATUAN]]="",),"",NOTA[[#This Row],[QTY]]*NOTA[[#This Row],[HARGA SATUAN]])</f>
        <v/>
      </c>
      <c r="AI892" s="26" t="str">
        <f ca="1">IF(NOTA[[#This Row],[ID_H]]="","",INDEX(NOTA[TANGGAL],MATCH(,INDIRECT(ADDRESS(ROW(NOTA[TANGGAL]),COLUMN(NOTA[TANGGAL]))&amp;":"&amp;ADDRESS(ROW(),COLUMN(NOTA[TANGGAL]))),-1)))</f>
        <v/>
      </c>
      <c r="AJ892" s="26" t="str">
        <f ca="1">IF(NOTA[[#This Row],[ID_H]]="","",INDEX(NOTA[TGL.NOTA],MATCH(,INDIRECT(ADDRESS(ROW(NOTA[TGL.NOTA]),COLUMN(NOTA[TGL.NOTA]))&amp;":"&amp;ADDRESS(ROW(),COLUMN(NOTA[TGL.NOTA]))),-1)))</f>
        <v/>
      </c>
      <c r="AK892" s="26" t="str">
        <f ca="1">IF(NOTA[[#This Row],[ID_H]]="","",INDEX(NOTA[NO.NOTA],MATCH(NOTA[[#This Row],[ID_H]],NOTA[ID_H],0)))</f>
        <v/>
      </c>
      <c r="AL892" s="28" t="str">
        <f ca="1">IF(NOTA[[#This Row],[NAMA BARANG]]="","",INDEX(NOTA[SUPPLIER],MATCH(,INDIRECT(ADDRESS(ROW(NOTA[ID]),COLUMN(NOTA[ID]))&amp;":"&amp;ADDRESS(ROW(),COLUMN(NOTA[ID]))),-1)))</f>
        <v/>
      </c>
      <c r="AM892" s="28" t="str">
        <f ca="1">IF(NOTA[[#This Row],[ID_H]]="","",IF(NOTA[[#This Row],[FAKTUR]]="",INDIRECT(ADDRESS(ROW()-1,COLUMN())),NOTA[[#This Row],[FAKTUR]]))</f>
        <v/>
      </c>
      <c r="AN892" s="25" t="str">
        <f ca="1">IF(NOTA[[#This Row],[ID]]="","",COUNTIF(NOTA[ID_H],NOTA[[#This Row],[ID_H]]))</f>
        <v/>
      </c>
      <c r="AO892" s="25" t="str">
        <f ca="1">IF(NOTA[[#This Row],[TGL.NOTA]]="",IF(NOTA[[#This Row],[SUPPLIER_H]]="","",AO891),MONTH(NOTA[[#This Row],[TGL.NOTA]]))</f>
        <v/>
      </c>
      <c r="AP8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2" s="25"/>
      <c r="AU892" s="25" t="str">
        <f>IF(NOTA[[#This Row],[CONCAT1]]="","",MATCH(NOTA[[#This Row],[CONCAT1]],[3]!db[NB NOTA_C],0))</f>
        <v/>
      </c>
      <c r="AV892" s="25" t="str">
        <f>IF(NOTA[[#This Row],[QTY/ CTN]]="","",TRUE)</f>
        <v/>
      </c>
      <c r="AW892" s="25" t="str">
        <f ca="1">IF(NOTA[[#This Row],[ID_H]]="","",IF(NOTA[[#This Row],[Column3]]=TRUE,NOTA[[#This Row],[QTY/ CTN]],INDEX([3]!db[QTY/ CTN],NOTA[[#This Row],[//DB]])))</f>
        <v/>
      </c>
      <c r="AX8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2" s="25" t="str">
        <f ca="1">IF(NOTA[[#This Row],[ID_H]]="","",MATCH(NOTA[[#This Row],[NB NOTA_C_QTY]],[3]!db[NB NOTA_C_QTY+F],0))</f>
        <v/>
      </c>
      <c r="AZ892" s="38" t="str">
        <f ca="1">IF(NOTA[[#This Row],[NB NOTA_C_QTY]]="","",ROW()-2)</f>
        <v/>
      </c>
    </row>
    <row r="893" spans="1:52" ht="20.100000000000001" customHeight="1">
      <c r="A8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3" s="25" t="str">
        <f ca="1">IF(NOTA[[#This Row],[NAMA BARANG]]="","",INDEX(NOTA[ID],MATCH(,INDIRECT(ADDRESS(ROW(NOTA[ID]),COLUMN(NOTA[ID]))&amp;":"&amp;ADDRESS(ROW(),COLUMN(NOTA[ID]))),-1)))</f>
        <v/>
      </c>
      <c r="E893" s="33"/>
      <c r="H893" s="34"/>
      <c r="Q893" s="29"/>
      <c r="R893" s="35"/>
      <c r="S893" s="36"/>
      <c r="V893" s="37"/>
      <c r="W893" s="32"/>
      <c r="X893" s="37" t="str">
        <f>IF(NOTA[[#This Row],[HARGA/ CTN]]="",NOTA[[#This Row],[JUMLAH_H]],NOTA[[#This Row],[HARGA/ CTN]]*IF(NOTA[[#This Row],[C]]="",0,NOTA[[#This Row],[C]]))</f>
        <v/>
      </c>
      <c r="Y893" s="37" t="str">
        <f>IF(NOTA[[#This Row],[JUMLAH]]="","",NOTA[[#This Row],[JUMLAH]]*NOTA[[#This Row],[DISC 1]])</f>
        <v/>
      </c>
      <c r="Z893" s="37" t="str">
        <f>IF(NOTA[[#This Row],[JUMLAH]]="","",(NOTA[[#This Row],[JUMLAH]]-NOTA[[#This Row],[DISC 1-]])*NOTA[[#This Row],[DISC 2]])</f>
        <v/>
      </c>
      <c r="AA893" s="37" t="str">
        <f>IF(NOTA[[#This Row],[JUMLAH]]="","",(NOTA[[#This Row],[JUMLAH]]-NOTA[[#This Row],[DISC 1-]]-NOTA[[#This Row],[DISC 2-]])*NOTA[[#This Row],[DISC 3]])</f>
        <v/>
      </c>
      <c r="AB893" s="37" t="str">
        <f>IF(NOTA[[#This Row],[JUMLAH]]="","",NOTA[[#This Row],[DISC 1-]]+NOTA[[#This Row],[DISC 2-]]+NOTA[[#This Row],[DISC 3-]])</f>
        <v/>
      </c>
      <c r="AC893" s="37" t="str">
        <f>IF(NOTA[[#This Row],[JUMLAH]]="","",NOTA[[#This Row],[JUMLAH]]-NOTA[[#This Row],[DISC]])</f>
        <v/>
      </c>
      <c r="AD893" s="37"/>
      <c r="AE8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3" s="37" t="str">
        <f>IF(OR(NOTA[[#This Row],[QTY]]="",NOTA[[#This Row],[HARGA SATUAN]]="",),"",NOTA[[#This Row],[QTY]]*NOTA[[#This Row],[HARGA SATUAN]])</f>
        <v/>
      </c>
      <c r="AI893" s="26" t="str">
        <f ca="1">IF(NOTA[[#This Row],[ID_H]]="","",INDEX(NOTA[TANGGAL],MATCH(,INDIRECT(ADDRESS(ROW(NOTA[TANGGAL]),COLUMN(NOTA[TANGGAL]))&amp;":"&amp;ADDRESS(ROW(),COLUMN(NOTA[TANGGAL]))),-1)))</f>
        <v/>
      </c>
      <c r="AJ893" s="26" t="str">
        <f ca="1">IF(NOTA[[#This Row],[ID_H]]="","",INDEX(NOTA[TGL.NOTA],MATCH(,INDIRECT(ADDRESS(ROW(NOTA[TGL.NOTA]),COLUMN(NOTA[TGL.NOTA]))&amp;":"&amp;ADDRESS(ROW(),COLUMN(NOTA[TGL.NOTA]))),-1)))</f>
        <v/>
      </c>
      <c r="AK893" s="26" t="str">
        <f ca="1">IF(NOTA[[#This Row],[ID_H]]="","",INDEX(NOTA[NO.NOTA],MATCH(NOTA[[#This Row],[ID_H]],NOTA[ID_H],0)))</f>
        <v/>
      </c>
      <c r="AL893" s="28" t="str">
        <f ca="1">IF(NOTA[[#This Row],[NAMA BARANG]]="","",INDEX(NOTA[SUPPLIER],MATCH(,INDIRECT(ADDRESS(ROW(NOTA[ID]),COLUMN(NOTA[ID]))&amp;":"&amp;ADDRESS(ROW(),COLUMN(NOTA[ID]))),-1)))</f>
        <v/>
      </c>
      <c r="AM893" s="28" t="str">
        <f ca="1">IF(NOTA[[#This Row],[ID_H]]="","",IF(NOTA[[#This Row],[FAKTUR]]="",INDIRECT(ADDRESS(ROW()-1,COLUMN())),NOTA[[#This Row],[FAKTUR]]))</f>
        <v/>
      </c>
      <c r="AN893" s="25" t="str">
        <f ca="1">IF(NOTA[[#This Row],[ID]]="","",COUNTIF(NOTA[ID_H],NOTA[[#This Row],[ID_H]]))</f>
        <v/>
      </c>
      <c r="AO893" s="25" t="str">
        <f ca="1">IF(NOTA[[#This Row],[TGL.NOTA]]="",IF(NOTA[[#This Row],[SUPPLIER_H]]="","",AO892),MONTH(NOTA[[#This Row],[TGL.NOTA]]))</f>
        <v/>
      </c>
      <c r="AP8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3" s="25"/>
      <c r="AU893" s="25" t="str">
        <f>IF(NOTA[[#This Row],[CONCAT1]]="","",MATCH(NOTA[[#This Row],[CONCAT1]],[3]!db[NB NOTA_C],0))</f>
        <v/>
      </c>
      <c r="AV893" s="25" t="str">
        <f>IF(NOTA[[#This Row],[QTY/ CTN]]="","",TRUE)</f>
        <v/>
      </c>
      <c r="AW893" s="25" t="str">
        <f ca="1">IF(NOTA[[#This Row],[ID_H]]="","",IF(NOTA[[#This Row],[Column3]]=TRUE,NOTA[[#This Row],[QTY/ CTN]],INDEX([3]!db[QTY/ CTN],NOTA[[#This Row],[//DB]])))</f>
        <v/>
      </c>
      <c r="AX8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3" s="25" t="str">
        <f ca="1">IF(NOTA[[#This Row],[ID_H]]="","",MATCH(NOTA[[#This Row],[NB NOTA_C_QTY]],[3]!db[NB NOTA_C_QTY+F],0))</f>
        <v/>
      </c>
      <c r="AZ893" s="38" t="str">
        <f ca="1">IF(NOTA[[#This Row],[NB NOTA_C_QTY]]="","",ROW()-2)</f>
        <v/>
      </c>
    </row>
    <row r="894" spans="1:52" ht="20.100000000000001" customHeight="1">
      <c r="A8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4" s="25" t="str">
        <f ca="1">IF(NOTA[[#This Row],[NAMA BARANG]]="","",INDEX(NOTA[ID],MATCH(,INDIRECT(ADDRESS(ROW(NOTA[ID]),COLUMN(NOTA[ID]))&amp;":"&amp;ADDRESS(ROW(),COLUMN(NOTA[ID]))),-1)))</f>
        <v/>
      </c>
      <c r="E894" s="33"/>
      <c r="H894" s="34"/>
      <c r="Q894" s="29"/>
      <c r="R894" s="35"/>
      <c r="S894" s="36"/>
      <c r="V894" s="37"/>
      <c r="W894" s="32"/>
      <c r="X894" s="37" t="str">
        <f>IF(NOTA[[#This Row],[HARGA/ CTN]]="",NOTA[[#This Row],[JUMLAH_H]],NOTA[[#This Row],[HARGA/ CTN]]*IF(NOTA[[#This Row],[C]]="",0,NOTA[[#This Row],[C]]))</f>
        <v/>
      </c>
      <c r="Y894" s="37" t="str">
        <f>IF(NOTA[[#This Row],[JUMLAH]]="","",NOTA[[#This Row],[JUMLAH]]*NOTA[[#This Row],[DISC 1]])</f>
        <v/>
      </c>
      <c r="Z894" s="37" t="str">
        <f>IF(NOTA[[#This Row],[JUMLAH]]="","",(NOTA[[#This Row],[JUMLAH]]-NOTA[[#This Row],[DISC 1-]])*NOTA[[#This Row],[DISC 2]])</f>
        <v/>
      </c>
      <c r="AA894" s="37" t="str">
        <f>IF(NOTA[[#This Row],[JUMLAH]]="","",(NOTA[[#This Row],[JUMLAH]]-NOTA[[#This Row],[DISC 1-]]-NOTA[[#This Row],[DISC 2-]])*NOTA[[#This Row],[DISC 3]])</f>
        <v/>
      </c>
      <c r="AB894" s="37" t="str">
        <f>IF(NOTA[[#This Row],[JUMLAH]]="","",NOTA[[#This Row],[DISC 1-]]+NOTA[[#This Row],[DISC 2-]]+NOTA[[#This Row],[DISC 3-]])</f>
        <v/>
      </c>
      <c r="AC894" s="37" t="str">
        <f>IF(NOTA[[#This Row],[JUMLAH]]="","",NOTA[[#This Row],[JUMLAH]]-NOTA[[#This Row],[DISC]])</f>
        <v/>
      </c>
      <c r="AD894" s="37"/>
      <c r="AE8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4" s="37" t="str">
        <f>IF(OR(NOTA[[#This Row],[QTY]]="",NOTA[[#This Row],[HARGA SATUAN]]="",),"",NOTA[[#This Row],[QTY]]*NOTA[[#This Row],[HARGA SATUAN]])</f>
        <v/>
      </c>
      <c r="AI894" s="26" t="str">
        <f ca="1">IF(NOTA[[#This Row],[ID_H]]="","",INDEX(NOTA[TANGGAL],MATCH(,INDIRECT(ADDRESS(ROW(NOTA[TANGGAL]),COLUMN(NOTA[TANGGAL]))&amp;":"&amp;ADDRESS(ROW(),COLUMN(NOTA[TANGGAL]))),-1)))</f>
        <v/>
      </c>
      <c r="AJ894" s="26" t="str">
        <f ca="1">IF(NOTA[[#This Row],[ID_H]]="","",INDEX(NOTA[TGL.NOTA],MATCH(,INDIRECT(ADDRESS(ROW(NOTA[TGL.NOTA]),COLUMN(NOTA[TGL.NOTA]))&amp;":"&amp;ADDRESS(ROW(),COLUMN(NOTA[TGL.NOTA]))),-1)))</f>
        <v/>
      </c>
      <c r="AK894" s="26" t="str">
        <f ca="1">IF(NOTA[[#This Row],[ID_H]]="","",INDEX(NOTA[NO.NOTA],MATCH(NOTA[[#This Row],[ID_H]],NOTA[ID_H],0)))</f>
        <v/>
      </c>
      <c r="AL894" s="28" t="str">
        <f ca="1">IF(NOTA[[#This Row],[NAMA BARANG]]="","",INDEX(NOTA[SUPPLIER],MATCH(,INDIRECT(ADDRESS(ROW(NOTA[ID]),COLUMN(NOTA[ID]))&amp;":"&amp;ADDRESS(ROW(),COLUMN(NOTA[ID]))),-1)))</f>
        <v/>
      </c>
      <c r="AM894" s="28" t="str">
        <f ca="1">IF(NOTA[[#This Row],[ID_H]]="","",IF(NOTA[[#This Row],[FAKTUR]]="",INDIRECT(ADDRESS(ROW()-1,COLUMN())),NOTA[[#This Row],[FAKTUR]]))</f>
        <v/>
      </c>
      <c r="AN894" s="25" t="str">
        <f ca="1">IF(NOTA[[#This Row],[ID]]="","",COUNTIF(NOTA[ID_H],NOTA[[#This Row],[ID_H]]))</f>
        <v/>
      </c>
      <c r="AO894" s="25" t="str">
        <f ca="1">IF(NOTA[[#This Row],[TGL.NOTA]]="",IF(NOTA[[#This Row],[SUPPLIER_H]]="","",AO893),MONTH(NOTA[[#This Row],[TGL.NOTA]]))</f>
        <v/>
      </c>
      <c r="AP8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4" s="25"/>
      <c r="AU894" s="25" t="str">
        <f>IF(NOTA[[#This Row],[CONCAT1]]="","",MATCH(NOTA[[#This Row],[CONCAT1]],[3]!db[NB NOTA_C],0))</f>
        <v/>
      </c>
      <c r="AV894" s="25" t="str">
        <f>IF(NOTA[[#This Row],[QTY/ CTN]]="","",TRUE)</f>
        <v/>
      </c>
      <c r="AW894" s="25" t="str">
        <f ca="1">IF(NOTA[[#This Row],[ID_H]]="","",IF(NOTA[[#This Row],[Column3]]=TRUE,NOTA[[#This Row],[QTY/ CTN]],INDEX([3]!db[QTY/ CTN],NOTA[[#This Row],[//DB]])))</f>
        <v/>
      </c>
      <c r="AX8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4" s="25" t="str">
        <f ca="1">IF(NOTA[[#This Row],[ID_H]]="","",MATCH(NOTA[[#This Row],[NB NOTA_C_QTY]],[3]!db[NB NOTA_C_QTY+F],0))</f>
        <v/>
      </c>
      <c r="AZ894" s="38" t="str">
        <f ca="1">IF(NOTA[[#This Row],[NB NOTA_C_QTY]]="","",ROW()-2)</f>
        <v/>
      </c>
    </row>
    <row r="895" spans="1:52" ht="20.100000000000001" customHeight="1">
      <c r="A8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5" s="25" t="str">
        <f ca="1">IF(NOTA[[#This Row],[NAMA BARANG]]="","",INDEX(NOTA[ID],MATCH(,INDIRECT(ADDRESS(ROW(NOTA[ID]),COLUMN(NOTA[ID]))&amp;":"&amp;ADDRESS(ROW(),COLUMN(NOTA[ID]))),-1)))</f>
        <v/>
      </c>
      <c r="E895" s="33"/>
      <c r="H895" s="34"/>
      <c r="Q895" s="29"/>
      <c r="R895" s="35"/>
      <c r="S895" s="36"/>
      <c r="V895" s="37"/>
      <c r="W895" s="32"/>
      <c r="X895" s="37" t="str">
        <f>IF(NOTA[[#This Row],[HARGA/ CTN]]="",NOTA[[#This Row],[JUMLAH_H]],NOTA[[#This Row],[HARGA/ CTN]]*IF(NOTA[[#This Row],[C]]="",0,NOTA[[#This Row],[C]]))</f>
        <v/>
      </c>
      <c r="Y895" s="37" t="str">
        <f>IF(NOTA[[#This Row],[JUMLAH]]="","",NOTA[[#This Row],[JUMLAH]]*NOTA[[#This Row],[DISC 1]])</f>
        <v/>
      </c>
      <c r="Z895" s="37" t="str">
        <f>IF(NOTA[[#This Row],[JUMLAH]]="","",(NOTA[[#This Row],[JUMLAH]]-NOTA[[#This Row],[DISC 1-]])*NOTA[[#This Row],[DISC 2]])</f>
        <v/>
      </c>
      <c r="AA895" s="37" t="str">
        <f>IF(NOTA[[#This Row],[JUMLAH]]="","",(NOTA[[#This Row],[JUMLAH]]-NOTA[[#This Row],[DISC 1-]]-NOTA[[#This Row],[DISC 2-]])*NOTA[[#This Row],[DISC 3]])</f>
        <v/>
      </c>
      <c r="AB895" s="37" t="str">
        <f>IF(NOTA[[#This Row],[JUMLAH]]="","",NOTA[[#This Row],[DISC 1-]]+NOTA[[#This Row],[DISC 2-]]+NOTA[[#This Row],[DISC 3-]])</f>
        <v/>
      </c>
      <c r="AC895" s="37" t="str">
        <f>IF(NOTA[[#This Row],[JUMLAH]]="","",NOTA[[#This Row],[JUMLAH]]-NOTA[[#This Row],[DISC]])</f>
        <v/>
      </c>
      <c r="AD895" s="37"/>
      <c r="AE8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5" s="37" t="str">
        <f>IF(OR(NOTA[[#This Row],[QTY]]="",NOTA[[#This Row],[HARGA SATUAN]]="",),"",NOTA[[#This Row],[QTY]]*NOTA[[#This Row],[HARGA SATUAN]])</f>
        <v/>
      </c>
      <c r="AI895" s="26" t="str">
        <f ca="1">IF(NOTA[[#This Row],[ID_H]]="","",INDEX(NOTA[TANGGAL],MATCH(,INDIRECT(ADDRESS(ROW(NOTA[TANGGAL]),COLUMN(NOTA[TANGGAL]))&amp;":"&amp;ADDRESS(ROW(),COLUMN(NOTA[TANGGAL]))),-1)))</f>
        <v/>
      </c>
      <c r="AJ895" s="26" t="str">
        <f ca="1">IF(NOTA[[#This Row],[ID_H]]="","",INDEX(NOTA[TGL.NOTA],MATCH(,INDIRECT(ADDRESS(ROW(NOTA[TGL.NOTA]),COLUMN(NOTA[TGL.NOTA]))&amp;":"&amp;ADDRESS(ROW(),COLUMN(NOTA[TGL.NOTA]))),-1)))</f>
        <v/>
      </c>
      <c r="AK895" s="26" t="str">
        <f ca="1">IF(NOTA[[#This Row],[ID_H]]="","",INDEX(NOTA[NO.NOTA],MATCH(NOTA[[#This Row],[ID_H]],NOTA[ID_H],0)))</f>
        <v/>
      </c>
      <c r="AL895" s="28" t="str">
        <f ca="1">IF(NOTA[[#This Row],[NAMA BARANG]]="","",INDEX(NOTA[SUPPLIER],MATCH(,INDIRECT(ADDRESS(ROW(NOTA[ID]),COLUMN(NOTA[ID]))&amp;":"&amp;ADDRESS(ROW(),COLUMN(NOTA[ID]))),-1)))</f>
        <v/>
      </c>
      <c r="AM895" s="28" t="str">
        <f ca="1">IF(NOTA[[#This Row],[ID_H]]="","",IF(NOTA[[#This Row],[FAKTUR]]="",INDIRECT(ADDRESS(ROW()-1,COLUMN())),NOTA[[#This Row],[FAKTUR]]))</f>
        <v/>
      </c>
      <c r="AN895" s="25" t="str">
        <f ca="1">IF(NOTA[[#This Row],[ID]]="","",COUNTIF(NOTA[ID_H],NOTA[[#This Row],[ID_H]]))</f>
        <v/>
      </c>
      <c r="AO895" s="25" t="str">
        <f ca="1">IF(NOTA[[#This Row],[TGL.NOTA]]="",IF(NOTA[[#This Row],[SUPPLIER_H]]="","",AO894),MONTH(NOTA[[#This Row],[TGL.NOTA]]))</f>
        <v/>
      </c>
      <c r="AP8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5" s="25"/>
      <c r="AU895" s="25" t="str">
        <f>IF(NOTA[[#This Row],[CONCAT1]]="","",MATCH(NOTA[[#This Row],[CONCAT1]],[3]!db[NB NOTA_C],0))</f>
        <v/>
      </c>
      <c r="AV895" s="25" t="str">
        <f>IF(NOTA[[#This Row],[QTY/ CTN]]="","",TRUE)</f>
        <v/>
      </c>
      <c r="AW895" s="25" t="str">
        <f ca="1">IF(NOTA[[#This Row],[ID_H]]="","",IF(NOTA[[#This Row],[Column3]]=TRUE,NOTA[[#This Row],[QTY/ CTN]],INDEX([3]!db[QTY/ CTN],NOTA[[#This Row],[//DB]])))</f>
        <v/>
      </c>
      <c r="AX8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5" s="25" t="str">
        <f ca="1">IF(NOTA[[#This Row],[ID_H]]="","",MATCH(NOTA[[#This Row],[NB NOTA_C_QTY]],[3]!db[NB NOTA_C_QTY+F],0))</f>
        <v/>
      </c>
      <c r="AZ895" s="38" t="str">
        <f ca="1">IF(NOTA[[#This Row],[NB NOTA_C_QTY]]="","",ROW()-2)</f>
        <v/>
      </c>
    </row>
    <row r="896" spans="1:52" ht="20.100000000000001" customHeight="1">
      <c r="A8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6" s="25" t="str">
        <f ca="1">IF(NOTA[[#This Row],[NAMA BARANG]]="","",INDEX(NOTA[ID],MATCH(,INDIRECT(ADDRESS(ROW(NOTA[ID]),COLUMN(NOTA[ID]))&amp;":"&amp;ADDRESS(ROW(),COLUMN(NOTA[ID]))),-1)))</f>
        <v/>
      </c>
      <c r="E896" s="33"/>
      <c r="H896" s="34"/>
      <c r="Q896" s="29"/>
      <c r="R896" s="35"/>
      <c r="S896" s="36"/>
      <c r="V896" s="37"/>
      <c r="W896" s="32"/>
      <c r="X896" s="37" t="str">
        <f>IF(NOTA[[#This Row],[HARGA/ CTN]]="",NOTA[[#This Row],[JUMLAH_H]],NOTA[[#This Row],[HARGA/ CTN]]*IF(NOTA[[#This Row],[C]]="",0,NOTA[[#This Row],[C]]))</f>
        <v/>
      </c>
      <c r="Y896" s="37" t="str">
        <f>IF(NOTA[[#This Row],[JUMLAH]]="","",NOTA[[#This Row],[JUMLAH]]*NOTA[[#This Row],[DISC 1]])</f>
        <v/>
      </c>
      <c r="Z896" s="37" t="str">
        <f>IF(NOTA[[#This Row],[JUMLAH]]="","",(NOTA[[#This Row],[JUMLAH]]-NOTA[[#This Row],[DISC 1-]])*NOTA[[#This Row],[DISC 2]])</f>
        <v/>
      </c>
      <c r="AA896" s="37" t="str">
        <f>IF(NOTA[[#This Row],[JUMLAH]]="","",(NOTA[[#This Row],[JUMLAH]]-NOTA[[#This Row],[DISC 1-]]-NOTA[[#This Row],[DISC 2-]])*NOTA[[#This Row],[DISC 3]])</f>
        <v/>
      </c>
      <c r="AB896" s="37" t="str">
        <f>IF(NOTA[[#This Row],[JUMLAH]]="","",NOTA[[#This Row],[DISC 1-]]+NOTA[[#This Row],[DISC 2-]]+NOTA[[#This Row],[DISC 3-]])</f>
        <v/>
      </c>
      <c r="AC896" s="37" t="str">
        <f>IF(NOTA[[#This Row],[JUMLAH]]="","",NOTA[[#This Row],[JUMLAH]]-NOTA[[#This Row],[DISC]])</f>
        <v/>
      </c>
      <c r="AD896" s="37"/>
      <c r="AE8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6" s="37" t="str">
        <f>IF(OR(NOTA[[#This Row],[QTY]]="",NOTA[[#This Row],[HARGA SATUAN]]="",),"",NOTA[[#This Row],[QTY]]*NOTA[[#This Row],[HARGA SATUAN]])</f>
        <v/>
      </c>
      <c r="AI896" s="26" t="str">
        <f ca="1">IF(NOTA[[#This Row],[ID_H]]="","",INDEX(NOTA[TANGGAL],MATCH(,INDIRECT(ADDRESS(ROW(NOTA[TANGGAL]),COLUMN(NOTA[TANGGAL]))&amp;":"&amp;ADDRESS(ROW(),COLUMN(NOTA[TANGGAL]))),-1)))</f>
        <v/>
      </c>
      <c r="AJ896" s="26" t="str">
        <f ca="1">IF(NOTA[[#This Row],[ID_H]]="","",INDEX(NOTA[TGL.NOTA],MATCH(,INDIRECT(ADDRESS(ROW(NOTA[TGL.NOTA]),COLUMN(NOTA[TGL.NOTA]))&amp;":"&amp;ADDRESS(ROW(),COLUMN(NOTA[TGL.NOTA]))),-1)))</f>
        <v/>
      </c>
      <c r="AK896" s="26" t="str">
        <f ca="1">IF(NOTA[[#This Row],[ID_H]]="","",INDEX(NOTA[NO.NOTA],MATCH(NOTA[[#This Row],[ID_H]],NOTA[ID_H],0)))</f>
        <v/>
      </c>
      <c r="AL896" s="28" t="str">
        <f ca="1">IF(NOTA[[#This Row],[NAMA BARANG]]="","",INDEX(NOTA[SUPPLIER],MATCH(,INDIRECT(ADDRESS(ROW(NOTA[ID]),COLUMN(NOTA[ID]))&amp;":"&amp;ADDRESS(ROW(),COLUMN(NOTA[ID]))),-1)))</f>
        <v/>
      </c>
      <c r="AM896" s="28" t="str">
        <f ca="1">IF(NOTA[[#This Row],[ID_H]]="","",IF(NOTA[[#This Row],[FAKTUR]]="",INDIRECT(ADDRESS(ROW()-1,COLUMN())),NOTA[[#This Row],[FAKTUR]]))</f>
        <v/>
      </c>
      <c r="AN896" s="25" t="str">
        <f ca="1">IF(NOTA[[#This Row],[ID]]="","",COUNTIF(NOTA[ID_H],NOTA[[#This Row],[ID_H]]))</f>
        <v/>
      </c>
      <c r="AO896" s="25" t="str">
        <f ca="1">IF(NOTA[[#This Row],[TGL.NOTA]]="",IF(NOTA[[#This Row],[SUPPLIER_H]]="","",AO895),MONTH(NOTA[[#This Row],[TGL.NOTA]]))</f>
        <v/>
      </c>
      <c r="AP8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6" s="25"/>
      <c r="AU896" s="25" t="str">
        <f>IF(NOTA[[#This Row],[CONCAT1]]="","",MATCH(NOTA[[#This Row],[CONCAT1]],[3]!db[NB NOTA_C],0))</f>
        <v/>
      </c>
      <c r="AV896" s="25" t="str">
        <f>IF(NOTA[[#This Row],[QTY/ CTN]]="","",TRUE)</f>
        <v/>
      </c>
      <c r="AW896" s="25" t="str">
        <f ca="1">IF(NOTA[[#This Row],[ID_H]]="","",IF(NOTA[[#This Row],[Column3]]=TRUE,NOTA[[#This Row],[QTY/ CTN]],INDEX([3]!db[QTY/ CTN],NOTA[[#This Row],[//DB]])))</f>
        <v/>
      </c>
      <c r="AX8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6" s="25" t="str">
        <f ca="1">IF(NOTA[[#This Row],[ID_H]]="","",MATCH(NOTA[[#This Row],[NB NOTA_C_QTY]],[3]!db[NB NOTA_C_QTY+F],0))</f>
        <v/>
      </c>
      <c r="AZ896" s="38" t="str">
        <f ca="1">IF(NOTA[[#This Row],[NB NOTA_C_QTY]]="","",ROW()-2)</f>
        <v/>
      </c>
    </row>
    <row r="897" spans="1:52" ht="20.100000000000001" customHeight="1">
      <c r="A8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7" s="25" t="str">
        <f ca="1">IF(NOTA[[#This Row],[NAMA BARANG]]="","",INDEX(NOTA[ID],MATCH(,INDIRECT(ADDRESS(ROW(NOTA[ID]),COLUMN(NOTA[ID]))&amp;":"&amp;ADDRESS(ROW(),COLUMN(NOTA[ID]))),-1)))</f>
        <v/>
      </c>
      <c r="E897" s="33"/>
      <c r="H897" s="34"/>
      <c r="Q897" s="29"/>
      <c r="R897" s="35"/>
      <c r="S897" s="36"/>
      <c r="V897" s="37"/>
      <c r="W897" s="32"/>
      <c r="X897" s="37" t="str">
        <f>IF(NOTA[[#This Row],[HARGA/ CTN]]="",NOTA[[#This Row],[JUMLAH_H]],NOTA[[#This Row],[HARGA/ CTN]]*IF(NOTA[[#This Row],[C]]="",0,NOTA[[#This Row],[C]]))</f>
        <v/>
      </c>
      <c r="Y897" s="37" t="str">
        <f>IF(NOTA[[#This Row],[JUMLAH]]="","",NOTA[[#This Row],[JUMLAH]]*NOTA[[#This Row],[DISC 1]])</f>
        <v/>
      </c>
      <c r="Z897" s="37" t="str">
        <f>IF(NOTA[[#This Row],[JUMLAH]]="","",(NOTA[[#This Row],[JUMLAH]]-NOTA[[#This Row],[DISC 1-]])*NOTA[[#This Row],[DISC 2]])</f>
        <v/>
      </c>
      <c r="AA897" s="37" t="str">
        <f>IF(NOTA[[#This Row],[JUMLAH]]="","",(NOTA[[#This Row],[JUMLAH]]-NOTA[[#This Row],[DISC 1-]]-NOTA[[#This Row],[DISC 2-]])*NOTA[[#This Row],[DISC 3]])</f>
        <v/>
      </c>
      <c r="AB897" s="37" t="str">
        <f>IF(NOTA[[#This Row],[JUMLAH]]="","",NOTA[[#This Row],[DISC 1-]]+NOTA[[#This Row],[DISC 2-]]+NOTA[[#This Row],[DISC 3-]])</f>
        <v/>
      </c>
      <c r="AC897" s="37" t="str">
        <f>IF(NOTA[[#This Row],[JUMLAH]]="","",NOTA[[#This Row],[JUMLAH]]-NOTA[[#This Row],[DISC]])</f>
        <v/>
      </c>
      <c r="AD897" s="37"/>
      <c r="AE8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7" s="37" t="str">
        <f>IF(OR(NOTA[[#This Row],[QTY]]="",NOTA[[#This Row],[HARGA SATUAN]]="",),"",NOTA[[#This Row],[QTY]]*NOTA[[#This Row],[HARGA SATUAN]])</f>
        <v/>
      </c>
      <c r="AI897" s="26" t="str">
        <f ca="1">IF(NOTA[[#This Row],[ID_H]]="","",INDEX(NOTA[TANGGAL],MATCH(,INDIRECT(ADDRESS(ROW(NOTA[TANGGAL]),COLUMN(NOTA[TANGGAL]))&amp;":"&amp;ADDRESS(ROW(),COLUMN(NOTA[TANGGAL]))),-1)))</f>
        <v/>
      </c>
      <c r="AJ897" s="26" t="str">
        <f ca="1">IF(NOTA[[#This Row],[ID_H]]="","",INDEX(NOTA[TGL.NOTA],MATCH(,INDIRECT(ADDRESS(ROW(NOTA[TGL.NOTA]),COLUMN(NOTA[TGL.NOTA]))&amp;":"&amp;ADDRESS(ROW(),COLUMN(NOTA[TGL.NOTA]))),-1)))</f>
        <v/>
      </c>
      <c r="AK897" s="26" t="str">
        <f ca="1">IF(NOTA[[#This Row],[ID_H]]="","",INDEX(NOTA[NO.NOTA],MATCH(NOTA[[#This Row],[ID_H]],NOTA[ID_H],0)))</f>
        <v/>
      </c>
      <c r="AL897" s="28" t="str">
        <f ca="1">IF(NOTA[[#This Row],[NAMA BARANG]]="","",INDEX(NOTA[SUPPLIER],MATCH(,INDIRECT(ADDRESS(ROW(NOTA[ID]),COLUMN(NOTA[ID]))&amp;":"&amp;ADDRESS(ROW(),COLUMN(NOTA[ID]))),-1)))</f>
        <v/>
      </c>
      <c r="AM897" s="28" t="str">
        <f ca="1">IF(NOTA[[#This Row],[ID_H]]="","",IF(NOTA[[#This Row],[FAKTUR]]="",INDIRECT(ADDRESS(ROW()-1,COLUMN())),NOTA[[#This Row],[FAKTUR]]))</f>
        <v/>
      </c>
      <c r="AN897" s="25" t="str">
        <f ca="1">IF(NOTA[[#This Row],[ID]]="","",COUNTIF(NOTA[ID_H],NOTA[[#This Row],[ID_H]]))</f>
        <v/>
      </c>
      <c r="AO897" s="25" t="str">
        <f ca="1">IF(NOTA[[#This Row],[TGL.NOTA]]="",IF(NOTA[[#This Row],[SUPPLIER_H]]="","",AO896),MONTH(NOTA[[#This Row],[TGL.NOTA]]))</f>
        <v/>
      </c>
      <c r="AP8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7" s="25"/>
      <c r="AU897" s="25" t="str">
        <f>IF(NOTA[[#This Row],[CONCAT1]]="","",MATCH(NOTA[[#This Row],[CONCAT1]],[3]!db[NB NOTA_C],0))</f>
        <v/>
      </c>
      <c r="AV897" s="25" t="str">
        <f>IF(NOTA[[#This Row],[QTY/ CTN]]="","",TRUE)</f>
        <v/>
      </c>
      <c r="AW897" s="25" t="str">
        <f ca="1">IF(NOTA[[#This Row],[ID_H]]="","",IF(NOTA[[#This Row],[Column3]]=TRUE,NOTA[[#This Row],[QTY/ CTN]],INDEX([3]!db[QTY/ CTN],NOTA[[#This Row],[//DB]])))</f>
        <v/>
      </c>
      <c r="AX8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7" s="25" t="str">
        <f ca="1">IF(NOTA[[#This Row],[ID_H]]="","",MATCH(NOTA[[#This Row],[NB NOTA_C_QTY]],[3]!db[NB NOTA_C_QTY+F],0))</f>
        <v/>
      </c>
      <c r="AZ897" s="38" t="str">
        <f ca="1">IF(NOTA[[#This Row],[NB NOTA_C_QTY]]="","",ROW()-2)</f>
        <v/>
      </c>
    </row>
    <row r="898" spans="1:52" ht="20.100000000000001" customHeight="1">
      <c r="A8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8" s="25" t="str">
        <f ca="1">IF(NOTA[[#This Row],[NAMA BARANG]]="","",INDEX(NOTA[ID],MATCH(,INDIRECT(ADDRESS(ROW(NOTA[ID]),COLUMN(NOTA[ID]))&amp;":"&amp;ADDRESS(ROW(),COLUMN(NOTA[ID]))),-1)))</f>
        <v/>
      </c>
      <c r="E898" s="33"/>
      <c r="H898" s="34"/>
      <c r="Q898" s="29"/>
      <c r="R898" s="35"/>
      <c r="S898" s="36"/>
      <c r="V898" s="37"/>
      <c r="W898" s="32"/>
      <c r="X898" s="37" t="str">
        <f>IF(NOTA[[#This Row],[HARGA/ CTN]]="",NOTA[[#This Row],[JUMLAH_H]],NOTA[[#This Row],[HARGA/ CTN]]*IF(NOTA[[#This Row],[C]]="",0,NOTA[[#This Row],[C]]))</f>
        <v/>
      </c>
      <c r="Y898" s="37" t="str">
        <f>IF(NOTA[[#This Row],[JUMLAH]]="","",NOTA[[#This Row],[JUMLAH]]*NOTA[[#This Row],[DISC 1]])</f>
        <v/>
      </c>
      <c r="Z898" s="37" t="str">
        <f>IF(NOTA[[#This Row],[JUMLAH]]="","",(NOTA[[#This Row],[JUMLAH]]-NOTA[[#This Row],[DISC 1-]])*NOTA[[#This Row],[DISC 2]])</f>
        <v/>
      </c>
      <c r="AA898" s="37" t="str">
        <f>IF(NOTA[[#This Row],[JUMLAH]]="","",(NOTA[[#This Row],[JUMLAH]]-NOTA[[#This Row],[DISC 1-]]-NOTA[[#This Row],[DISC 2-]])*NOTA[[#This Row],[DISC 3]])</f>
        <v/>
      </c>
      <c r="AB898" s="37" t="str">
        <f>IF(NOTA[[#This Row],[JUMLAH]]="","",NOTA[[#This Row],[DISC 1-]]+NOTA[[#This Row],[DISC 2-]]+NOTA[[#This Row],[DISC 3-]])</f>
        <v/>
      </c>
      <c r="AC898" s="37" t="str">
        <f>IF(NOTA[[#This Row],[JUMLAH]]="","",NOTA[[#This Row],[JUMLAH]]-NOTA[[#This Row],[DISC]])</f>
        <v/>
      </c>
      <c r="AD898" s="37"/>
      <c r="AE8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8" s="37" t="str">
        <f>IF(OR(NOTA[[#This Row],[QTY]]="",NOTA[[#This Row],[HARGA SATUAN]]="",),"",NOTA[[#This Row],[QTY]]*NOTA[[#This Row],[HARGA SATUAN]])</f>
        <v/>
      </c>
      <c r="AI898" s="26" t="str">
        <f ca="1">IF(NOTA[[#This Row],[ID_H]]="","",INDEX(NOTA[TANGGAL],MATCH(,INDIRECT(ADDRESS(ROW(NOTA[TANGGAL]),COLUMN(NOTA[TANGGAL]))&amp;":"&amp;ADDRESS(ROW(),COLUMN(NOTA[TANGGAL]))),-1)))</f>
        <v/>
      </c>
      <c r="AJ898" s="26" t="str">
        <f ca="1">IF(NOTA[[#This Row],[ID_H]]="","",INDEX(NOTA[TGL.NOTA],MATCH(,INDIRECT(ADDRESS(ROW(NOTA[TGL.NOTA]),COLUMN(NOTA[TGL.NOTA]))&amp;":"&amp;ADDRESS(ROW(),COLUMN(NOTA[TGL.NOTA]))),-1)))</f>
        <v/>
      </c>
      <c r="AK898" s="26" t="str">
        <f ca="1">IF(NOTA[[#This Row],[ID_H]]="","",INDEX(NOTA[NO.NOTA],MATCH(NOTA[[#This Row],[ID_H]],NOTA[ID_H],0)))</f>
        <v/>
      </c>
      <c r="AL898" s="28" t="str">
        <f ca="1">IF(NOTA[[#This Row],[NAMA BARANG]]="","",INDEX(NOTA[SUPPLIER],MATCH(,INDIRECT(ADDRESS(ROW(NOTA[ID]),COLUMN(NOTA[ID]))&amp;":"&amp;ADDRESS(ROW(),COLUMN(NOTA[ID]))),-1)))</f>
        <v/>
      </c>
      <c r="AM898" s="28" t="str">
        <f ca="1">IF(NOTA[[#This Row],[ID_H]]="","",IF(NOTA[[#This Row],[FAKTUR]]="",INDIRECT(ADDRESS(ROW()-1,COLUMN())),NOTA[[#This Row],[FAKTUR]]))</f>
        <v/>
      </c>
      <c r="AN898" s="25" t="str">
        <f ca="1">IF(NOTA[[#This Row],[ID]]="","",COUNTIF(NOTA[ID_H],NOTA[[#This Row],[ID_H]]))</f>
        <v/>
      </c>
      <c r="AO898" s="25" t="str">
        <f ca="1">IF(NOTA[[#This Row],[TGL.NOTA]]="",IF(NOTA[[#This Row],[SUPPLIER_H]]="","",AO897),MONTH(NOTA[[#This Row],[TGL.NOTA]]))</f>
        <v/>
      </c>
      <c r="AP8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8" s="25"/>
      <c r="AU898" s="25" t="str">
        <f>IF(NOTA[[#This Row],[CONCAT1]]="","",MATCH(NOTA[[#This Row],[CONCAT1]],[3]!db[NB NOTA_C],0))</f>
        <v/>
      </c>
      <c r="AV898" s="25" t="str">
        <f>IF(NOTA[[#This Row],[QTY/ CTN]]="","",TRUE)</f>
        <v/>
      </c>
      <c r="AW898" s="25" t="str">
        <f ca="1">IF(NOTA[[#This Row],[ID_H]]="","",IF(NOTA[[#This Row],[Column3]]=TRUE,NOTA[[#This Row],[QTY/ CTN]],INDEX([3]!db[QTY/ CTN],NOTA[[#This Row],[//DB]])))</f>
        <v/>
      </c>
      <c r="AX8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8" s="25" t="str">
        <f ca="1">IF(NOTA[[#This Row],[ID_H]]="","",MATCH(NOTA[[#This Row],[NB NOTA_C_QTY]],[3]!db[NB NOTA_C_QTY+F],0))</f>
        <v/>
      </c>
      <c r="AZ898" s="38" t="str">
        <f ca="1">IF(NOTA[[#This Row],[NB NOTA_C_QTY]]="","",ROW()-2)</f>
        <v/>
      </c>
    </row>
    <row r="899" spans="1:52" ht="20.100000000000001" customHeight="1">
      <c r="A8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9" s="25" t="str">
        <f ca="1">IF(NOTA[[#This Row],[NAMA BARANG]]="","",INDEX(NOTA[ID],MATCH(,INDIRECT(ADDRESS(ROW(NOTA[ID]),COLUMN(NOTA[ID]))&amp;":"&amp;ADDRESS(ROW(),COLUMN(NOTA[ID]))),-1)))</f>
        <v/>
      </c>
      <c r="E899" s="33"/>
      <c r="H899" s="34"/>
      <c r="Q899" s="29"/>
      <c r="R899" s="35"/>
      <c r="S899" s="36"/>
      <c r="V899" s="37"/>
      <c r="W899" s="32"/>
      <c r="X899" s="37" t="str">
        <f>IF(NOTA[[#This Row],[HARGA/ CTN]]="",NOTA[[#This Row],[JUMLAH_H]],NOTA[[#This Row],[HARGA/ CTN]]*IF(NOTA[[#This Row],[C]]="",0,NOTA[[#This Row],[C]]))</f>
        <v/>
      </c>
      <c r="Y899" s="37" t="str">
        <f>IF(NOTA[[#This Row],[JUMLAH]]="","",NOTA[[#This Row],[JUMLAH]]*NOTA[[#This Row],[DISC 1]])</f>
        <v/>
      </c>
      <c r="Z899" s="37" t="str">
        <f>IF(NOTA[[#This Row],[JUMLAH]]="","",(NOTA[[#This Row],[JUMLAH]]-NOTA[[#This Row],[DISC 1-]])*NOTA[[#This Row],[DISC 2]])</f>
        <v/>
      </c>
      <c r="AA899" s="37" t="str">
        <f>IF(NOTA[[#This Row],[JUMLAH]]="","",(NOTA[[#This Row],[JUMLAH]]-NOTA[[#This Row],[DISC 1-]]-NOTA[[#This Row],[DISC 2-]])*NOTA[[#This Row],[DISC 3]])</f>
        <v/>
      </c>
      <c r="AB899" s="37" t="str">
        <f>IF(NOTA[[#This Row],[JUMLAH]]="","",NOTA[[#This Row],[DISC 1-]]+NOTA[[#This Row],[DISC 2-]]+NOTA[[#This Row],[DISC 3-]])</f>
        <v/>
      </c>
      <c r="AC899" s="37" t="str">
        <f>IF(NOTA[[#This Row],[JUMLAH]]="","",NOTA[[#This Row],[JUMLAH]]-NOTA[[#This Row],[DISC]])</f>
        <v/>
      </c>
      <c r="AD899" s="37"/>
      <c r="AE8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9" s="37" t="str">
        <f>IF(OR(NOTA[[#This Row],[QTY]]="",NOTA[[#This Row],[HARGA SATUAN]]="",),"",NOTA[[#This Row],[QTY]]*NOTA[[#This Row],[HARGA SATUAN]])</f>
        <v/>
      </c>
      <c r="AI899" s="26" t="str">
        <f ca="1">IF(NOTA[[#This Row],[ID_H]]="","",INDEX(NOTA[TANGGAL],MATCH(,INDIRECT(ADDRESS(ROW(NOTA[TANGGAL]),COLUMN(NOTA[TANGGAL]))&amp;":"&amp;ADDRESS(ROW(),COLUMN(NOTA[TANGGAL]))),-1)))</f>
        <v/>
      </c>
      <c r="AJ899" s="26" t="str">
        <f ca="1">IF(NOTA[[#This Row],[ID_H]]="","",INDEX(NOTA[TGL.NOTA],MATCH(,INDIRECT(ADDRESS(ROW(NOTA[TGL.NOTA]),COLUMN(NOTA[TGL.NOTA]))&amp;":"&amp;ADDRESS(ROW(),COLUMN(NOTA[TGL.NOTA]))),-1)))</f>
        <v/>
      </c>
      <c r="AK899" s="26" t="str">
        <f ca="1">IF(NOTA[[#This Row],[ID_H]]="","",INDEX(NOTA[NO.NOTA],MATCH(NOTA[[#This Row],[ID_H]],NOTA[ID_H],0)))</f>
        <v/>
      </c>
      <c r="AL899" s="28" t="str">
        <f ca="1">IF(NOTA[[#This Row],[NAMA BARANG]]="","",INDEX(NOTA[SUPPLIER],MATCH(,INDIRECT(ADDRESS(ROW(NOTA[ID]),COLUMN(NOTA[ID]))&amp;":"&amp;ADDRESS(ROW(),COLUMN(NOTA[ID]))),-1)))</f>
        <v/>
      </c>
      <c r="AM899" s="28" t="str">
        <f ca="1">IF(NOTA[[#This Row],[ID_H]]="","",IF(NOTA[[#This Row],[FAKTUR]]="",INDIRECT(ADDRESS(ROW()-1,COLUMN())),NOTA[[#This Row],[FAKTUR]]))</f>
        <v/>
      </c>
      <c r="AN899" s="25" t="str">
        <f ca="1">IF(NOTA[[#This Row],[ID]]="","",COUNTIF(NOTA[ID_H],NOTA[[#This Row],[ID_H]]))</f>
        <v/>
      </c>
      <c r="AO899" s="25" t="str">
        <f ca="1">IF(NOTA[[#This Row],[TGL.NOTA]]="",IF(NOTA[[#This Row],[SUPPLIER_H]]="","",AO898),MONTH(NOTA[[#This Row],[TGL.NOTA]]))</f>
        <v/>
      </c>
      <c r="AP8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9" s="25"/>
      <c r="AU899" s="25" t="str">
        <f>IF(NOTA[[#This Row],[CONCAT1]]="","",MATCH(NOTA[[#This Row],[CONCAT1]],[3]!db[NB NOTA_C],0))</f>
        <v/>
      </c>
      <c r="AV899" s="25" t="str">
        <f>IF(NOTA[[#This Row],[QTY/ CTN]]="","",TRUE)</f>
        <v/>
      </c>
      <c r="AW899" s="25" t="str">
        <f ca="1">IF(NOTA[[#This Row],[ID_H]]="","",IF(NOTA[[#This Row],[Column3]]=TRUE,NOTA[[#This Row],[QTY/ CTN]],INDEX([3]!db[QTY/ CTN],NOTA[[#This Row],[//DB]])))</f>
        <v/>
      </c>
      <c r="AX8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9" s="25" t="str">
        <f ca="1">IF(NOTA[[#This Row],[ID_H]]="","",MATCH(NOTA[[#This Row],[NB NOTA_C_QTY]],[3]!db[NB NOTA_C_QTY+F],0))</f>
        <v/>
      </c>
      <c r="AZ899" s="38" t="str">
        <f ca="1">IF(NOTA[[#This Row],[NB NOTA_C_QTY]]="","",ROW()-2)</f>
        <v/>
      </c>
    </row>
    <row r="900" spans="1:52" ht="20.100000000000001" customHeight="1">
      <c r="A9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0" s="25" t="str">
        <f ca="1">IF(NOTA[[#This Row],[NAMA BARANG]]="","",INDEX(NOTA[ID],MATCH(,INDIRECT(ADDRESS(ROW(NOTA[ID]),COLUMN(NOTA[ID]))&amp;":"&amp;ADDRESS(ROW(),COLUMN(NOTA[ID]))),-1)))</f>
        <v/>
      </c>
      <c r="E900" s="33"/>
      <c r="H900" s="34"/>
      <c r="Q900" s="29"/>
      <c r="R900" s="35"/>
      <c r="S900" s="36"/>
      <c r="V900" s="37"/>
      <c r="W900" s="32"/>
      <c r="X900" s="37" t="str">
        <f>IF(NOTA[[#This Row],[HARGA/ CTN]]="",NOTA[[#This Row],[JUMLAH_H]],NOTA[[#This Row],[HARGA/ CTN]]*IF(NOTA[[#This Row],[C]]="",0,NOTA[[#This Row],[C]]))</f>
        <v/>
      </c>
      <c r="Y900" s="37" t="str">
        <f>IF(NOTA[[#This Row],[JUMLAH]]="","",NOTA[[#This Row],[JUMLAH]]*NOTA[[#This Row],[DISC 1]])</f>
        <v/>
      </c>
      <c r="Z900" s="37" t="str">
        <f>IF(NOTA[[#This Row],[JUMLAH]]="","",(NOTA[[#This Row],[JUMLAH]]-NOTA[[#This Row],[DISC 1-]])*NOTA[[#This Row],[DISC 2]])</f>
        <v/>
      </c>
      <c r="AA900" s="37" t="str">
        <f>IF(NOTA[[#This Row],[JUMLAH]]="","",(NOTA[[#This Row],[JUMLAH]]-NOTA[[#This Row],[DISC 1-]]-NOTA[[#This Row],[DISC 2-]])*NOTA[[#This Row],[DISC 3]])</f>
        <v/>
      </c>
      <c r="AB900" s="37" t="str">
        <f>IF(NOTA[[#This Row],[JUMLAH]]="","",NOTA[[#This Row],[DISC 1-]]+NOTA[[#This Row],[DISC 2-]]+NOTA[[#This Row],[DISC 3-]])</f>
        <v/>
      </c>
      <c r="AC900" s="37" t="str">
        <f>IF(NOTA[[#This Row],[JUMLAH]]="","",NOTA[[#This Row],[JUMLAH]]-NOTA[[#This Row],[DISC]])</f>
        <v/>
      </c>
      <c r="AD900" s="37"/>
      <c r="AE9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0" s="37" t="str">
        <f>IF(OR(NOTA[[#This Row],[QTY]]="",NOTA[[#This Row],[HARGA SATUAN]]="",),"",NOTA[[#This Row],[QTY]]*NOTA[[#This Row],[HARGA SATUAN]])</f>
        <v/>
      </c>
      <c r="AI900" s="26" t="str">
        <f ca="1">IF(NOTA[[#This Row],[ID_H]]="","",INDEX(NOTA[TANGGAL],MATCH(,INDIRECT(ADDRESS(ROW(NOTA[TANGGAL]),COLUMN(NOTA[TANGGAL]))&amp;":"&amp;ADDRESS(ROW(),COLUMN(NOTA[TANGGAL]))),-1)))</f>
        <v/>
      </c>
      <c r="AJ900" s="26" t="str">
        <f ca="1">IF(NOTA[[#This Row],[ID_H]]="","",INDEX(NOTA[TGL.NOTA],MATCH(,INDIRECT(ADDRESS(ROW(NOTA[TGL.NOTA]),COLUMN(NOTA[TGL.NOTA]))&amp;":"&amp;ADDRESS(ROW(),COLUMN(NOTA[TGL.NOTA]))),-1)))</f>
        <v/>
      </c>
      <c r="AK900" s="26" t="str">
        <f ca="1">IF(NOTA[[#This Row],[ID_H]]="","",INDEX(NOTA[NO.NOTA],MATCH(NOTA[[#This Row],[ID_H]],NOTA[ID_H],0)))</f>
        <v/>
      </c>
      <c r="AL900" s="28" t="str">
        <f ca="1">IF(NOTA[[#This Row],[NAMA BARANG]]="","",INDEX(NOTA[SUPPLIER],MATCH(,INDIRECT(ADDRESS(ROW(NOTA[ID]),COLUMN(NOTA[ID]))&amp;":"&amp;ADDRESS(ROW(),COLUMN(NOTA[ID]))),-1)))</f>
        <v/>
      </c>
      <c r="AM900" s="28" t="str">
        <f ca="1">IF(NOTA[[#This Row],[ID_H]]="","",IF(NOTA[[#This Row],[FAKTUR]]="",INDIRECT(ADDRESS(ROW()-1,COLUMN())),NOTA[[#This Row],[FAKTUR]]))</f>
        <v/>
      </c>
      <c r="AN900" s="25" t="str">
        <f ca="1">IF(NOTA[[#This Row],[ID]]="","",COUNTIF(NOTA[ID_H],NOTA[[#This Row],[ID_H]]))</f>
        <v/>
      </c>
      <c r="AO900" s="25" t="str">
        <f ca="1">IF(NOTA[[#This Row],[TGL.NOTA]]="",IF(NOTA[[#This Row],[SUPPLIER_H]]="","",AO899),MONTH(NOTA[[#This Row],[TGL.NOTA]]))</f>
        <v/>
      </c>
      <c r="AP9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0" s="25"/>
      <c r="AU900" s="25" t="str">
        <f>IF(NOTA[[#This Row],[CONCAT1]]="","",MATCH(NOTA[[#This Row],[CONCAT1]],[3]!db[NB NOTA_C],0))</f>
        <v/>
      </c>
      <c r="AV900" s="25" t="str">
        <f>IF(NOTA[[#This Row],[QTY/ CTN]]="","",TRUE)</f>
        <v/>
      </c>
      <c r="AW900" s="25" t="str">
        <f ca="1">IF(NOTA[[#This Row],[ID_H]]="","",IF(NOTA[[#This Row],[Column3]]=TRUE,NOTA[[#This Row],[QTY/ CTN]],INDEX([3]!db[QTY/ CTN],NOTA[[#This Row],[//DB]])))</f>
        <v/>
      </c>
      <c r="AX9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0" s="25" t="str">
        <f ca="1">IF(NOTA[[#This Row],[ID_H]]="","",MATCH(NOTA[[#This Row],[NB NOTA_C_QTY]],[3]!db[NB NOTA_C_QTY+F],0))</f>
        <v/>
      </c>
      <c r="AZ900" s="38" t="str">
        <f ca="1">IF(NOTA[[#This Row],[NB NOTA_C_QTY]]="","",ROW()-2)</f>
        <v/>
      </c>
    </row>
    <row r="901" spans="1:52" ht="20.100000000000001" customHeight="1">
      <c r="A9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1" s="25" t="str">
        <f ca="1">IF(NOTA[[#This Row],[NAMA BARANG]]="","",INDEX(NOTA[ID],MATCH(,INDIRECT(ADDRESS(ROW(NOTA[ID]),COLUMN(NOTA[ID]))&amp;":"&amp;ADDRESS(ROW(),COLUMN(NOTA[ID]))),-1)))</f>
        <v/>
      </c>
      <c r="E901" s="33"/>
      <c r="H901" s="34"/>
      <c r="Q901" s="29"/>
      <c r="R901" s="35"/>
      <c r="S901" s="36"/>
      <c r="V901" s="37"/>
      <c r="W901" s="32"/>
      <c r="X901" s="37" t="str">
        <f>IF(NOTA[[#This Row],[HARGA/ CTN]]="",NOTA[[#This Row],[JUMLAH_H]],NOTA[[#This Row],[HARGA/ CTN]]*IF(NOTA[[#This Row],[C]]="",0,NOTA[[#This Row],[C]]))</f>
        <v/>
      </c>
      <c r="Y901" s="37" t="str">
        <f>IF(NOTA[[#This Row],[JUMLAH]]="","",NOTA[[#This Row],[JUMLAH]]*NOTA[[#This Row],[DISC 1]])</f>
        <v/>
      </c>
      <c r="Z901" s="37" t="str">
        <f>IF(NOTA[[#This Row],[JUMLAH]]="","",(NOTA[[#This Row],[JUMLAH]]-NOTA[[#This Row],[DISC 1-]])*NOTA[[#This Row],[DISC 2]])</f>
        <v/>
      </c>
      <c r="AA901" s="37" t="str">
        <f>IF(NOTA[[#This Row],[JUMLAH]]="","",(NOTA[[#This Row],[JUMLAH]]-NOTA[[#This Row],[DISC 1-]]-NOTA[[#This Row],[DISC 2-]])*NOTA[[#This Row],[DISC 3]])</f>
        <v/>
      </c>
      <c r="AB901" s="37" t="str">
        <f>IF(NOTA[[#This Row],[JUMLAH]]="","",NOTA[[#This Row],[DISC 1-]]+NOTA[[#This Row],[DISC 2-]]+NOTA[[#This Row],[DISC 3-]])</f>
        <v/>
      </c>
      <c r="AC901" s="37" t="str">
        <f>IF(NOTA[[#This Row],[JUMLAH]]="","",NOTA[[#This Row],[JUMLAH]]-NOTA[[#This Row],[DISC]])</f>
        <v/>
      </c>
      <c r="AD901" s="37"/>
      <c r="AE9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1" s="37" t="str">
        <f>IF(OR(NOTA[[#This Row],[QTY]]="",NOTA[[#This Row],[HARGA SATUAN]]="",),"",NOTA[[#This Row],[QTY]]*NOTA[[#This Row],[HARGA SATUAN]])</f>
        <v/>
      </c>
      <c r="AI901" s="26" t="str">
        <f ca="1">IF(NOTA[[#This Row],[ID_H]]="","",INDEX(NOTA[TANGGAL],MATCH(,INDIRECT(ADDRESS(ROW(NOTA[TANGGAL]),COLUMN(NOTA[TANGGAL]))&amp;":"&amp;ADDRESS(ROW(),COLUMN(NOTA[TANGGAL]))),-1)))</f>
        <v/>
      </c>
      <c r="AJ901" s="26" t="str">
        <f ca="1">IF(NOTA[[#This Row],[ID_H]]="","",INDEX(NOTA[TGL.NOTA],MATCH(,INDIRECT(ADDRESS(ROW(NOTA[TGL.NOTA]),COLUMN(NOTA[TGL.NOTA]))&amp;":"&amp;ADDRESS(ROW(),COLUMN(NOTA[TGL.NOTA]))),-1)))</f>
        <v/>
      </c>
      <c r="AK901" s="26" t="str">
        <f ca="1">IF(NOTA[[#This Row],[ID_H]]="","",INDEX(NOTA[NO.NOTA],MATCH(NOTA[[#This Row],[ID_H]],NOTA[ID_H],0)))</f>
        <v/>
      </c>
      <c r="AL901" s="28" t="str">
        <f ca="1">IF(NOTA[[#This Row],[NAMA BARANG]]="","",INDEX(NOTA[SUPPLIER],MATCH(,INDIRECT(ADDRESS(ROW(NOTA[ID]),COLUMN(NOTA[ID]))&amp;":"&amp;ADDRESS(ROW(),COLUMN(NOTA[ID]))),-1)))</f>
        <v/>
      </c>
      <c r="AM901" s="28" t="str">
        <f ca="1">IF(NOTA[[#This Row],[ID_H]]="","",IF(NOTA[[#This Row],[FAKTUR]]="",INDIRECT(ADDRESS(ROW()-1,COLUMN())),NOTA[[#This Row],[FAKTUR]]))</f>
        <v/>
      </c>
      <c r="AN901" s="25" t="str">
        <f ca="1">IF(NOTA[[#This Row],[ID]]="","",COUNTIF(NOTA[ID_H],NOTA[[#This Row],[ID_H]]))</f>
        <v/>
      </c>
      <c r="AO901" s="25" t="str">
        <f ca="1">IF(NOTA[[#This Row],[TGL.NOTA]]="",IF(NOTA[[#This Row],[SUPPLIER_H]]="","",AO900),MONTH(NOTA[[#This Row],[TGL.NOTA]]))</f>
        <v/>
      </c>
      <c r="AP9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1" s="25"/>
      <c r="AU901" s="25" t="str">
        <f>IF(NOTA[[#This Row],[CONCAT1]]="","",MATCH(NOTA[[#This Row],[CONCAT1]],[3]!db[NB NOTA_C],0))</f>
        <v/>
      </c>
      <c r="AV901" s="25" t="str">
        <f>IF(NOTA[[#This Row],[QTY/ CTN]]="","",TRUE)</f>
        <v/>
      </c>
      <c r="AW901" s="25" t="str">
        <f ca="1">IF(NOTA[[#This Row],[ID_H]]="","",IF(NOTA[[#This Row],[Column3]]=TRUE,NOTA[[#This Row],[QTY/ CTN]],INDEX([3]!db[QTY/ CTN],NOTA[[#This Row],[//DB]])))</f>
        <v/>
      </c>
      <c r="AX9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1" s="25" t="str">
        <f ca="1">IF(NOTA[[#This Row],[ID_H]]="","",MATCH(NOTA[[#This Row],[NB NOTA_C_QTY]],[3]!db[NB NOTA_C_QTY+F],0))</f>
        <v/>
      </c>
      <c r="AZ901" s="38" t="str">
        <f ca="1">IF(NOTA[[#This Row],[NB NOTA_C_QTY]]="","",ROW()-2)</f>
        <v/>
      </c>
    </row>
    <row r="902" spans="1:52" ht="20.100000000000001" customHeight="1">
      <c r="A9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2" s="25" t="str">
        <f ca="1">IF(NOTA[[#This Row],[NAMA BARANG]]="","",INDEX(NOTA[ID],MATCH(,INDIRECT(ADDRESS(ROW(NOTA[ID]),COLUMN(NOTA[ID]))&amp;":"&amp;ADDRESS(ROW(),COLUMN(NOTA[ID]))),-1)))</f>
        <v/>
      </c>
      <c r="E902" s="33"/>
      <c r="H902" s="34"/>
      <c r="Q902" s="29"/>
      <c r="R902" s="35"/>
      <c r="S902" s="36"/>
      <c r="V902" s="37"/>
      <c r="W902" s="32"/>
      <c r="X902" s="37" t="str">
        <f>IF(NOTA[[#This Row],[HARGA/ CTN]]="",NOTA[[#This Row],[JUMLAH_H]],NOTA[[#This Row],[HARGA/ CTN]]*IF(NOTA[[#This Row],[C]]="",0,NOTA[[#This Row],[C]]))</f>
        <v/>
      </c>
      <c r="Y902" s="37" t="str">
        <f>IF(NOTA[[#This Row],[JUMLAH]]="","",NOTA[[#This Row],[JUMLAH]]*NOTA[[#This Row],[DISC 1]])</f>
        <v/>
      </c>
      <c r="Z902" s="37" t="str">
        <f>IF(NOTA[[#This Row],[JUMLAH]]="","",(NOTA[[#This Row],[JUMLAH]]-NOTA[[#This Row],[DISC 1-]])*NOTA[[#This Row],[DISC 2]])</f>
        <v/>
      </c>
      <c r="AA902" s="37" t="str">
        <f>IF(NOTA[[#This Row],[JUMLAH]]="","",(NOTA[[#This Row],[JUMLAH]]-NOTA[[#This Row],[DISC 1-]]-NOTA[[#This Row],[DISC 2-]])*NOTA[[#This Row],[DISC 3]])</f>
        <v/>
      </c>
      <c r="AB902" s="37" t="str">
        <f>IF(NOTA[[#This Row],[JUMLAH]]="","",NOTA[[#This Row],[DISC 1-]]+NOTA[[#This Row],[DISC 2-]]+NOTA[[#This Row],[DISC 3-]])</f>
        <v/>
      </c>
      <c r="AC902" s="37" t="str">
        <f>IF(NOTA[[#This Row],[JUMLAH]]="","",NOTA[[#This Row],[JUMLAH]]-NOTA[[#This Row],[DISC]])</f>
        <v/>
      </c>
      <c r="AD902" s="37"/>
      <c r="AE9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2" s="37" t="str">
        <f>IF(OR(NOTA[[#This Row],[QTY]]="",NOTA[[#This Row],[HARGA SATUAN]]="",),"",NOTA[[#This Row],[QTY]]*NOTA[[#This Row],[HARGA SATUAN]])</f>
        <v/>
      </c>
      <c r="AI902" s="26" t="str">
        <f ca="1">IF(NOTA[[#This Row],[ID_H]]="","",INDEX(NOTA[TANGGAL],MATCH(,INDIRECT(ADDRESS(ROW(NOTA[TANGGAL]),COLUMN(NOTA[TANGGAL]))&amp;":"&amp;ADDRESS(ROW(),COLUMN(NOTA[TANGGAL]))),-1)))</f>
        <v/>
      </c>
      <c r="AJ902" s="26" t="str">
        <f ca="1">IF(NOTA[[#This Row],[ID_H]]="","",INDEX(NOTA[TGL.NOTA],MATCH(,INDIRECT(ADDRESS(ROW(NOTA[TGL.NOTA]),COLUMN(NOTA[TGL.NOTA]))&amp;":"&amp;ADDRESS(ROW(),COLUMN(NOTA[TGL.NOTA]))),-1)))</f>
        <v/>
      </c>
      <c r="AK902" s="26" t="str">
        <f ca="1">IF(NOTA[[#This Row],[ID_H]]="","",INDEX(NOTA[NO.NOTA],MATCH(NOTA[[#This Row],[ID_H]],NOTA[ID_H],0)))</f>
        <v/>
      </c>
      <c r="AL902" s="28" t="str">
        <f ca="1">IF(NOTA[[#This Row],[NAMA BARANG]]="","",INDEX(NOTA[SUPPLIER],MATCH(,INDIRECT(ADDRESS(ROW(NOTA[ID]),COLUMN(NOTA[ID]))&amp;":"&amp;ADDRESS(ROW(),COLUMN(NOTA[ID]))),-1)))</f>
        <v/>
      </c>
      <c r="AM902" s="28" t="str">
        <f ca="1">IF(NOTA[[#This Row],[ID_H]]="","",IF(NOTA[[#This Row],[FAKTUR]]="",INDIRECT(ADDRESS(ROW()-1,COLUMN())),NOTA[[#This Row],[FAKTUR]]))</f>
        <v/>
      </c>
      <c r="AN902" s="25" t="str">
        <f ca="1">IF(NOTA[[#This Row],[ID]]="","",COUNTIF(NOTA[ID_H],NOTA[[#This Row],[ID_H]]))</f>
        <v/>
      </c>
      <c r="AO902" s="25" t="str">
        <f ca="1">IF(NOTA[[#This Row],[TGL.NOTA]]="",IF(NOTA[[#This Row],[SUPPLIER_H]]="","",AO901),MONTH(NOTA[[#This Row],[TGL.NOTA]]))</f>
        <v/>
      </c>
      <c r="AP9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2" s="25"/>
      <c r="AU902" s="25" t="str">
        <f>IF(NOTA[[#This Row],[CONCAT1]]="","",MATCH(NOTA[[#This Row],[CONCAT1]],[3]!db[NB NOTA_C],0))</f>
        <v/>
      </c>
      <c r="AV902" s="25" t="str">
        <f>IF(NOTA[[#This Row],[QTY/ CTN]]="","",TRUE)</f>
        <v/>
      </c>
      <c r="AW902" s="25" t="str">
        <f ca="1">IF(NOTA[[#This Row],[ID_H]]="","",IF(NOTA[[#This Row],[Column3]]=TRUE,NOTA[[#This Row],[QTY/ CTN]],INDEX([3]!db[QTY/ CTN],NOTA[[#This Row],[//DB]])))</f>
        <v/>
      </c>
      <c r="AX9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2" s="25" t="str">
        <f ca="1">IF(NOTA[[#This Row],[ID_H]]="","",MATCH(NOTA[[#This Row],[NB NOTA_C_QTY]],[3]!db[NB NOTA_C_QTY+F],0))</f>
        <v/>
      </c>
      <c r="AZ902" s="38" t="str">
        <f ca="1">IF(NOTA[[#This Row],[NB NOTA_C_QTY]]="","",ROW()-2)</f>
        <v/>
      </c>
    </row>
    <row r="903" spans="1:52" ht="20.100000000000001" customHeight="1">
      <c r="A9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3" s="25" t="str">
        <f ca="1">IF(NOTA[[#This Row],[NAMA BARANG]]="","",INDEX(NOTA[ID],MATCH(,INDIRECT(ADDRESS(ROW(NOTA[ID]),COLUMN(NOTA[ID]))&amp;":"&amp;ADDRESS(ROW(),COLUMN(NOTA[ID]))),-1)))</f>
        <v/>
      </c>
      <c r="E903" s="33"/>
      <c r="H903" s="34"/>
      <c r="Q903" s="29"/>
      <c r="R903" s="35"/>
      <c r="S903" s="36"/>
      <c r="V903" s="37"/>
      <c r="W903" s="32"/>
      <c r="X903" s="37" t="str">
        <f>IF(NOTA[[#This Row],[HARGA/ CTN]]="",NOTA[[#This Row],[JUMLAH_H]],NOTA[[#This Row],[HARGA/ CTN]]*IF(NOTA[[#This Row],[C]]="",0,NOTA[[#This Row],[C]]))</f>
        <v/>
      </c>
      <c r="Y903" s="37" t="str">
        <f>IF(NOTA[[#This Row],[JUMLAH]]="","",NOTA[[#This Row],[JUMLAH]]*NOTA[[#This Row],[DISC 1]])</f>
        <v/>
      </c>
      <c r="Z903" s="37" t="str">
        <f>IF(NOTA[[#This Row],[JUMLAH]]="","",(NOTA[[#This Row],[JUMLAH]]-NOTA[[#This Row],[DISC 1-]])*NOTA[[#This Row],[DISC 2]])</f>
        <v/>
      </c>
      <c r="AA903" s="37" t="str">
        <f>IF(NOTA[[#This Row],[JUMLAH]]="","",(NOTA[[#This Row],[JUMLAH]]-NOTA[[#This Row],[DISC 1-]]-NOTA[[#This Row],[DISC 2-]])*NOTA[[#This Row],[DISC 3]])</f>
        <v/>
      </c>
      <c r="AB903" s="37" t="str">
        <f>IF(NOTA[[#This Row],[JUMLAH]]="","",NOTA[[#This Row],[DISC 1-]]+NOTA[[#This Row],[DISC 2-]]+NOTA[[#This Row],[DISC 3-]])</f>
        <v/>
      </c>
      <c r="AC903" s="37" t="str">
        <f>IF(NOTA[[#This Row],[JUMLAH]]="","",NOTA[[#This Row],[JUMLAH]]-NOTA[[#This Row],[DISC]])</f>
        <v/>
      </c>
      <c r="AD903" s="37"/>
      <c r="AE9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3" s="37" t="str">
        <f>IF(OR(NOTA[[#This Row],[QTY]]="",NOTA[[#This Row],[HARGA SATUAN]]="",),"",NOTA[[#This Row],[QTY]]*NOTA[[#This Row],[HARGA SATUAN]])</f>
        <v/>
      </c>
      <c r="AI903" s="26" t="str">
        <f ca="1">IF(NOTA[[#This Row],[ID_H]]="","",INDEX(NOTA[TANGGAL],MATCH(,INDIRECT(ADDRESS(ROW(NOTA[TANGGAL]),COLUMN(NOTA[TANGGAL]))&amp;":"&amp;ADDRESS(ROW(),COLUMN(NOTA[TANGGAL]))),-1)))</f>
        <v/>
      </c>
      <c r="AJ903" s="26" t="str">
        <f ca="1">IF(NOTA[[#This Row],[ID_H]]="","",INDEX(NOTA[TGL.NOTA],MATCH(,INDIRECT(ADDRESS(ROW(NOTA[TGL.NOTA]),COLUMN(NOTA[TGL.NOTA]))&amp;":"&amp;ADDRESS(ROW(),COLUMN(NOTA[TGL.NOTA]))),-1)))</f>
        <v/>
      </c>
      <c r="AK903" s="26" t="str">
        <f ca="1">IF(NOTA[[#This Row],[ID_H]]="","",INDEX(NOTA[NO.NOTA],MATCH(NOTA[[#This Row],[ID_H]],NOTA[ID_H],0)))</f>
        <v/>
      </c>
      <c r="AL903" s="28" t="str">
        <f ca="1">IF(NOTA[[#This Row],[NAMA BARANG]]="","",INDEX(NOTA[SUPPLIER],MATCH(,INDIRECT(ADDRESS(ROW(NOTA[ID]),COLUMN(NOTA[ID]))&amp;":"&amp;ADDRESS(ROW(),COLUMN(NOTA[ID]))),-1)))</f>
        <v/>
      </c>
      <c r="AM903" s="28" t="str">
        <f ca="1">IF(NOTA[[#This Row],[ID_H]]="","",IF(NOTA[[#This Row],[FAKTUR]]="",INDIRECT(ADDRESS(ROW()-1,COLUMN())),NOTA[[#This Row],[FAKTUR]]))</f>
        <v/>
      </c>
      <c r="AN903" s="25" t="str">
        <f ca="1">IF(NOTA[[#This Row],[ID]]="","",COUNTIF(NOTA[ID_H],NOTA[[#This Row],[ID_H]]))</f>
        <v/>
      </c>
      <c r="AO903" s="25" t="str">
        <f ca="1">IF(NOTA[[#This Row],[TGL.NOTA]]="",IF(NOTA[[#This Row],[SUPPLIER_H]]="","",AO902),MONTH(NOTA[[#This Row],[TGL.NOTA]]))</f>
        <v/>
      </c>
      <c r="AP9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3" s="25"/>
      <c r="AU903" s="25" t="str">
        <f>IF(NOTA[[#This Row],[CONCAT1]]="","",MATCH(NOTA[[#This Row],[CONCAT1]],[3]!db[NB NOTA_C],0))</f>
        <v/>
      </c>
      <c r="AV903" s="25" t="str">
        <f>IF(NOTA[[#This Row],[QTY/ CTN]]="","",TRUE)</f>
        <v/>
      </c>
      <c r="AW903" s="25" t="str">
        <f ca="1">IF(NOTA[[#This Row],[ID_H]]="","",IF(NOTA[[#This Row],[Column3]]=TRUE,NOTA[[#This Row],[QTY/ CTN]],INDEX([3]!db[QTY/ CTN],NOTA[[#This Row],[//DB]])))</f>
        <v/>
      </c>
      <c r="AX9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3" s="25" t="str">
        <f ca="1">IF(NOTA[[#This Row],[ID_H]]="","",MATCH(NOTA[[#This Row],[NB NOTA_C_QTY]],[3]!db[NB NOTA_C_QTY+F],0))</f>
        <v/>
      </c>
      <c r="AZ903" s="38" t="str">
        <f ca="1">IF(NOTA[[#This Row],[NB NOTA_C_QTY]]="","",ROW()-2)</f>
        <v/>
      </c>
    </row>
    <row r="904" spans="1:52" ht="20.100000000000001" customHeight="1">
      <c r="A9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4" s="25" t="str">
        <f ca="1">IF(NOTA[[#This Row],[NAMA BARANG]]="","",INDEX(NOTA[ID],MATCH(,INDIRECT(ADDRESS(ROW(NOTA[ID]),COLUMN(NOTA[ID]))&amp;":"&amp;ADDRESS(ROW(),COLUMN(NOTA[ID]))),-1)))</f>
        <v/>
      </c>
      <c r="E904" s="33"/>
      <c r="H904" s="34"/>
      <c r="Q904" s="29"/>
      <c r="R904" s="35"/>
      <c r="S904" s="36"/>
      <c r="V904" s="37"/>
      <c r="W904" s="32"/>
      <c r="X904" s="37" t="str">
        <f>IF(NOTA[[#This Row],[HARGA/ CTN]]="",NOTA[[#This Row],[JUMLAH_H]],NOTA[[#This Row],[HARGA/ CTN]]*IF(NOTA[[#This Row],[C]]="",0,NOTA[[#This Row],[C]]))</f>
        <v/>
      </c>
      <c r="Y904" s="37" t="str">
        <f>IF(NOTA[[#This Row],[JUMLAH]]="","",NOTA[[#This Row],[JUMLAH]]*NOTA[[#This Row],[DISC 1]])</f>
        <v/>
      </c>
      <c r="Z904" s="37" t="str">
        <f>IF(NOTA[[#This Row],[JUMLAH]]="","",(NOTA[[#This Row],[JUMLAH]]-NOTA[[#This Row],[DISC 1-]])*NOTA[[#This Row],[DISC 2]])</f>
        <v/>
      </c>
      <c r="AA904" s="37" t="str">
        <f>IF(NOTA[[#This Row],[JUMLAH]]="","",(NOTA[[#This Row],[JUMLAH]]-NOTA[[#This Row],[DISC 1-]]-NOTA[[#This Row],[DISC 2-]])*NOTA[[#This Row],[DISC 3]])</f>
        <v/>
      </c>
      <c r="AB904" s="37" t="str">
        <f>IF(NOTA[[#This Row],[JUMLAH]]="","",NOTA[[#This Row],[DISC 1-]]+NOTA[[#This Row],[DISC 2-]]+NOTA[[#This Row],[DISC 3-]])</f>
        <v/>
      </c>
      <c r="AC904" s="37" t="str">
        <f>IF(NOTA[[#This Row],[JUMLAH]]="","",NOTA[[#This Row],[JUMLAH]]-NOTA[[#This Row],[DISC]])</f>
        <v/>
      </c>
      <c r="AD904" s="37"/>
      <c r="AE9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4" s="37" t="str">
        <f>IF(OR(NOTA[[#This Row],[QTY]]="",NOTA[[#This Row],[HARGA SATUAN]]="",),"",NOTA[[#This Row],[QTY]]*NOTA[[#This Row],[HARGA SATUAN]])</f>
        <v/>
      </c>
      <c r="AI904" s="26" t="str">
        <f ca="1">IF(NOTA[[#This Row],[ID_H]]="","",INDEX(NOTA[TANGGAL],MATCH(,INDIRECT(ADDRESS(ROW(NOTA[TANGGAL]),COLUMN(NOTA[TANGGAL]))&amp;":"&amp;ADDRESS(ROW(),COLUMN(NOTA[TANGGAL]))),-1)))</f>
        <v/>
      </c>
      <c r="AJ904" s="26" t="str">
        <f ca="1">IF(NOTA[[#This Row],[ID_H]]="","",INDEX(NOTA[TGL.NOTA],MATCH(,INDIRECT(ADDRESS(ROW(NOTA[TGL.NOTA]),COLUMN(NOTA[TGL.NOTA]))&amp;":"&amp;ADDRESS(ROW(),COLUMN(NOTA[TGL.NOTA]))),-1)))</f>
        <v/>
      </c>
      <c r="AK904" s="26" t="str">
        <f ca="1">IF(NOTA[[#This Row],[ID_H]]="","",INDEX(NOTA[NO.NOTA],MATCH(NOTA[[#This Row],[ID_H]],NOTA[ID_H],0)))</f>
        <v/>
      </c>
      <c r="AL904" s="28" t="str">
        <f ca="1">IF(NOTA[[#This Row],[NAMA BARANG]]="","",INDEX(NOTA[SUPPLIER],MATCH(,INDIRECT(ADDRESS(ROW(NOTA[ID]),COLUMN(NOTA[ID]))&amp;":"&amp;ADDRESS(ROW(),COLUMN(NOTA[ID]))),-1)))</f>
        <v/>
      </c>
      <c r="AM904" s="28" t="str">
        <f ca="1">IF(NOTA[[#This Row],[ID_H]]="","",IF(NOTA[[#This Row],[FAKTUR]]="",INDIRECT(ADDRESS(ROW()-1,COLUMN())),NOTA[[#This Row],[FAKTUR]]))</f>
        <v/>
      </c>
      <c r="AN904" s="25" t="str">
        <f ca="1">IF(NOTA[[#This Row],[ID]]="","",COUNTIF(NOTA[ID_H],NOTA[[#This Row],[ID_H]]))</f>
        <v/>
      </c>
      <c r="AO904" s="25" t="str">
        <f ca="1">IF(NOTA[[#This Row],[TGL.NOTA]]="",IF(NOTA[[#This Row],[SUPPLIER_H]]="","",AO903),MONTH(NOTA[[#This Row],[TGL.NOTA]]))</f>
        <v/>
      </c>
      <c r="AP9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4" s="25"/>
      <c r="AU904" s="25" t="str">
        <f>IF(NOTA[[#This Row],[CONCAT1]]="","",MATCH(NOTA[[#This Row],[CONCAT1]],[3]!db[NB NOTA_C],0))</f>
        <v/>
      </c>
      <c r="AV904" s="25" t="str">
        <f>IF(NOTA[[#This Row],[QTY/ CTN]]="","",TRUE)</f>
        <v/>
      </c>
      <c r="AW904" s="25" t="str">
        <f ca="1">IF(NOTA[[#This Row],[ID_H]]="","",IF(NOTA[[#This Row],[Column3]]=TRUE,NOTA[[#This Row],[QTY/ CTN]],INDEX([3]!db[QTY/ CTN],NOTA[[#This Row],[//DB]])))</f>
        <v/>
      </c>
      <c r="AX9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4" s="25" t="str">
        <f ca="1">IF(NOTA[[#This Row],[ID_H]]="","",MATCH(NOTA[[#This Row],[NB NOTA_C_QTY]],[3]!db[NB NOTA_C_QTY+F],0))</f>
        <v/>
      </c>
      <c r="AZ904" s="38" t="str">
        <f ca="1">IF(NOTA[[#This Row],[NB NOTA_C_QTY]]="","",ROW()-2)</f>
        <v/>
      </c>
    </row>
    <row r="905" spans="1:52" ht="20.100000000000001" customHeight="1">
      <c r="A9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5" s="25" t="str">
        <f ca="1">IF(NOTA[[#This Row],[NAMA BARANG]]="","",INDEX(NOTA[ID],MATCH(,INDIRECT(ADDRESS(ROW(NOTA[ID]),COLUMN(NOTA[ID]))&amp;":"&amp;ADDRESS(ROW(),COLUMN(NOTA[ID]))),-1)))</f>
        <v/>
      </c>
      <c r="E905" s="33"/>
      <c r="H905" s="34"/>
      <c r="Q905" s="29"/>
      <c r="R905" s="35"/>
      <c r="S905" s="36"/>
      <c r="V905" s="37"/>
      <c r="W905" s="32"/>
      <c r="X905" s="37" t="str">
        <f>IF(NOTA[[#This Row],[HARGA/ CTN]]="",NOTA[[#This Row],[JUMLAH_H]],NOTA[[#This Row],[HARGA/ CTN]]*IF(NOTA[[#This Row],[C]]="",0,NOTA[[#This Row],[C]]))</f>
        <v/>
      </c>
      <c r="Y905" s="37" t="str">
        <f>IF(NOTA[[#This Row],[JUMLAH]]="","",NOTA[[#This Row],[JUMLAH]]*NOTA[[#This Row],[DISC 1]])</f>
        <v/>
      </c>
      <c r="Z905" s="37" t="str">
        <f>IF(NOTA[[#This Row],[JUMLAH]]="","",(NOTA[[#This Row],[JUMLAH]]-NOTA[[#This Row],[DISC 1-]])*NOTA[[#This Row],[DISC 2]])</f>
        <v/>
      </c>
      <c r="AA905" s="37" t="str">
        <f>IF(NOTA[[#This Row],[JUMLAH]]="","",(NOTA[[#This Row],[JUMLAH]]-NOTA[[#This Row],[DISC 1-]]-NOTA[[#This Row],[DISC 2-]])*NOTA[[#This Row],[DISC 3]])</f>
        <v/>
      </c>
      <c r="AB905" s="37" t="str">
        <f>IF(NOTA[[#This Row],[JUMLAH]]="","",NOTA[[#This Row],[DISC 1-]]+NOTA[[#This Row],[DISC 2-]]+NOTA[[#This Row],[DISC 3-]])</f>
        <v/>
      </c>
      <c r="AC905" s="37" t="str">
        <f>IF(NOTA[[#This Row],[JUMLAH]]="","",NOTA[[#This Row],[JUMLAH]]-NOTA[[#This Row],[DISC]])</f>
        <v/>
      </c>
      <c r="AD905" s="37"/>
      <c r="AE9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5" s="37" t="str">
        <f>IF(OR(NOTA[[#This Row],[QTY]]="",NOTA[[#This Row],[HARGA SATUAN]]="",),"",NOTA[[#This Row],[QTY]]*NOTA[[#This Row],[HARGA SATUAN]])</f>
        <v/>
      </c>
      <c r="AI905" s="26" t="str">
        <f ca="1">IF(NOTA[[#This Row],[ID_H]]="","",INDEX(NOTA[TANGGAL],MATCH(,INDIRECT(ADDRESS(ROW(NOTA[TANGGAL]),COLUMN(NOTA[TANGGAL]))&amp;":"&amp;ADDRESS(ROW(),COLUMN(NOTA[TANGGAL]))),-1)))</f>
        <v/>
      </c>
      <c r="AJ905" s="26" t="str">
        <f ca="1">IF(NOTA[[#This Row],[ID_H]]="","",INDEX(NOTA[TGL.NOTA],MATCH(,INDIRECT(ADDRESS(ROW(NOTA[TGL.NOTA]),COLUMN(NOTA[TGL.NOTA]))&amp;":"&amp;ADDRESS(ROW(),COLUMN(NOTA[TGL.NOTA]))),-1)))</f>
        <v/>
      </c>
      <c r="AK905" s="26" t="str">
        <f ca="1">IF(NOTA[[#This Row],[ID_H]]="","",INDEX(NOTA[NO.NOTA],MATCH(NOTA[[#This Row],[ID_H]],NOTA[ID_H],0)))</f>
        <v/>
      </c>
      <c r="AL905" s="28" t="str">
        <f ca="1">IF(NOTA[[#This Row],[NAMA BARANG]]="","",INDEX(NOTA[SUPPLIER],MATCH(,INDIRECT(ADDRESS(ROW(NOTA[ID]),COLUMN(NOTA[ID]))&amp;":"&amp;ADDRESS(ROW(),COLUMN(NOTA[ID]))),-1)))</f>
        <v/>
      </c>
      <c r="AM905" s="28" t="str">
        <f ca="1">IF(NOTA[[#This Row],[ID_H]]="","",IF(NOTA[[#This Row],[FAKTUR]]="",INDIRECT(ADDRESS(ROW()-1,COLUMN())),NOTA[[#This Row],[FAKTUR]]))</f>
        <v/>
      </c>
      <c r="AN905" s="25" t="str">
        <f ca="1">IF(NOTA[[#This Row],[ID]]="","",COUNTIF(NOTA[ID_H],NOTA[[#This Row],[ID_H]]))</f>
        <v/>
      </c>
      <c r="AO905" s="25" t="str">
        <f ca="1">IF(NOTA[[#This Row],[TGL.NOTA]]="",IF(NOTA[[#This Row],[SUPPLIER_H]]="","",AO904),MONTH(NOTA[[#This Row],[TGL.NOTA]]))</f>
        <v/>
      </c>
      <c r="AP9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5" s="25"/>
      <c r="AU905" s="25" t="str">
        <f>IF(NOTA[[#This Row],[CONCAT1]]="","",MATCH(NOTA[[#This Row],[CONCAT1]],[3]!db[NB NOTA_C],0))</f>
        <v/>
      </c>
      <c r="AV905" s="25" t="str">
        <f>IF(NOTA[[#This Row],[QTY/ CTN]]="","",TRUE)</f>
        <v/>
      </c>
      <c r="AW905" s="25" t="str">
        <f ca="1">IF(NOTA[[#This Row],[ID_H]]="","",IF(NOTA[[#This Row],[Column3]]=TRUE,NOTA[[#This Row],[QTY/ CTN]],INDEX([3]!db[QTY/ CTN],NOTA[[#This Row],[//DB]])))</f>
        <v/>
      </c>
      <c r="AX9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5" s="25" t="str">
        <f ca="1">IF(NOTA[[#This Row],[ID_H]]="","",MATCH(NOTA[[#This Row],[NB NOTA_C_QTY]],[3]!db[NB NOTA_C_QTY+F],0))</f>
        <v/>
      </c>
      <c r="AZ905" s="38" t="str">
        <f ca="1">IF(NOTA[[#This Row],[NB NOTA_C_QTY]]="","",ROW()-2)</f>
        <v/>
      </c>
    </row>
    <row r="906" spans="1:52" ht="20.100000000000001" customHeight="1">
      <c r="A9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6" s="25" t="str">
        <f ca="1">IF(NOTA[[#This Row],[NAMA BARANG]]="","",INDEX(NOTA[ID],MATCH(,INDIRECT(ADDRESS(ROW(NOTA[ID]),COLUMN(NOTA[ID]))&amp;":"&amp;ADDRESS(ROW(),COLUMN(NOTA[ID]))),-1)))</f>
        <v/>
      </c>
      <c r="E906" s="33"/>
      <c r="H906" s="34"/>
      <c r="Q906" s="29"/>
      <c r="R906" s="35"/>
      <c r="S906" s="36"/>
      <c r="V906" s="37"/>
      <c r="W906" s="32"/>
      <c r="X906" s="37" t="str">
        <f>IF(NOTA[[#This Row],[HARGA/ CTN]]="",NOTA[[#This Row],[JUMLAH_H]],NOTA[[#This Row],[HARGA/ CTN]]*IF(NOTA[[#This Row],[C]]="",0,NOTA[[#This Row],[C]]))</f>
        <v/>
      </c>
      <c r="Y906" s="37" t="str">
        <f>IF(NOTA[[#This Row],[JUMLAH]]="","",NOTA[[#This Row],[JUMLAH]]*NOTA[[#This Row],[DISC 1]])</f>
        <v/>
      </c>
      <c r="Z906" s="37" t="str">
        <f>IF(NOTA[[#This Row],[JUMLAH]]="","",(NOTA[[#This Row],[JUMLAH]]-NOTA[[#This Row],[DISC 1-]])*NOTA[[#This Row],[DISC 2]])</f>
        <v/>
      </c>
      <c r="AA906" s="37" t="str">
        <f>IF(NOTA[[#This Row],[JUMLAH]]="","",(NOTA[[#This Row],[JUMLAH]]-NOTA[[#This Row],[DISC 1-]]-NOTA[[#This Row],[DISC 2-]])*NOTA[[#This Row],[DISC 3]])</f>
        <v/>
      </c>
      <c r="AB906" s="37" t="str">
        <f>IF(NOTA[[#This Row],[JUMLAH]]="","",NOTA[[#This Row],[DISC 1-]]+NOTA[[#This Row],[DISC 2-]]+NOTA[[#This Row],[DISC 3-]])</f>
        <v/>
      </c>
      <c r="AC906" s="37" t="str">
        <f>IF(NOTA[[#This Row],[JUMLAH]]="","",NOTA[[#This Row],[JUMLAH]]-NOTA[[#This Row],[DISC]])</f>
        <v/>
      </c>
      <c r="AD906" s="37"/>
      <c r="AE9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6" s="37" t="str">
        <f>IF(OR(NOTA[[#This Row],[QTY]]="",NOTA[[#This Row],[HARGA SATUAN]]="",),"",NOTA[[#This Row],[QTY]]*NOTA[[#This Row],[HARGA SATUAN]])</f>
        <v/>
      </c>
      <c r="AI906" s="26" t="str">
        <f ca="1">IF(NOTA[[#This Row],[ID_H]]="","",INDEX(NOTA[TANGGAL],MATCH(,INDIRECT(ADDRESS(ROW(NOTA[TANGGAL]),COLUMN(NOTA[TANGGAL]))&amp;":"&amp;ADDRESS(ROW(),COLUMN(NOTA[TANGGAL]))),-1)))</f>
        <v/>
      </c>
      <c r="AJ906" s="26" t="str">
        <f ca="1">IF(NOTA[[#This Row],[ID_H]]="","",INDEX(NOTA[TGL.NOTA],MATCH(,INDIRECT(ADDRESS(ROW(NOTA[TGL.NOTA]),COLUMN(NOTA[TGL.NOTA]))&amp;":"&amp;ADDRESS(ROW(),COLUMN(NOTA[TGL.NOTA]))),-1)))</f>
        <v/>
      </c>
      <c r="AK906" s="26" t="str">
        <f ca="1">IF(NOTA[[#This Row],[ID_H]]="","",INDEX(NOTA[NO.NOTA],MATCH(NOTA[[#This Row],[ID_H]],NOTA[ID_H],0)))</f>
        <v/>
      </c>
      <c r="AL906" s="28" t="str">
        <f ca="1">IF(NOTA[[#This Row],[NAMA BARANG]]="","",INDEX(NOTA[SUPPLIER],MATCH(,INDIRECT(ADDRESS(ROW(NOTA[ID]),COLUMN(NOTA[ID]))&amp;":"&amp;ADDRESS(ROW(),COLUMN(NOTA[ID]))),-1)))</f>
        <v/>
      </c>
      <c r="AM906" s="28" t="str">
        <f ca="1">IF(NOTA[[#This Row],[ID_H]]="","",IF(NOTA[[#This Row],[FAKTUR]]="",INDIRECT(ADDRESS(ROW()-1,COLUMN())),NOTA[[#This Row],[FAKTUR]]))</f>
        <v/>
      </c>
      <c r="AN906" s="25" t="str">
        <f ca="1">IF(NOTA[[#This Row],[ID]]="","",COUNTIF(NOTA[ID_H],NOTA[[#This Row],[ID_H]]))</f>
        <v/>
      </c>
      <c r="AO906" s="25" t="str">
        <f ca="1">IF(NOTA[[#This Row],[TGL.NOTA]]="",IF(NOTA[[#This Row],[SUPPLIER_H]]="","",AO905),MONTH(NOTA[[#This Row],[TGL.NOTA]]))</f>
        <v/>
      </c>
      <c r="AP9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6" s="25"/>
      <c r="AU906" s="25" t="str">
        <f>IF(NOTA[[#This Row],[CONCAT1]]="","",MATCH(NOTA[[#This Row],[CONCAT1]],[3]!db[NB NOTA_C],0))</f>
        <v/>
      </c>
      <c r="AV906" s="25" t="str">
        <f>IF(NOTA[[#This Row],[QTY/ CTN]]="","",TRUE)</f>
        <v/>
      </c>
      <c r="AW906" s="25" t="str">
        <f ca="1">IF(NOTA[[#This Row],[ID_H]]="","",IF(NOTA[[#This Row],[Column3]]=TRUE,NOTA[[#This Row],[QTY/ CTN]],INDEX([3]!db[QTY/ CTN],NOTA[[#This Row],[//DB]])))</f>
        <v/>
      </c>
      <c r="AX9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6" s="25" t="str">
        <f ca="1">IF(NOTA[[#This Row],[ID_H]]="","",MATCH(NOTA[[#This Row],[NB NOTA_C_QTY]],[3]!db[NB NOTA_C_QTY+F],0))</f>
        <v/>
      </c>
      <c r="AZ906" s="38" t="str">
        <f ca="1">IF(NOTA[[#This Row],[NB NOTA_C_QTY]]="","",ROW()-2)</f>
        <v/>
      </c>
    </row>
    <row r="907" spans="1:52" ht="20.100000000000001" customHeight="1">
      <c r="A9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7" s="25" t="str">
        <f ca="1">IF(NOTA[[#This Row],[NAMA BARANG]]="","",INDEX(NOTA[ID],MATCH(,INDIRECT(ADDRESS(ROW(NOTA[ID]),COLUMN(NOTA[ID]))&amp;":"&amp;ADDRESS(ROW(),COLUMN(NOTA[ID]))),-1)))</f>
        <v/>
      </c>
      <c r="E907" s="33"/>
      <c r="H907" s="34"/>
      <c r="Q907" s="29"/>
      <c r="R907" s="35"/>
      <c r="S907" s="36"/>
      <c r="V907" s="37"/>
      <c r="W907" s="32"/>
      <c r="X907" s="37" t="str">
        <f>IF(NOTA[[#This Row],[HARGA/ CTN]]="",NOTA[[#This Row],[JUMLAH_H]],NOTA[[#This Row],[HARGA/ CTN]]*IF(NOTA[[#This Row],[C]]="",0,NOTA[[#This Row],[C]]))</f>
        <v/>
      </c>
      <c r="Y907" s="37" t="str">
        <f>IF(NOTA[[#This Row],[JUMLAH]]="","",NOTA[[#This Row],[JUMLAH]]*NOTA[[#This Row],[DISC 1]])</f>
        <v/>
      </c>
      <c r="Z907" s="37" t="str">
        <f>IF(NOTA[[#This Row],[JUMLAH]]="","",(NOTA[[#This Row],[JUMLAH]]-NOTA[[#This Row],[DISC 1-]])*NOTA[[#This Row],[DISC 2]])</f>
        <v/>
      </c>
      <c r="AA907" s="37" t="str">
        <f>IF(NOTA[[#This Row],[JUMLAH]]="","",(NOTA[[#This Row],[JUMLAH]]-NOTA[[#This Row],[DISC 1-]]-NOTA[[#This Row],[DISC 2-]])*NOTA[[#This Row],[DISC 3]])</f>
        <v/>
      </c>
      <c r="AB907" s="37" t="str">
        <f>IF(NOTA[[#This Row],[JUMLAH]]="","",NOTA[[#This Row],[DISC 1-]]+NOTA[[#This Row],[DISC 2-]]+NOTA[[#This Row],[DISC 3-]])</f>
        <v/>
      </c>
      <c r="AC907" s="37" t="str">
        <f>IF(NOTA[[#This Row],[JUMLAH]]="","",NOTA[[#This Row],[JUMLAH]]-NOTA[[#This Row],[DISC]])</f>
        <v/>
      </c>
      <c r="AD907" s="37"/>
      <c r="AE9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7" s="37" t="str">
        <f>IF(OR(NOTA[[#This Row],[QTY]]="",NOTA[[#This Row],[HARGA SATUAN]]="",),"",NOTA[[#This Row],[QTY]]*NOTA[[#This Row],[HARGA SATUAN]])</f>
        <v/>
      </c>
      <c r="AI907" s="26" t="str">
        <f ca="1">IF(NOTA[[#This Row],[ID_H]]="","",INDEX(NOTA[TANGGAL],MATCH(,INDIRECT(ADDRESS(ROW(NOTA[TANGGAL]),COLUMN(NOTA[TANGGAL]))&amp;":"&amp;ADDRESS(ROW(),COLUMN(NOTA[TANGGAL]))),-1)))</f>
        <v/>
      </c>
      <c r="AJ907" s="26" t="str">
        <f ca="1">IF(NOTA[[#This Row],[ID_H]]="","",INDEX(NOTA[TGL.NOTA],MATCH(,INDIRECT(ADDRESS(ROW(NOTA[TGL.NOTA]),COLUMN(NOTA[TGL.NOTA]))&amp;":"&amp;ADDRESS(ROW(),COLUMN(NOTA[TGL.NOTA]))),-1)))</f>
        <v/>
      </c>
      <c r="AK907" s="26" t="str">
        <f ca="1">IF(NOTA[[#This Row],[ID_H]]="","",INDEX(NOTA[NO.NOTA],MATCH(NOTA[[#This Row],[ID_H]],NOTA[ID_H],0)))</f>
        <v/>
      </c>
      <c r="AL907" s="28" t="str">
        <f ca="1">IF(NOTA[[#This Row],[NAMA BARANG]]="","",INDEX(NOTA[SUPPLIER],MATCH(,INDIRECT(ADDRESS(ROW(NOTA[ID]),COLUMN(NOTA[ID]))&amp;":"&amp;ADDRESS(ROW(),COLUMN(NOTA[ID]))),-1)))</f>
        <v/>
      </c>
      <c r="AM907" s="28" t="str">
        <f ca="1">IF(NOTA[[#This Row],[ID_H]]="","",IF(NOTA[[#This Row],[FAKTUR]]="",INDIRECT(ADDRESS(ROW()-1,COLUMN())),NOTA[[#This Row],[FAKTUR]]))</f>
        <v/>
      </c>
      <c r="AN907" s="25" t="str">
        <f ca="1">IF(NOTA[[#This Row],[ID]]="","",COUNTIF(NOTA[ID_H],NOTA[[#This Row],[ID_H]]))</f>
        <v/>
      </c>
      <c r="AO907" s="25" t="str">
        <f ca="1">IF(NOTA[[#This Row],[TGL.NOTA]]="",IF(NOTA[[#This Row],[SUPPLIER_H]]="","",AO906),MONTH(NOTA[[#This Row],[TGL.NOTA]]))</f>
        <v/>
      </c>
      <c r="AP9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7" s="25"/>
      <c r="AU907" s="25" t="str">
        <f>IF(NOTA[[#This Row],[CONCAT1]]="","",MATCH(NOTA[[#This Row],[CONCAT1]],[3]!db[NB NOTA_C],0))</f>
        <v/>
      </c>
      <c r="AV907" s="25" t="str">
        <f>IF(NOTA[[#This Row],[QTY/ CTN]]="","",TRUE)</f>
        <v/>
      </c>
      <c r="AW907" s="25" t="str">
        <f ca="1">IF(NOTA[[#This Row],[ID_H]]="","",IF(NOTA[[#This Row],[Column3]]=TRUE,NOTA[[#This Row],[QTY/ CTN]],INDEX([3]!db[QTY/ CTN],NOTA[[#This Row],[//DB]])))</f>
        <v/>
      </c>
      <c r="AX9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7" s="25" t="str">
        <f ca="1">IF(NOTA[[#This Row],[ID_H]]="","",MATCH(NOTA[[#This Row],[NB NOTA_C_QTY]],[3]!db[NB NOTA_C_QTY+F],0))</f>
        <v/>
      </c>
      <c r="AZ907" s="38" t="str">
        <f ca="1">IF(NOTA[[#This Row],[NB NOTA_C_QTY]]="","",ROW()-2)</f>
        <v/>
      </c>
    </row>
    <row r="908" spans="1:52" ht="20.100000000000001" customHeight="1">
      <c r="A9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8" s="25" t="str">
        <f ca="1">IF(NOTA[[#This Row],[NAMA BARANG]]="","",INDEX(NOTA[ID],MATCH(,INDIRECT(ADDRESS(ROW(NOTA[ID]),COLUMN(NOTA[ID]))&amp;":"&amp;ADDRESS(ROW(),COLUMN(NOTA[ID]))),-1)))</f>
        <v/>
      </c>
      <c r="E908" s="33"/>
      <c r="H908" s="34"/>
      <c r="Q908" s="29"/>
      <c r="R908" s="35"/>
      <c r="S908" s="36"/>
      <c r="V908" s="37"/>
      <c r="W908" s="32"/>
      <c r="X908" s="37" t="str">
        <f>IF(NOTA[[#This Row],[HARGA/ CTN]]="",NOTA[[#This Row],[JUMLAH_H]],NOTA[[#This Row],[HARGA/ CTN]]*IF(NOTA[[#This Row],[C]]="",0,NOTA[[#This Row],[C]]))</f>
        <v/>
      </c>
      <c r="Y908" s="37" t="str">
        <f>IF(NOTA[[#This Row],[JUMLAH]]="","",NOTA[[#This Row],[JUMLAH]]*NOTA[[#This Row],[DISC 1]])</f>
        <v/>
      </c>
      <c r="Z908" s="37" t="str">
        <f>IF(NOTA[[#This Row],[JUMLAH]]="","",(NOTA[[#This Row],[JUMLAH]]-NOTA[[#This Row],[DISC 1-]])*NOTA[[#This Row],[DISC 2]])</f>
        <v/>
      </c>
      <c r="AA908" s="37" t="str">
        <f>IF(NOTA[[#This Row],[JUMLAH]]="","",(NOTA[[#This Row],[JUMLAH]]-NOTA[[#This Row],[DISC 1-]]-NOTA[[#This Row],[DISC 2-]])*NOTA[[#This Row],[DISC 3]])</f>
        <v/>
      </c>
      <c r="AB908" s="37" t="str">
        <f>IF(NOTA[[#This Row],[JUMLAH]]="","",NOTA[[#This Row],[DISC 1-]]+NOTA[[#This Row],[DISC 2-]]+NOTA[[#This Row],[DISC 3-]])</f>
        <v/>
      </c>
      <c r="AC908" s="37" t="str">
        <f>IF(NOTA[[#This Row],[JUMLAH]]="","",NOTA[[#This Row],[JUMLAH]]-NOTA[[#This Row],[DISC]])</f>
        <v/>
      </c>
      <c r="AD908" s="37"/>
      <c r="AE9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8" s="37" t="str">
        <f>IF(OR(NOTA[[#This Row],[QTY]]="",NOTA[[#This Row],[HARGA SATUAN]]="",),"",NOTA[[#This Row],[QTY]]*NOTA[[#This Row],[HARGA SATUAN]])</f>
        <v/>
      </c>
      <c r="AI908" s="26" t="str">
        <f ca="1">IF(NOTA[[#This Row],[ID_H]]="","",INDEX(NOTA[TANGGAL],MATCH(,INDIRECT(ADDRESS(ROW(NOTA[TANGGAL]),COLUMN(NOTA[TANGGAL]))&amp;":"&amp;ADDRESS(ROW(),COLUMN(NOTA[TANGGAL]))),-1)))</f>
        <v/>
      </c>
      <c r="AJ908" s="26" t="str">
        <f ca="1">IF(NOTA[[#This Row],[ID_H]]="","",INDEX(NOTA[TGL.NOTA],MATCH(,INDIRECT(ADDRESS(ROW(NOTA[TGL.NOTA]),COLUMN(NOTA[TGL.NOTA]))&amp;":"&amp;ADDRESS(ROW(),COLUMN(NOTA[TGL.NOTA]))),-1)))</f>
        <v/>
      </c>
      <c r="AK908" s="26" t="str">
        <f ca="1">IF(NOTA[[#This Row],[ID_H]]="","",INDEX(NOTA[NO.NOTA],MATCH(NOTA[[#This Row],[ID_H]],NOTA[ID_H],0)))</f>
        <v/>
      </c>
      <c r="AL908" s="28" t="str">
        <f ca="1">IF(NOTA[[#This Row],[NAMA BARANG]]="","",INDEX(NOTA[SUPPLIER],MATCH(,INDIRECT(ADDRESS(ROW(NOTA[ID]),COLUMN(NOTA[ID]))&amp;":"&amp;ADDRESS(ROW(),COLUMN(NOTA[ID]))),-1)))</f>
        <v/>
      </c>
      <c r="AM908" s="28" t="str">
        <f ca="1">IF(NOTA[[#This Row],[ID_H]]="","",IF(NOTA[[#This Row],[FAKTUR]]="",INDIRECT(ADDRESS(ROW()-1,COLUMN())),NOTA[[#This Row],[FAKTUR]]))</f>
        <v/>
      </c>
      <c r="AN908" s="25" t="str">
        <f ca="1">IF(NOTA[[#This Row],[ID]]="","",COUNTIF(NOTA[ID_H],NOTA[[#This Row],[ID_H]]))</f>
        <v/>
      </c>
      <c r="AO908" s="25" t="str">
        <f ca="1">IF(NOTA[[#This Row],[TGL.NOTA]]="",IF(NOTA[[#This Row],[SUPPLIER_H]]="","",AO907),MONTH(NOTA[[#This Row],[TGL.NOTA]]))</f>
        <v/>
      </c>
      <c r="AP9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8" s="25"/>
      <c r="AU908" s="25" t="str">
        <f>IF(NOTA[[#This Row],[CONCAT1]]="","",MATCH(NOTA[[#This Row],[CONCAT1]],[3]!db[NB NOTA_C],0))</f>
        <v/>
      </c>
      <c r="AV908" s="25" t="str">
        <f>IF(NOTA[[#This Row],[QTY/ CTN]]="","",TRUE)</f>
        <v/>
      </c>
      <c r="AW908" s="25" t="str">
        <f ca="1">IF(NOTA[[#This Row],[ID_H]]="","",IF(NOTA[[#This Row],[Column3]]=TRUE,NOTA[[#This Row],[QTY/ CTN]],INDEX([3]!db[QTY/ CTN],NOTA[[#This Row],[//DB]])))</f>
        <v/>
      </c>
      <c r="AX9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8" s="25" t="str">
        <f ca="1">IF(NOTA[[#This Row],[ID_H]]="","",MATCH(NOTA[[#This Row],[NB NOTA_C_QTY]],[3]!db[NB NOTA_C_QTY+F],0))</f>
        <v/>
      </c>
      <c r="AZ908" s="38" t="str">
        <f ca="1">IF(NOTA[[#This Row],[NB NOTA_C_QTY]]="","",ROW()-2)</f>
        <v/>
      </c>
    </row>
    <row r="909" spans="1:52" ht="20.100000000000001" customHeight="1">
      <c r="A9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9" s="25" t="str">
        <f ca="1">IF(NOTA[[#This Row],[NAMA BARANG]]="","",INDEX(NOTA[ID],MATCH(,INDIRECT(ADDRESS(ROW(NOTA[ID]),COLUMN(NOTA[ID]))&amp;":"&amp;ADDRESS(ROW(),COLUMN(NOTA[ID]))),-1)))</f>
        <v/>
      </c>
      <c r="E909" s="33"/>
      <c r="H909" s="34"/>
      <c r="Q909" s="29"/>
      <c r="R909" s="35"/>
      <c r="S909" s="36"/>
      <c r="V909" s="37"/>
      <c r="W909" s="32"/>
      <c r="X909" s="37" t="str">
        <f>IF(NOTA[[#This Row],[HARGA/ CTN]]="",NOTA[[#This Row],[JUMLAH_H]],NOTA[[#This Row],[HARGA/ CTN]]*IF(NOTA[[#This Row],[C]]="",0,NOTA[[#This Row],[C]]))</f>
        <v/>
      </c>
      <c r="Y909" s="37" t="str">
        <f>IF(NOTA[[#This Row],[JUMLAH]]="","",NOTA[[#This Row],[JUMLAH]]*NOTA[[#This Row],[DISC 1]])</f>
        <v/>
      </c>
      <c r="Z909" s="37" t="str">
        <f>IF(NOTA[[#This Row],[JUMLAH]]="","",(NOTA[[#This Row],[JUMLAH]]-NOTA[[#This Row],[DISC 1-]])*NOTA[[#This Row],[DISC 2]])</f>
        <v/>
      </c>
      <c r="AA909" s="37" t="str">
        <f>IF(NOTA[[#This Row],[JUMLAH]]="","",(NOTA[[#This Row],[JUMLAH]]-NOTA[[#This Row],[DISC 1-]]-NOTA[[#This Row],[DISC 2-]])*NOTA[[#This Row],[DISC 3]])</f>
        <v/>
      </c>
      <c r="AB909" s="37" t="str">
        <f>IF(NOTA[[#This Row],[JUMLAH]]="","",NOTA[[#This Row],[DISC 1-]]+NOTA[[#This Row],[DISC 2-]]+NOTA[[#This Row],[DISC 3-]])</f>
        <v/>
      </c>
      <c r="AC909" s="37" t="str">
        <f>IF(NOTA[[#This Row],[JUMLAH]]="","",NOTA[[#This Row],[JUMLAH]]-NOTA[[#This Row],[DISC]])</f>
        <v/>
      </c>
      <c r="AD909" s="37"/>
      <c r="AE9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9" s="37" t="str">
        <f>IF(OR(NOTA[[#This Row],[QTY]]="",NOTA[[#This Row],[HARGA SATUAN]]="",),"",NOTA[[#This Row],[QTY]]*NOTA[[#This Row],[HARGA SATUAN]])</f>
        <v/>
      </c>
      <c r="AI909" s="26" t="str">
        <f ca="1">IF(NOTA[[#This Row],[ID_H]]="","",INDEX(NOTA[TANGGAL],MATCH(,INDIRECT(ADDRESS(ROW(NOTA[TANGGAL]),COLUMN(NOTA[TANGGAL]))&amp;":"&amp;ADDRESS(ROW(),COLUMN(NOTA[TANGGAL]))),-1)))</f>
        <v/>
      </c>
      <c r="AJ909" s="26" t="str">
        <f ca="1">IF(NOTA[[#This Row],[ID_H]]="","",INDEX(NOTA[TGL.NOTA],MATCH(,INDIRECT(ADDRESS(ROW(NOTA[TGL.NOTA]),COLUMN(NOTA[TGL.NOTA]))&amp;":"&amp;ADDRESS(ROW(),COLUMN(NOTA[TGL.NOTA]))),-1)))</f>
        <v/>
      </c>
      <c r="AK909" s="26" t="str">
        <f ca="1">IF(NOTA[[#This Row],[ID_H]]="","",INDEX(NOTA[NO.NOTA],MATCH(NOTA[[#This Row],[ID_H]],NOTA[ID_H],0)))</f>
        <v/>
      </c>
      <c r="AL909" s="28" t="str">
        <f ca="1">IF(NOTA[[#This Row],[NAMA BARANG]]="","",INDEX(NOTA[SUPPLIER],MATCH(,INDIRECT(ADDRESS(ROW(NOTA[ID]),COLUMN(NOTA[ID]))&amp;":"&amp;ADDRESS(ROW(),COLUMN(NOTA[ID]))),-1)))</f>
        <v/>
      </c>
      <c r="AM909" s="28" t="str">
        <f ca="1">IF(NOTA[[#This Row],[ID_H]]="","",IF(NOTA[[#This Row],[FAKTUR]]="",INDIRECT(ADDRESS(ROW()-1,COLUMN())),NOTA[[#This Row],[FAKTUR]]))</f>
        <v/>
      </c>
      <c r="AN909" s="25" t="str">
        <f ca="1">IF(NOTA[[#This Row],[ID]]="","",COUNTIF(NOTA[ID_H],NOTA[[#This Row],[ID_H]]))</f>
        <v/>
      </c>
      <c r="AO909" s="25" t="str">
        <f ca="1">IF(NOTA[[#This Row],[TGL.NOTA]]="",IF(NOTA[[#This Row],[SUPPLIER_H]]="","",AO908),MONTH(NOTA[[#This Row],[TGL.NOTA]]))</f>
        <v/>
      </c>
      <c r="AP9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9" s="25"/>
      <c r="AU909" s="25" t="str">
        <f>IF(NOTA[[#This Row],[CONCAT1]]="","",MATCH(NOTA[[#This Row],[CONCAT1]],[3]!db[NB NOTA_C],0))</f>
        <v/>
      </c>
      <c r="AV909" s="25" t="str">
        <f>IF(NOTA[[#This Row],[QTY/ CTN]]="","",TRUE)</f>
        <v/>
      </c>
      <c r="AW909" s="25" t="str">
        <f ca="1">IF(NOTA[[#This Row],[ID_H]]="","",IF(NOTA[[#This Row],[Column3]]=TRUE,NOTA[[#This Row],[QTY/ CTN]],INDEX([3]!db[QTY/ CTN],NOTA[[#This Row],[//DB]])))</f>
        <v/>
      </c>
      <c r="AX9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9" s="25" t="str">
        <f ca="1">IF(NOTA[[#This Row],[ID_H]]="","",MATCH(NOTA[[#This Row],[NB NOTA_C_QTY]],[3]!db[NB NOTA_C_QTY+F],0))</f>
        <v/>
      </c>
      <c r="AZ909" s="38" t="str">
        <f ca="1">IF(NOTA[[#This Row],[NB NOTA_C_QTY]]="","",ROW()-2)</f>
        <v/>
      </c>
    </row>
    <row r="910" spans="1:52" ht="20.100000000000001" customHeight="1">
      <c r="A9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0" s="25" t="str">
        <f ca="1">IF(NOTA[[#This Row],[NAMA BARANG]]="","",INDEX(NOTA[ID],MATCH(,INDIRECT(ADDRESS(ROW(NOTA[ID]),COLUMN(NOTA[ID]))&amp;":"&amp;ADDRESS(ROW(),COLUMN(NOTA[ID]))),-1)))</f>
        <v/>
      </c>
      <c r="E910" s="33"/>
      <c r="H910" s="34"/>
      <c r="Q910" s="29"/>
      <c r="R910" s="35"/>
      <c r="S910" s="36"/>
      <c r="V910" s="37"/>
      <c r="W910" s="32"/>
      <c r="X910" s="37" t="str">
        <f>IF(NOTA[[#This Row],[HARGA/ CTN]]="",NOTA[[#This Row],[JUMLAH_H]],NOTA[[#This Row],[HARGA/ CTN]]*IF(NOTA[[#This Row],[C]]="",0,NOTA[[#This Row],[C]]))</f>
        <v/>
      </c>
      <c r="Y910" s="37" t="str">
        <f>IF(NOTA[[#This Row],[JUMLAH]]="","",NOTA[[#This Row],[JUMLAH]]*NOTA[[#This Row],[DISC 1]])</f>
        <v/>
      </c>
      <c r="Z910" s="37" t="str">
        <f>IF(NOTA[[#This Row],[JUMLAH]]="","",(NOTA[[#This Row],[JUMLAH]]-NOTA[[#This Row],[DISC 1-]])*NOTA[[#This Row],[DISC 2]])</f>
        <v/>
      </c>
      <c r="AA910" s="37" t="str">
        <f>IF(NOTA[[#This Row],[JUMLAH]]="","",(NOTA[[#This Row],[JUMLAH]]-NOTA[[#This Row],[DISC 1-]]-NOTA[[#This Row],[DISC 2-]])*NOTA[[#This Row],[DISC 3]])</f>
        <v/>
      </c>
      <c r="AB910" s="37" t="str">
        <f>IF(NOTA[[#This Row],[JUMLAH]]="","",NOTA[[#This Row],[DISC 1-]]+NOTA[[#This Row],[DISC 2-]]+NOTA[[#This Row],[DISC 3-]])</f>
        <v/>
      </c>
      <c r="AC910" s="37" t="str">
        <f>IF(NOTA[[#This Row],[JUMLAH]]="","",NOTA[[#This Row],[JUMLAH]]-NOTA[[#This Row],[DISC]])</f>
        <v/>
      </c>
      <c r="AD910" s="37"/>
      <c r="AE9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0" s="37" t="str">
        <f>IF(OR(NOTA[[#This Row],[QTY]]="",NOTA[[#This Row],[HARGA SATUAN]]="",),"",NOTA[[#This Row],[QTY]]*NOTA[[#This Row],[HARGA SATUAN]])</f>
        <v/>
      </c>
      <c r="AI910" s="26" t="str">
        <f ca="1">IF(NOTA[[#This Row],[ID_H]]="","",INDEX(NOTA[TANGGAL],MATCH(,INDIRECT(ADDRESS(ROW(NOTA[TANGGAL]),COLUMN(NOTA[TANGGAL]))&amp;":"&amp;ADDRESS(ROW(),COLUMN(NOTA[TANGGAL]))),-1)))</f>
        <v/>
      </c>
      <c r="AJ910" s="26" t="str">
        <f ca="1">IF(NOTA[[#This Row],[ID_H]]="","",INDEX(NOTA[TGL.NOTA],MATCH(,INDIRECT(ADDRESS(ROW(NOTA[TGL.NOTA]),COLUMN(NOTA[TGL.NOTA]))&amp;":"&amp;ADDRESS(ROW(),COLUMN(NOTA[TGL.NOTA]))),-1)))</f>
        <v/>
      </c>
      <c r="AK910" s="26" t="str">
        <f ca="1">IF(NOTA[[#This Row],[ID_H]]="","",INDEX(NOTA[NO.NOTA],MATCH(NOTA[[#This Row],[ID_H]],NOTA[ID_H],0)))</f>
        <v/>
      </c>
      <c r="AL910" s="28" t="str">
        <f ca="1">IF(NOTA[[#This Row],[NAMA BARANG]]="","",INDEX(NOTA[SUPPLIER],MATCH(,INDIRECT(ADDRESS(ROW(NOTA[ID]),COLUMN(NOTA[ID]))&amp;":"&amp;ADDRESS(ROW(),COLUMN(NOTA[ID]))),-1)))</f>
        <v/>
      </c>
      <c r="AM910" s="28" t="str">
        <f ca="1">IF(NOTA[[#This Row],[ID_H]]="","",IF(NOTA[[#This Row],[FAKTUR]]="",INDIRECT(ADDRESS(ROW()-1,COLUMN())),NOTA[[#This Row],[FAKTUR]]))</f>
        <v/>
      </c>
      <c r="AN910" s="25" t="str">
        <f ca="1">IF(NOTA[[#This Row],[ID]]="","",COUNTIF(NOTA[ID_H],NOTA[[#This Row],[ID_H]]))</f>
        <v/>
      </c>
      <c r="AO910" s="25" t="str">
        <f ca="1">IF(NOTA[[#This Row],[TGL.NOTA]]="",IF(NOTA[[#This Row],[SUPPLIER_H]]="","",AO909),MONTH(NOTA[[#This Row],[TGL.NOTA]]))</f>
        <v/>
      </c>
      <c r="AP9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0" s="25"/>
      <c r="AU910" s="25" t="str">
        <f>IF(NOTA[[#This Row],[CONCAT1]]="","",MATCH(NOTA[[#This Row],[CONCAT1]],[3]!db[NB NOTA_C],0))</f>
        <v/>
      </c>
      <c r="AV910" s="25" t="str">
        <f>IF(NOTA[[#This Row],[QTY/ CTN]]="","",TRUE)</f>
        <v/>
      </c>
      <c r="AW910" s="25" t="str">
        <f ca="1">IF(NOTA[[#This Row],[ID_H]]="","",IF(NOTA[[#This Row],[Column3]]=TRUE,NOTA[[#This Row],[QTY/ CTN]],INDEX([3]!db[QTY/ CTN],NOTA[[#This Row],[//DB]])))</f>
        <v/>
      </c>
      <c r="AX9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0" s="25" t="str">
        <f ca="1">IF(NOTA[[#This Row],[ID_H]]="","",MATCH(NOTA[[#This Row],[NB NOTA_C_QTY]],[3]!db[NB NOTA_C_QTY+F],0))</f>
        <v/>
      </c>
      <c r="AZ910" s="38" t="str">
        <f ca="1">IF(NOTA[[#This Row],[NB NOTA_C_QTY]]="","",ROW()-2)</f>
        <v/>
      </c>
    </row>
    <row r="911" spans="1:52" ht="20.100000000000001" customHeight="1">
      <c r="A9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1" s="25" t="str">
        <f ca="1">IF(NOTA[[#This Row],[NAMA BARANG]]="","",INDEX(NOTA[ID],MATCH(,INDIRECT(ADDRESS(ROW(NOTA[ID]),COLUMN(NOTA[ID]))&amp;":"&amp;ADDRESS(ROW(),COLUMN(NOTA[ID]))),-1)))</f>
        <v/>
      </c>
      <c r="E911" s="33"/>
      <c r="H911" s="34"/>
      <c r="Q911" s="29"/>
      <c r="R911" s="35"/>
      <c r="S911" s="36"/>
      <c r="V911" s="37"/>
      <c r="W911" s="32"/>
      <c r="X911" s="37" t="str">
        <f>IF(NOTA[[#This Row],[HARGA/ CTN]]="",NOTA[[#This Row],[JUMLAH_H]],NOTA[[#This Row],[HARGA/ CTN]]*IF(NOTA[[#This Row],[C]]="",0,NOTA[[#This Row],[C]]))</f>
        <v/>
      </c>
      <c r="Y911" s="37" t="str">
        <f>IF(NOTA[[#This Row],[JUMLAH]]="","",NOTA[[#This Row],[JUMLAH]]*NOTA[[#This Row],[DISC 1]])</f>
        <v/>
      </c>
      <c r="Z911" s="37" t="str">
        <f>IF(NOTA[[#This Row],[JUMLAH]]="","",(NOTA[[#This Row],[JUMLAH]]-NOTA[[#This Row],[DISC 1-]])*NOTA[[#This Row],[DISC 2]])</f>
        <v/>
      </c>
      <c r="AA911" s="37" t="str">
        <f>IF(NOTA[[#This Row],[JUMLAH]]="","",(NOTA[[#This Row],[JUMLAH]]-NOTA[[#This Row],[DISC 1-]]-NOTA[[#This Row],[DISC 2-]])*NOTA[[#This Row],[DISC 3]])</f>
        <v/>
      </c>
      <c r="AB911" s="37" t="str">
        <f>IF(NOTA[[#This Row],[JUMLAH]]="","",NOTA[[#This Row],[DISC 1-]]+NOTA[[#This Row],[DISC 2-]]+NOTA[[#This Row],[DISC 3-]])</f>
        <v/>
      </c>
      <c r="AC911" s="37" t="str">
        <f>IF(NOTA[[#This Row],[JUMLAH]]="","",NOTA[[#This Row],[JUMLAH]]-NOTA[[#This Row],[DISC]])</f>
        <v/>
      </c>
      <c r="AD911" s="37"/>
      <c r="AE9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1" s="37" t="str">
        <f>IF(OR(NOTA[[#This Row],[QTY]]="",NOTA[[#This Row],[HARGA SATUAN]]="",),"",NOTA[[#This Row],[QTY]]*NOTA[[#This Row],[HARGA SATUAN]])</f>
        <v/>
      </c>
      <c r="AI911" s="26" t="str">
        <f ca="1">IF(NOTA[[#This Row],[ID_H]]="","",INDEX(NOTA[TANGGAL],MATCH(,INDIRECT(ADDRESS(ROW(NOTA[TANGGAL]),COLUMN(NOTA[TANGGAL]))&amp;":"&amp;ADDRESS(ROW(),COLUMN(NOTA[TANGGAL]))),-1)))</f>
        <v/>
      </c>
      <c r="AJ911" s="26" t="str">
        <f ca="1">IF(NOTA[[#This Row],[ID_H]]="","",INDEX(NOTA[TGL.NOTA],MATCH(,INDIRECT(ADDRESS(ROW(NOTA[TGL.NOTA]),COLUMN(NOTA[TGL.NOTA]))&amp;":"&amp;ADDRESS(ROW(),COLUMN(NOTA[TGL.NOTA]))),-1)))</f>
        <v/>
      </c>
      <c r="AK911" s="26" t="str">
        <f ca="1">IF(NOTA[[#This Row],[ID_H]]="","",INDEX(NOTA[NO.NOTA],MATCH(NOTA[[#This Row],[ID_H]],NOTA[ID_H],0)))</f>
        <v/>
      </c>
      <c r="AL911" s="28" t="str">
        <f ca="1">IF(NOTA[[#This Row],[NAMA BARANG]]="","",INDEX(NOTA[SUPPLIER],MATCH(,INDIRECT(ADDRESS(ROW(NOTA[ID]),COLUMN(NOTA[ID]))&amp;":"&amp;ADDRESS(ROW(),COLUMN(NOTA[ID]))),-1)))</f>
        <v/>
      </c>
      <c r="AM911" s="28" t="str">
        <f ca="1">IF(NOTA[[#This Row],[ID_H]]="","",IF(NOTA[[#This Row],[FAKTUR]]="",INDIRECT(ADDRESS(ROW()-1,COLUMN())),NOTA[[#This Row],[FAKTUR]]))</f>
        <v/>
      </c>
      <c r="AN911" s="25" t="str">
        <f ca="1">IF(NOTA[[#This Row],[ID]]="","",COUNTIF(NOTA[ID_H],NOTA[[#This Row],[ID_H]]))</f>
        <v/>
      </c>
      <c r="AO911" s="25" t="str">
        <f ca="1">IF(NOTA[[#This Row],[TGL.NOTA]]="",IF(NOTA[[#This Row],[SUPPLIER_H]]="","",AO910),MONTH(NOTA[[#This Row],[TGL.NOTA]]))</f>
        <v/>
      </c>
      <c r="AP9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1" s="25"/>
      <c r="AU911" s="25" t="str">
        <f>IF(NOTA[[#This Row],[CONCAT1]]="","",MATCH(NOTA[[#This Row],[CONCAT1]],[3]!db[NB NOTA_C],0))</f>
        <v/>
      </c>
      <c r="AV911" s="25" t="str">
        <f>IF(NOTA[[#This Row],[QTY/ CTN]]="","",TRUE)</f>
        <v/>
      </c>
      <c r="AW911" s="25" t="str">
        <f ca="1">IF(NOTA[[#This Row],[ID_H]]="","",IF(NOTA[[#This Row],[Column3]]=TRUE,NOTA[[#This Row],[QTY/ CTN]],INDEX([3]!db[QTY/ CTN],NOTA[[#This Row],[//DB]])))</f>
        <v/>
      </c>
      <c r="AX9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1" s="25" t="str">
        <f ca="1">IF(NOTA[[#This Row],[ID_H]]="","",MATCH(NOTA[[#This Row],[NB NOTA_C_QTY]],[3]!db[NB NOTA_C_QTY+F],0))</f>
        <v/>
      </c>
      <c r="AZ911" s="38" t="str">
        <f ca="1">IF(NOTA[[#This Row],[NB NOTA_C_QTY]]="","",ROW()-2)</f>
        <v/>
      </c>
    </row>
    <row r="912" spans="1:52" ht="20.100000000000001" customHeight="1">
      <c r="A9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2" s="25" t="str">
        <f ca="1">IF(NOTA[[#This Row],[NAMA BARANG]]="","",INDEX(NOTA[ID],MATCH(,INDIRECT(ADDRESS(ROW(NOTA[ID]),COLUMN(NOTA[ID]))&amp;":"&amp;ADDRESS(ROW(),COLUMN(NOTA[ID]))),-1)))</f>
        <v/>
      </c>
      <c r="E912" s="33"/>
      <c r="H912" s="34"/>
      <c r="Q912" s="29"/>
      <c r="R912" s="35"/>
      <c r="S912" s="36"/>
      <c r="V912" s="37"/>
      <c r="W912" s="32"/>
      <c r="X912" s="37" t="str">
        <f>IF(NOTA[[#This Row],[HARGA/ CTN]]="",NOTA[[#This Row],[JUMLAH_H]],NOTA[[#This Row],[HARGA/ CTN]]*IF(NOTA[[#This Row],[C]]="",0,NOTA[[#This Row],[C]]))</f>
        <v/>
      </c>
      <c r="Y912" s="37" t="str">
        <f>IF(NOTA[[#This Row],[JUMLAH]]="","",NOTA[[#This Row],[JUMLAH]]*NOTA[[#This Row],[DISC 1]])</f>
        <v/>
      </c>
      <c r="Z912" s="37" t="str">
        <f>IF(NOTA[[#This Row],[JUMLAH]]="","",(NOTA[[#This Row],[JUMLAH]]-NOTA[[#This Row],[DISC 1-]])*NOTA[[#This Row],[DISC 2]])</f>
        <v/>
      </c>
      <c r="AA912" s="37" t="str">
        <f>IF(NOTA[[#This Row],[JUMLAH]]="","",(NOTA[[#This Row],[JUMLAH]]-NOTA[[#This Row],[DISC 1-]]-NOTA[[#This Row],[DISC 2-]])*NOTA[[#This Row],[DISC 3]])</f>
        <v/>
      </c>
      <c r="AB912" s="37" t="str">
        <f>IF(NOTA[[#This Row],[JUMLAH]]="","",NOTA[[#This Row],[DISC 1-]]+NOTA[[#This Row],[DISC 2-]]+NOTA[[#This Row],[DISC 3-]])</f>
        <v/>
      </c>
      <c r="AC912" s="37" t="str">
        <f>IF(NOTA[[#This Row],[JUMLAH]]="","",NOTA[[#This Row],[JUMLAH]]-NOTA[[#This Row],[DISC]])</f>
        <v/>
      </c>
      <c r="AD912" s="37"/>
      <c r="AE9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2" s="37" t="str">
        <f>IF(OR(NOTA[[#This Row],[QTY]]="",NOTA[[#This Row],[HARGA SATUAN]]="",),"",NOTA[[#This Row],[QTY]]*NOTA[[#This Row],[HARGA SATUAN]])</f>
        <v/>
      </c>
      <c r="AI912" s="26" t="str">
        <f ca="1">IF(NOTA[[#This Row],[ID_H]]="","",INDEX(NOTA[TANGGAL],MATCH(,INDIRECT(ADDRESS(ROW(NOTA[TANGGAL]),COLUMN(NOTA[TANGGAL]))&amp;":"&amp;ADDRESS(ROW(),COLUMN(NOTA[TANGGAL]))),-1)))</f>
        <v/>
      </c>
      <c r="AJ912" s="26" t="str">
        <f ca="1">IF(NOTA[[#This Row],[ID_H]]="","",INDEX(NOTA[TGL.NOTA],MATCH(,INDIRECT(ADDRESS(ROW(NOTA[TGL.NOTA]),COLUMN(NOTA[TGL.NOTA]))&amp;":"&amp;ADDRESS(ROW(),COLUMN(NOTA[TGL.NOTA]))),-1)))</f>
        <v/>
      </c>
      <c r="AK912" s="26" t="str">
        <f ca="1">IF(NOTA[[#This Row],[ID_H]]="","",INDEX(NOTA[NO.NOTA],MATCH(NOTA[[#This Row],[ID_H]],NOTA[ID_H],0)))</f>
        <v/>
      </c>
      <c r="AL912" s="28" t="str">
        <f ca="1">IF(NOTA[[#This Row],[NAMA BARANG]]="","",INDEX(NOTA[SUPPLIER],MATCH(,INDIRECT(ADDRESS(ROW(NOTA[ID]),COLUMN(NOTA[ID]))&amp;":"&amp;ADDRESS(ROW(),COLUMN(NOTA[ID]))),-1)))</f>
        <v/>
      </c>
      <c r="AM912" s="28" t="str">
        <f ca="1">IF(NOTA[[#This Row],[ID_H]]="","",IF(NOTA[[#This Row],[FAKTUR]]="",INDIRECT(ADDRESS(ROW()-1,COLUMN())),NOTA[[#This Row],[FAKTUR]]))</f>
        <v/>
      </c>
      <c r="AN912" s="25" t="str">
        <f ca="1">IF(NOTA[[#This Row],[ID]]="","",COUNTIF(NOTA[ID_H],NOTA[[#This Row],[ID_H]]))</f>
        <v/>
      </c>
      <c r="AO912" s="25" t="str">
        <f ca="1">IF(NOTA[[#This Row],[TGL.NOTA]]="",IF(NOTA[[#This Row],[SUPPLIER_H]]="","",AO911),MONTH(NOTA[[#This Row],[TGL.NOTA]]))</f>
        <v/>
      </c>
      <c r="AP9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2" s="25"/>
      <c r="AU912" s="25" t="str">
        <f>IF(NOTA[[#This Row],[CONCAT1]]="","",MATCH(NOTA[[#This Row],[CONCAT1]],[3]!db[NB NOTA_C],0))</f>
        <v/>
      </c>
      <c r="AV912" s="25" t="str">
        <f>IF(NOTA[[#This Row],[QTY/ CTN]]="","",TRUE)</f>
        <v/>
      </c>
      <c r="AW912" s="25" t="str">
        <f ca="1">IF(NOTA[[#This Row],[ID_H]]="","",IF(NOTA[[#This Row],[Column3]]=TRUE,NOTA[[#This Row],[QTY/ CTN]],INDEX([3]!db[QTY/ CTN],NOTA[[#This Row],[//DB]])))</f>
        <v/>
      </c>
      <c r="AX9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2" s="25" t="str">
        <f ca="1">IF(NOTA[[#This Row],[ID_H]]="","",MATCH(NOTA[[#This Row],[NB NOTA_C_QTY]],[3]!db[NB NOTA_C_QTY+F],0))</f>
        <v/>
      </c>
      <c r="AZ912" s="38" t="str">
        <f ca="1">IF(NOTA[[#This Row],[NB NOTA_C_QTY]]="","",ROW()-2)</f>
        <v/>
      </c>
    </row>
    <row r="913" spans="1:52" ht="20.100000000000001" customHeight="1">
      <c r="A9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3" s="25" t="str">
        <f ca="1">IF(NOTA[[#This Row],[NAMA BARANG]]="","",INDEX(NOTA[ID],MATCH(,INDIRECT(ADDRESS(ROW(NOTA[ID]),COLUMN(NOTA[ID]))&amp;":"&amp;ADDRESS(ROW(),COLUMN(NOTA[ID]))),-1)))</f>
        <v/>
      </c>
      <c r="E913" s="33"/>
      <c r="H913" s="34"/>
      <c r="Q913" s="29"/>
      <c r="R913" s="35"/>
      <c r="S913" s="36"/>
      <c r="V913" s="37"/>
      <c r="W913" s="32"/>
      <c r="X913" s="37" t="str">
        <f>IF(NOTA[[#This Row],[HARGA/ CTN]]="",NOTA[[#This Row],[JUMLAH_H]],NOTA[[#This Row],[HARGA/ CTN]]*IF(NOTA[[#This Row],[C]]="",0,NOTA[[#This Row],[C]]))</f>
        <v/>
      </c>
      <c r="Y913" s="37" t="str">
        <f>IF(NOTA[[#This Row],[JUMLAH]]="","",NOTA[[#This Row],[JUMLAH]]*NOTA[[#This Row],[DISC 1]])</f>
        <v/>
      </c>
      <c r="Z913" s="37" t="str">
        <f>IF(NOTA[[#This Row],[JUMLAH]]="","",(NOTA[[#This Row],[JUMLAH]]-NOTA[[#This Row],[DISC 1-]])*NOTA[[#This Row],[DISC 2]])</f>
        <v/>
      </c>
      <c r="AA913" s="37" t="str">
        <f>IF(NOTA[[#This Row],[JUMLAH]]="","",(NOTA[[#This Row],[JUMLAH]]-NOTA[[#This Row],[DISC 1-]]-NOTA[[#This Row],[DISC 2-]])*NOTA[[#This Row],[DISC 3]])</f>
        <v/>
      </c>
      <c r="AB913" s="37" t="str">
        <f>IF(NOTA[[#This Row],[JUMLAH]]="","",NOTA[[#This Row],[DISC 1-]]+NOTA[[#This Row],[DISC 2-]]+NOTA[[#This Row],[DISC 3-]])</f>
        <v/>
      </c>
      <c r="AC913" s="37" t="str">
        <f>IF(NOTA[[#This Row],[JUMLAH]]="","",NOTA[[#This Row],[JUMLAH]]-NOTA[[#This Row],[DISC]])</f>
        <v/>
      </c>
      <c r="AD913" s="37"/>
      <c r="AE9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3" s="37" t="str">
        <f>IF(OR(NOTA[[#This Row],[QTY]]="",NOTA[[#This Row],[HARGA SATUAN]]="",),"",NOTA[[#This Row],[QTY]]*NOTA[[#This Row],[HARGA SATUAN]])</f>
        <v/>
      </c>
      <c r="AI913" s="26" t="str">
        <f ca="1">IF(NOTA[[#This Row],[ID_H]]="","",INDEX(NOTA[TANGGAL],MATCH(,INDIRECT(ADDRESS(ROW(NOTA[TANGGAL]),COLUMN(NOTA[TANGGAL]))&amp;":"&amp;ADDRESS(ROW(),COLUMN(NOTA[TANGGAL]))),-1)))</f>
        <v/>
      </c>
      <c r="AJ913" s="26" t="str">
        <f ca="1">IF(NOTA[[#This Row],[ID_H]]="","",INDEX(NOTA[TGL.NOTA],MATCH(,INDIRECT(ADDRESS(ROW(NOTA[TGL.NOTA]),COLUMN(NOTA[TGL.NOTA]))&amp;":"&amp;ADDRESS(ROW(),COLUMN(NOTA[TGL.NOTA]))),-1)))</f>
        <v/>
      </c>
      <c r="AK913" s="26" t="str">
        <f ca="1">IF(NOTA[[#This Row],[ID_H]]="","",INDEX(NOTA[NO.NOTA],MATCH(NOTA[[#This Row],[ID_H]],NOTA[ID_H],0)))</f>
        <v/>
      </c>
      <c r="AL913" s="28" t="str">
        <f ca="1">IF(NOTA[[#This Row],[NAMA BARANG]]="","",INDEX(NOTA[SUPPLIER],MATCH(,INDIRECT(ADDRESS(ROW(NOTA[ID]),COLUMN(NOTA[ID]))&amp;":"&amp;ADDRESS(ROW(),COLUMN(NOTA[ID]))),-1)))</f>
        <v/>
      </c>
      <c r="AM913" s="28" t="str">
        <f ca="1">IF(NOTA[[#This Row],[ID_H]]="","",IF(NOTA[[#This Row],[FAKTUR]]="",INDIRECT(ADDRESS(ROW()-1,COLUMN())),NOTA[[#This Row],[FAKTUR]]))</f>
        <v/>
      </c>
      <c r="AN913" s="25" t="str">
        <f ca="1">IF(NOTA[[#This Row],[ID]]="","",COUNTIF(NOTA[ID_H],NOTA[[#This Row],[ID_H]]))</f>
        <v/>
      </c>
      <c r="AO913" s="25" t="str">
        <f ca="1">IF(NOTA[[#This Row],[TGL.NOTA]]="",IF(NOTA[[#This Row],[SUPPLIER_H]]="","",AO912),MONTH(NOTA[[#This Row],[TGL.NOTA]]))</f>
        <v/>
      </c>
      <c r="AP9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3" s="25"/>
      <c r="AU913" s="25" t="str">
        <f>IF(NOTA[[#This Row],[CONCAT1]]="","",MATCH(NOTA[[#This Row],[CONCAT1]],[3]!db[NB NOTA_C],0))</f>
        <v/>
      </c>
      <c r="AV913" s="25" t="str">
        <f>IF(NOTA[[#This Row],[QTY/ CTN]]="","",TRUE)</f>
        <v/>
      </c>
      <c r="AW913" s="25" t="str">
        <f ca="1">IF(NOTA[[#This Row],[ID_H]]="","",IF(NOTA[[#This Row],[Column3]]=TRUE,NOTA[[#This Row],[QTY/ CTN]],INDEX([3]!db[QTY/ CTN],NOTA[[#This Row],[//DB]])))</f>
        <v/>
      </c>
      <c r="AX9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3" s="25" t="str">
        <f ca="1">IF(NOTA[[#This Row],[ID_H]]="","",MATCH(NOTA[[#This Row],[NB NOTA_C_QTY]],[3]!db[NB NOTA_C_QTY+F],0))</f>
        <v/>
      </c>
      <c r="AZ913" s="38" t="str">
        <f ca="1">IF(NOTA[[#This Row],[NB NOTA_C_QTY]]="","",ROW()-2)</f>
        <v/>
      </c>
    </row>
    <row r="914" spans="1:52" ht="20.100000000000001" customHeight="1">
      <c r="A9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4" s="25" t="str">
        <f ca="1">IF(NOTA[[#This Row],[NAMA BARANG]]="","",INDEX(NOTA[ID],MATCH(,INDIRECT(ADDRESS(ROW(NOTA[ID]),COLUMN(NOTA[ID]))&amp;":"&amp;ADDRESS(ROW(),COLUMN(NOTA[ID]))),-1)))</f>
        <v/>
      </c>
      <c r="E914" s="33"/>
      <c r="H914" s="34"/>
      <c r="Q914" s="29"/>
      <c r="R914" s="35"/>
      <c r="S914" s="36"/>
      <c r="V914" s="37"/>
      <c r="W914" s="32"/>
      <c r="X914" s="37" t="str">
        <f>IF(NOTA[[#This Row],[HARGA/ CTN]]="",NOTA[[#This Row],[JUMLAH_H]],NOTA[[#This Row],[HARGA/ CTN]]*IF(NOTA[[#This Row],[C]]="",0,NOTA[[#This Row],[C]]))</f>
        <v/>
      </c>
      <c r="Y914" s="37" t="str">
        <f>IF(NOTA[[#This Row],[JUMLAH]]="","",NOTA[[#This Row],[JUMLAH]]*NOTA[[#This Row],[DISC 1]])</f>
        <v/>
      </c>
      <c r="Z914" s="37" t="str">
        <f>IF(NOTA[[#This Row],[JUMLAH]]="","",(NOTA[[#This Row],[JUMLAH]]-NOTA[[#This Row],[DISC 1-]])*NOTA[[#This Row],[DISC 2]])</f>
        <v/>
      </c>
      <c r="AA914" s="37" t="str">
        <f>IF(NOTA[[#This Row],[JUMLAH]]="","",(NOTA[[#This Row],[JUMLAH]]-NOTA[[#This Row],[DISC 1-]]-NOTA[[#This Row],[DISC 2-]])*NOTA[[#This Row],[DISC 3]])</f>
        <v/>
      </c>
      <c r="AB914" s="37" t="str">
        <f>IF(NOTA[[#This Row],[JUMLAH]]="","",NOTA[[#This Row],[DISC 1-]]+NOTA[[#This Row],[DISC 2-]]+NOTA[[#This Row],[DISC 3-]])</f>
        <v/>
      </c>
      <c r="AC914" s="37" t="str">
        <f>IF(NOTA[[#This Row],[JUMLAH]]="","",NOTA[[#This Row],[JUMLAH]]-NOTA[[#This Row],[DISC]])</f>
        <v/>
      </c>
      <c r="AD914" s="37"/>
      <c r="AE9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4" s="37" t="str">
        <f>IF(OR(NOTA[[#This Row],[QTY]]="",NOTA[[#This Row],[HARGA SATUAN]]="",),"",NOTA[[#This Row],[QTY]]*NOTA[[#This Row],[HARGA SATUAN]])</f>
        <v/>
      </c>
      <c r="AI914" s="26" t="str">
        <f ca="1">IF(NOTA[[#This Row],[ID_H]]="","",INDEX(NOTA[TANGGAL],MATCH(,INDIRECT(ADDRESS(ROW(NOTA[TANGGAL]),COLUMN(NOTA[TANGGAL]))&amp;":"&amp;ADDRESS(ROW(),COLUMN(NOTA[TANGGAL]))),-1)))</f>
        <v/>
      </c>
      <c r="AJ914" s="26" t="str">
        <f ca="1">IF(NOTA[[#This Row],[ID_H]]="","",INDEX(NOTA[TGL.NOTA],MATCH(,INDIRECT(ADDRESS(ROW(NOTA[TGL.NOTA]),COLUMN(NOTA[TGL.NOTA]))&amp;":"&amp;ADDRESS(ROW(),COLUMN(NOTA[TGL.NOTA]))),-1)))</f>
        <v/>
      </c>
      <c r="AK914" s="26" t="str">
        <f ca="1">IF(NOTA[[#This Row],[ID_H]]="","",INDEX(NOTA[NO.NOTA],MATCH(NOTA[[#This Row],[ID_H]],NOTA[ID_H],0)))</f>
        <v/>
      </c>
      <c r="AL914" s="28" t="str">
        <f ca="1">IF(NOTA[[#This Row],[NAMA BARANG]]="","",INDEX(NOTA[SUPPLIER],MATCH(,INDIRECT(ADDRESS(ROW(NOTA[ID]),COLUMN(NOTA[ID]))&amp;":"&amp;ADDRESS(ROW(),COLUMN(NOTA[ID]))),-1)))</f>
        <v/>
      </c>
      <c r="AM914" s="28" t="str">
        <f ca="1">IF(NOTA[[#This Row],[ID_H]]="","",IF(NOTA[[#This Row],[FAKTUR]]="",INDIRECT(ADDRESS(ROW()-1,COLUMN())),NOTA[[#This Row],[FAKTUR]]))</f>
        <v/>
      </c>
      <c r="AN914" s="25" t="str">
        <f ca="1">IF(NOTA[[#This Row],[ID]]="","",COUNTIF(NOTA[ID_H],NOTA[[#This Row],[ID_H]]))</f>
        <v/>
      </c>
      <c r="AO914" s="25" t="str">
        <f ca="1">IF(NOTA[[#This Row],[TGL.NOTA]]="",IF(NOTA[[#This Row],[SUPPLIER_H]]="","",AO913),MONTH(NOTA[[#This Row],[TGL.NOTA]]))</f>
        <v/>
      </c>
      <c r="AP9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4" s="25"/>
      <c r="AU914" s="25" t="str">
        <f>IF(NOTA[[#This Row],[CONCAT1]]="","",MATCH(NOTA[[#This Row],[CONCAT1]],[3]!db[NB NOTA_C],0))</f>
        <v/>
      </c>
      <c r="AV914" s="25" t="str">
        <f>IF(NOTA[[#This Row],[QTY/ CTN]]="","",TRUE)</f>
        <v/>
      </c>
      <c r="AW914" s="25" t="str">
        <f ca="1">IF(NOTA[[#This Row],[ID_H]]="","",IF(NOTA[[#This Row],[Column3]]=TRUE,NOTA[[#This Row],[QTY/ CTN]],INDEX([3]!db[QTY/ CTN],NOTA[[#This Row],[//DB]])))</f>
        <v/>
      </c>
      <c r="AX9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4" s="25" t="str">
        <f ca="1">IF(NOTA[[#This Row],[ID_H]]="","",MATCH(NOTA[[#This Row],[NB NOTA_C_QTY]],[3]!db[NB NOTA_C_QTY+F],0))</f>
        <v/>
      </c>
      <c r="AZ914" s="38" t="str">
        <f ca="1">IF(NOTA[[#This Row],[NB NOTA_C_QTY]]="","",ROW()-2)</f>
        <v/>
      </c>
    </row>
    <row r="915" spans="1:52" ht="20.100000000000001" customHeight="1">
      <c r="A9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5" s="25" t="str">
        <f ca="1">IF(NOTA[[#This Row],[NAMA BARANG]]="","",INDEX(NOTA[ID],MATCH(,INDIRECT(ADDRESS(ROW(NOTA[ID]),COLUMN(NOTA[ID]))&amp;":"&amp;ADDRESS(ROW(),COLUMN(NOTA[ID]))),-1)))</f>
        <v/>
      </c>
      <c r="E915" s="33"/>
      <c r="H915" s="34"/>
      <c r="Q915" s="29"/>
      <c r="R915" s="35"/>
      <c r="S915" s="36"/>
      <c r="V915" s="37"/>
      <c r="W915" s="32"/>
      <c r="X915" s="37" t="str">
        <f>IF(NOTA[[#This Row],[HARGA/ CTN]]="",NOTA[[#This Row],[JUMLAH_H]],NOTA[[#This Row],[HARGA/ CTN]]*IF(NOTA[[#This Row],[C]]="",0,NOTA[[#This Row],[C]]))</f>
        <v/>
      </c>
      <c r="Y915" s="37" t="str">
        <f>IF(NOTA[[#This Row],[JUMLAH]]="","",NOTA[[#This Row],[JUMLAH]]*NOTA[[#This Row],[DISC 1]])</f>
        <v/>
      </c>
      <c r="Z915" s="37" t="str">
        <f>IF(NOTA[[#This Row],[JUMLAH]]="","",(NOTA[[#This Row],[JUMLAH]]-NOTA[[#This Row],[DISC 1-]])*NOTA[[#This Row],[DISC 2]])</f>
        <v/>
      </c>
      <c r="AA915" s="37" t="str">
        <f>IF(NOTA[[#This Row],[JUMLAH]]="","",(NOTA[[#This Row],[JUMLAH]]-NOTA[[#This Row],[DISC 1-]]-NOTA[[#This Row],[DISC 2-]])*NOTA[[#This Row],[DISC 3]])</f>
        <v/>
      </c>
      <c r="AB915" s="37" t="str">
        <f>IF(NOTA[[#This Row],[JUMLAH]]="","",NOTA[[#This Row],[DISC 1-]]+NOTA[[#This Row],[DISC 2-]]+NOTA[[#This Row],[DISC 3-]])</f>
        <v/>
      </c>
      <c r="AC915" s="37" t="str">
        <f>IF(NOTA[[#This Row],[JUMLAH]]="","",NOTA[[#This Row],[JUMLAH]]-NOTA[[#This Row],[DISC]])</f>
        <v/>
      </c>
      <c r="AD915" s="37"/>
      <c r="AE9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5" s="37" t="str">
        <f>IF(OR(NOTA[[#This Row],[QTY]]="",NOTA[[#This Row],[HARGA SATUAN]]="",),"",NOTA[[#This Row],[QTY]]*NOTA[[#This Row],[HARGA SATUAN]])</f>
        <v/>
      </c>
      <c r="AI915" s="26" t="str">
        <f ca="1">IF(NOTA[[#This Row],[ID_H]]="","",INDEX(NOTA[TANGGAL],MATCH(,INDIRECT(ADDRESS(ROW(NOTA[TANGGAL]),COLUMN(NOTA[TANGGAL]))&amp;":"&amp;ADDRESS(ROW(),COLUMN(NOTA[TANGGAL]))),-1)))</f>
        <v/>
      </c>
      <c r="AJ915" s="26" t="str">
        <f ca="1">IF(NOTA[[#This Row],[ID_H]]="","",INDEX(NOTA[TGL.NOTA],MATCH(,INDIRECT(ADDRESS(ROW(NOTA[TGL.NOTA]),COLUMN(NOTA[TGL.NOTA]))&amp;":"&amp;ADDRESS(ROW(),COLUMN(NOTA[TGL.NOTA]))),-1)))</f>
        <v/>
      </c>
      <c r="AK915" s="26" t="str">
        <f ca="1">IF(NOTA[[#This Row],[ID_H]]="","",INDEX(NOTA[NO.NOTA],MATCH(NOTA[[#This Row],[ID_H]],NOTA[ID_H],0)))</f>
        <v/>
      </c>
      <c r="AL915" s="28" t="str">
        <f ca="1">IF(NOTA[[#This Row],[NAMA BARANG]]="","",INDEX(NOTA[SUPPLIER],MATCH(,INDIRECT(ADDRESS(ROW(NOTA[ID]),COLUMN(NOTA[ID]))&amp;":"&amp;ADDRESS(ROW(),COLUMN(NOTA[ID]))),-1)))</f>
        <v/>
      </c>
      <c r="AM915" s="28" t="str">
        <f ca="1">IF(NOTA[[#This Row],[ID_H]]="","",IF(NOTA[[#This Row],[FAKTUR]]="",INDIRECT(ADDRESS(ROW()-1,COLUMN())),NOTA[[#This Row],[FAKTUR]]))</f>
        <v/>
      </c>
      <c r="AN915" s="25" t="str">
        <f ca="1">IF(NOTA[[#This Row],[ID]]="","",COUNTIF(NOTA[ID_H],NOTA[[#This Row],[ID_H]]))</f>
        <v/>
      </c>
      <c r="AO915" s="25" t="str">
        <f ca="1">IF(NOTA[[#This Row],[TGL.NOTA]]="",IF(NOTA[[#This Row],[SUPPLIER_H]]="","",AO914),MONTH(NOTA[[#This Row],[TGL.NOTA]]))</f>
        <v/>
      </c>
      <c r="AP9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5" s="25"/>
      <c r="AU915" s="25" t="str">
        <f>IF(NOTA[[#This Row],[CONCAT1]]="","",MATCH(NOTA[[#This Row],[CONCAT1]],[3]!db[NB NOTA_C],0))</f>
        <v/>
      </c>
      <c r="AV915" s="25" t="str">
        <f>IF(NOTA[[#This Row],[QTY/ CTN]]="","",TRUE)</f>
        <v/>
      </c>
      <c r="AW915" s="25" t="str">
        <f ca="1">IF(NOTA[[#This Row],[ID_H]]="","",IF(NOTA[[#This Row],[Column3]]=TRUE,NOTA[[#This Row],[QTY/ CTN]],INDEX([3]!db[QTY/ CTN],NOTA[[#This Row],[//DB]])))</f>
        <v/>
      </c>
      <c r="AX9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5" s="25" t="str">
        <f ca="1">IF(NOTA[[#This Row],[ID_H]]="","",MATCH(NOTA[[#This Row],[NB NOTA_C_QTY]],[3]!db[NB NOTA_C_QTY+F],0))</f>
        <v/>
      </c>
      <c r="AZ915" s="38" t="str">
        <f ca="1">IF(NOTA[[#This Row],[NB NOTA_C_QTY]]="","",ROW()-2)</f>
        <v/>
      </c>
    </row>
    <row r="916" spans="1:52" ht="20.100000000000001" customHeight="1">
      <c r="A9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6" s="25" t="str">
        <f ca="1">IF(NOTA[[#This Row],[NAMA BARANG]]="","",INDEX(NOTA[ID],MATCH(,INDIRECT(ADDRESS(ROW(NOTA[ID]),COLUMN(NOTA[ID]))&amp;":"&amp;ADDRESS(ROW(),COLUMN(NOTA[ID]))),-1)))</f>
        <v/>
      </c>
      <c r="E916" s="33"/>
      <c r="H916" s="34"/>
      <c r="Q916" s="29"/>
      <c r="R916" s="35"/>
      <c r="S916" s="36"/>
      <c r="V916" s="37"/>
      <c r="W916" s="32"/>
      <c r="X916" s="37" t="str">
        <f>IF(NOTA[[#This Row],[HARGA/ CTN]]="",NOTA[[#This Row],[JUMLAH_H]],NOTA[[#This Row],[HARGA/ CTN]]*IF(NOTA[[#This Row],[C]]="",0,NOTA[[#This Row],[C]]))</f>
        <v/>
      </c>
      <c r="Y916" s="37" t="str">
        <f>IF(NOTA[[#This Row],[JUMLAH]]="","",NOTA[[#This Row],[JUMLAH]]*NOTA[[#This Row],[DISC 1]])</f>
        <v/>
      </c>
      <c r="Z916" s="37" t="str">
        <f>IF(NOTA[[#This Row],[JUMLAH]]="","",(NOTA[[#This Row],[JUMLAH]]-NOTA[[#This Row],[DISC 1-]])*NOTA[[#This Row],[DISC 2]])</f>
        <v/>
      </c>
      <c r="AA916" s="37" t="str">
        <f>IF(NOTA[[#This Row],[JUMLAH]]="","",(NOTA[[#This Row],[JUMLAH]]-NOTA[[#This Row],[DISC 1-]]-NOTA[[#This Row],[DISC 2-]])*NOTA[[#This Row],[DISC 3]])</f>
        <v/>
      </c>
      <c r="AB916" s="37" t="str">
        <f>IF(NOTA[[#This Row],[JUMLAH]]="","",NOTA[[#This Row],[DISC 1-]]+NOTA[[#This Row],[DISC 2-]]+NOTA[[#This Row],[DISC 3-]])</f>
        <v/>
      </c>
      <c r="AC916" s="37" t="str">
        <f>IF(NOTA[[#This Row],[JUMLAH]]="","",NOTA[[#This Row],[JUMLAH]]-NOTA[[#This Row],[DISC]])</f>
        <v/>
      </c>
      <c r="AD916" s="37"/>
      <c r="AE9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6" s="37" t="str">
        <f>IF(OR(NOTA[[#This Row],[QTY]]="",NOTA[[#This Row],[HARGA SATUAN]]="",),"",NOTA[[#This Row],[QTY]]*NOTA[[#This Row],[HARGA SATUAN]])</f>
        <v/>
      </c>
      <c r="AI916" s="26" t="str">
        <f ca="1">IF(NOTA[[#This Row],[ID_H]]="","",INDEX(NOTA[TANGGAL],MATCH(,INDIRECT(ADDRESS(ROW(NOTA[TANGGAL]),COLUMN(NOTA[TANGGAL]))&amp;":"&amp;ADDRESS(ROW(),COLUMN(NOTA[TANGGAL]))),-1)))</f>
        <v/>
      </c>
      <c r="AJ916" s="26" t="str">
        <f ca="1">IF(NOTA[[#This Row],[ID_H]]="","",INDEX(NOTA[TGL.NOTA],MATCH(,INDIRECT(ADDRESS(ROW(NOTA[TGL.NOTA]),COLUMN(NOTA[TGL.NOTA]))&amp;":"&amp;ADDRESS(ROW(),COLUMN(NOTA[TGL.NOTA]))),-1)))</f>
        <v/>
      </c>
      <c r="AK916" s="26" t="str">
        <f ca="1">IF(NOTA[[#This Row],[ID_H]]="","",INDEX(NOTA[NO.NOTA],MATCH(NOTA[[#This Row],[ID_H]],NOTA[ID_H],0)))</f>
        <v/>
      </c>
      <c r="AL916" s="28" t="str">
        <f ca="1">IF(NOTA[[#This Row],[NAMA BARANG]]="","",INDEX(NOTA[SUPPLIER],MATCH(,INDIRECT(ADDRESS(ROW(NOTA[ID]),COLUMN(NOTA[ID]))&amp;":"&amp;ADDRESS(ROW(),COLUMN(NOTA[ID]))),-1)))</f>
        <v/>
      </c>
      <c r="AM916" s="28" t="str">
        <f ca="1">IF(NOTA[[#This Row],[ID_H]]="","",IF(NOTA[[#This Row],[FAKTUR]]="",INDIRECT(ADDRESS(ROW()-1,COLUMN())),NOTA[[#This Row],[FAKTUR]]))</f>
        <v/>
      </c>
      <c r="AN916" s="25" t="str">
        <f ca="1">IF(NOTA[[#This Row],[ID]]="","",COUNTIF(NOTA[ID_H],NOTA[[#This Row],[ID_H]]))</f>
        <v/>
      </c>
      <c r="AO916" s="25" t="str">
        <f ca="1">IF(NOTA[[#This Row],[TGL.NOTA]]="",IF(NOTA[[#This Row],[SUPPLIER_H]]="","",AO915),MONTH(NOTA[[#This Row],[TGL.NOTA]]))</f>
        <v/>
      </c>
      <c r="AP9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6" s="25"/>
      <c r="AU916" s="25" t="str">
        <f>IF(NOTA[[#This Row],[CONCAT1]]="","",MATCH(NOTA[[#This Row],[CONCAT1]],[3]!db[NB NOTA_C],0))</f>
        <v/>
      </c>
      <c r="AV916" s="25" t="str">
        <f>IF(NOTA[[#This Row],[QTY/ CTN]]="","",TRUE)</f>
        <v/>
      </c>
      <c r="AW916" s="25" t="str">
        <f ca="1">IF(NOTA[[#This Row],[ID_H]]="","",IF(NOTA[[#This Row],[Column3]]=TRUE,NOTA[[#This Row],[QTY/ CTN]],INDEX([3]!db[QTY/ CTN],NOTA[[#This Row],[//DB]])))</f>
        <v/>
      </c>
      <c r="AX9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6" s="25" t="str">
        <f ca="1">IF(NOTA[[#This Row],[ID_H]]="","",MATCH(NOTA[[#This Row],[NB NOTA_C_QTY]],[3]!db[NB NOTA_C_QTY+F],0))</f>
        <v/>
      </c>
      <c r="AZ916" s="38" t="str">
        <f ca="1">IF(NOTA[[#This Row],[NB NOTA_C_QTY]]="","",ROW()-2)</f>
        <v/>
      </c>
    </row>
    <row r="917" spans="1:52" ht="20.100000000000001" customHeight="1">
      <c r="A9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7" s="25" t="str">
        <f ca="1">IF(NOTA[[#This Row],[NAMA BARANG]]="","",INDEX(NOTA[ID],MATCH(,INDIRECT(ADDRESS(ROW(NOTA[ID]),COLUMN(NOTA[ID]))&amp;":"&amp;ADDRESS(ROW(),COLUMN(NOTA[ID]))),-1)))</f>
        <v/>
      </c>
      <c r="E917" s="33"/>
      <c r="H917" s="34"/>
      <c r="Q917" s="29"/>
      <c r="R917" s="35"/>
      <c r="S917" s="36"/>
      <c r="V917" s="37"/>
      <c r="W917" s="32"/>
      <c r="X917" s="37" t="str">
        <f>IF(NOTA[[#This Row],[HARGA/ CTN]]="",NOTA[[#This Row],[JUMLAH_H]],NOTA[[#This Row],[HARGA/ CTN]]*IF(NOTA[[#This Row],[C]]="",0,NOTA[[#This Row],[C]]))</f>
        <v/>
      </c>
      <c r="Y917" s="37" t="str">
        <f>IF(NOTA[[#This Row],[JUMLAH]]="","",NOTA[[#This Row],[JUMLAH]]*NOTA[[#This Row],[DISC 1]])</f>
        <v/>
      </c>
      <c r="Z917" s="37" t="str">
        <f>IF(NOTA[[#This Row],[JUMLAH]]="","",(NOTA[[#This Row],[JUMLAH]]-NOTA[[#This Row],[DISC 1-]])*NOTA[[#This Row],[DISC 2]])</f>
        <v/>
      </c>
      <c r="AA917" s="37" t="str">
        <f>IF(NOTA[[#This Row],[JUMLAH]]="","",(NOTA[[#This Row],[JUMLAH]]-NOTA[[#This Row],[DISC 1-]]-NOTA[[#This Row],[DISC 2-]])*NOTA[[#This Row],[DISC 3]])</f>
        <v/>
      </c>
      <c r="AB917" s="37" t="str">
        <f>IF(NOTA[[#This Row],[JUMLAH]]="","",NOTA[[#This Row],[DISC 1-]]+NOTA[[#This Row],[DISC 2-]]+NOTA[[#This Row],[DISC 3-]])</f>
        <v/>
      </c>
      <c r="AC917" s="37" t="str">
        <f>IF(NOTA[[#This Row],[JUMLAH]]="","",NOTA[[#This Row],[JUMLAH]]-NOTA[[#This Row],[DISC]])</f>
        <v/>
      </c>
      <c r="AD917" s="37"/>
      <c r="AE9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7" s="37" t="str">
        <f>IF(OR(NOTA[[#This Row],[QTY]]="",NOTA[[#This Row],[HARGA SATUAN]]="",),"",NOTA[[#This Row],[QTY]]*NOTA[[#This Row],[HARGA SATUAN]])</f>
        <v/>
      </c>
      <c r="AI917" s="26" t="str">
        <f ca="1">IF(NOTA[[#This Row],[ID_H]]="","",INDEX(NOTA[TANGGAL],MATCH(,INDIRECT(ADDRESS(ROW(NOTA[TANGGAL]),COLUMN(NOTA[TANGGAL]))&amp;":"&amp;ADDRESS(ROW(),COLUMN(NOTA[TANGGAL]))),-1)))</f>
        <v/>
      </c>
      <c r="AJ917" s="26" t="str">
        <f ca="1">IF(NOTA[[#This Row],[ID_H]]="","",INDEX(NOTA[TGL.NOTA],MATCH(,INDIRECT(ADDRESS(ROW(NOTA[TGL.NOTA]),COLUMN(NOTA[TGL.NOTA]))&amp;":"&amp;ADDRESS(ROW(),COLUMN(NOTA[TGL.NOTA]))),-1)))</f>
        <v/>
      </c>
      <c r="AK917" s="26" t="str">
        <f ca="1">IF(NOTA[[#This Row],[ID_H]]="","",INDEX(NOTA[NO.NOTA],MATCH(NOTA[[#This Row],[ID_H]],NOTA[ID_H],0)))</f>
        <v/>
      </c>
      <c r="AL917" s="28" t="str">
        <f ca="1">IF(NOTA[[#This Row],[NAMA BARANG]]="","",INDEX(NOTA[SUPPLIER],MATCH(,INDIRECT(ADDRESS(ROW(NOTA[ID]),COLUMN(NOTA[ID]))&amp;":"&amp;ADDRESS(ROW(),COLUMN(NOTA[ID]))),-1)))</f>
        <v/>
      </c>
      <c r="AM917" s="28" t="str">
        <f ca="1">IF(NOTA[[#This Row],[ID_H]]="","",IF(NOTA[[#This Row],[FAKTUR]]="",INDIRECT(ADDRESS(ROW()-1,COLUMN())),NOTA[[#This Row],[FAKTUR]]))</f>
        <v/>
      </c>
      <c r="AN917" s="25" t="str">
        <f ca="1">IF(NOTA[[#This Row],[ID]]="","",COUNTIF(NOTA[ID_H],NOTA[[#This Row],[ID_H]]))</f>
        <v/>
      </c>
      <c r="AO917" s="25" t="str">
        <f ca="1">IF(NOTA[[#This Row],[TGL.NOTA]]="",IF(NOTA[[#This Row],[SUPPLIER_H]]="","",AO916),MONTH(NOTA[[#This Row],[TGL.NOTA]]))</f>
        <v/>
      </c>
      <c r="AP9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7" s="25"/>
      <c r="AU917" s="25" t="str">
        <f>IF(NOTA[[#This Row],[CONCAT1]]="","",MATCH(NOTA[[#This Row],[CONCAT1]],[3]!db[NB NOTA_C],0))</f>
        <v/>
      </c>
      <c r="AV917" s="25" t="str">
        <f>IF(NOTA[[#This Row],[QTY/ CTN]]="","",TRUE)</f>
        <v/>
      </c>
      <c r="AW917" s="25" t="str">
        <f ca="1">IF(NOTA[[#This Row],[ID_H]]="","",IF(NOTA[[#This Row],[Column3]]=TRUE,NOTA[[#This Row],[QTY/ CTN]],INDEX([3]!db[QTY/ CTN],NOTA[[#This Row],[//DB]])))</f>
        <v/>
      </c>
      <c r="AX9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7" s="25" t="str">
        <f ca="1">IF(NOTA[[#This Row],[ID_H]]="","",MATCH(NOTA[[#This Row],[NB NOTA_C_QTY]],[3]!db[NB NOTA_C_QTY+F],0))</f>
        <v/>
      </c>
      <c r="AZ917" s="38" t="str">
        <f ca="1">IF(NOTA[[#This Row],[NB NOTA_C_QTY]]="","",ROW()-2)</f>
        <v/>
      </c>
    </row>
    <row r="918" spans="1:52" ht="20.100000000000001" customHeight="1">
      <c r="A9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8" s="25" t="str">
        <f ca="1">IF(NOTA[[#This Row],[NAMA BARANG]]="","",INDEX(NOTA[ID],MATCH(,INDIRECT(ADDRESS(ROW(NOTA[ID]),COLUMN(NOTA[ID]))&amp;":"&amp;ADDRESS(ROW(),COLUMN(NOTA[ID]))),-1)))</f>
        <v/>
      </c>
      <c r="E918" s="33"/>
      <c r="H918" s="34"/>
      <c r="Q918" s="29"/>
      <c r="R918" s="35"/>
      <c r="S918" s="36"/>
      <c r="V918" s="37"/>
      <c r="W918" s="32"/>
      <c r="X918" s="37" t="str">
        <f>IF(NOTA[[#This Row],[HARGA/ CTN]]="",NOTA[[#This Row],[JUMLAH_H]],NOTA[[#This Row],[HARGA/ CTN]]*IF(NOTA[[#This Row],[C]]="",0,NOTA[[#This Row],[C]]))</f>
        <v/>
      </c>
      <c r="Y918" s="37" t="str">
        <f>IF(NOTA[[#This Row],[JUMLAH]]="","",NOTA[[#This Row],[JUMLAH]]*NOTA[[#This Row],[DISC 1]])</f>
        <v/>
      </c>
      <c r="Z918" s="37" t="str">
        <f>IF(NOTA[[#This Row],[JUMLAH]]="","",(NOTA[[#This Row],[JUMLAH]]-NOTA[[#This Row],[DISC 1-]])*NOTA[[#This Row],[DISC 2]])</f>
        <v/>
      </c>
      <c r="AA918" s="37" t="str">
        <f>IF(NOTA[[#This Row],[JUMLAH]]="","",(NOTA[[#This Row],[JUMLAH]]-NOTA[[#This Row],[DISC 1-]]-NOTA[[#This Row],[DISC 2-]])*NOTA[[#This Row],[DISC 3]])</f>
        <v/>
      </c>
      <c r="AB918" s="37" t="str">
        <f>IF(NOTA[[#This Row],[JUMLAH]]="","",NOTA[[#This Row],[DISC 1-]]+NOTA[[#This Row],[DISC 2-]]+NOTA[[#This Row],[DISC 3-]])</f>
        <v/>
      </c>
      <c r="AC918" s="37" t="str">
        <f>IF(NOTA[[#This Row],[JUMLAH]]="","",NOTA[[#This Row],[JUMLAH]]-NOTA[[#This Row],[DISC]])</f>
        <v/>
      </c>
      <c r="AD918" s="37"/>
      <c r="AE9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8" s="37" t="str">
        <f>IF(OR(NOTA[[#This Row],[QTY]]="",NOTA[[#This Row],[HARGA SATUAN]]="",),"",NOTA[[#This Row],[QTY]]*NOTA[[#This Row],[HARGA SATUAN]])</f>
        <v/>
      </c>
      <c r="AI918" s="26" t="str">
        <f ca="1">IF(NOTA[[#This Row],[ID_H]]="","",INDEX(NOTA[TANGGAL],MATCH(,INDIRECT(ADDRESS(ROW(NOTA[TANGGAL]),COLUMN(NOTA[TANGGAL]))&amp;":"&amp;ADDRESS(ROW(),COLUMN(NOTA[TANGGAL]))),-1)))</f>
        <v/>
      </c>
      <c r="AJ918" s="26" t="str">
        <f ca="1">IF(NOTA[[#This Row],[ID_H]]="","",INDEX(NOTA[TGL.NOTA],MATCH(,INDIRECT(ADDRESS(ROW(NOTA[TGL.NOTA]),COLUMN(NOTA[TGL.NOTA]))&amp;":"&amp;ADDRESS(ROW(),COLUMN(NOTA[TGL.NOTA]))),-1)))</f>
        <v/>
      </c>
      <c r="AK918" s="26" t="str">
        <f ca="1">IF(NOTA[[#This Row],[ID_H]]="","",INDEX(NOTA[NO.NOTA],MATCH(NOTA[[#This Row],[ID_H]],NOTA[ID_H],0)))</f>
        <v/>
      </c>
      <c r="AL918" s="28" t="str">
        <f ca="1">IF(NOTA[[#This Row],[NAMA BARANG]]="","",INDEX(NOTA[SUPPLIER],MATCH(,INDIRECT(ADDRESS(ROW(NOTA[ID]),COLUMN(NOTA[ID]))&amp;":"&amp;ADDRESS(ROW(),COLUMN(NOTA[ID]))),-1)))</f>
        <v/>
      </c>
      <c r="AM918" s="28" t="str">
        <f ca="1">IF(NOTA[[#This Row],[ID_H]]="","",IF(NOTA[[#This Row],[FAKTUR]]="",INDIRECT(ADDRESS(ROW()-1,COLUMN())),NOTA[[#This Row],[FAKTUR]]))</f>
        <v/>
      </c>
      <c r="AN918" s="25" t="str">
        <f ca="1">IF(NOTA[[#This Row],[ID]]="","",COUNTIF(NOTA[ID_H],NOTA[[#This Row],[ID_H]]))</f>
        <v/>
      </c>
      <c r="AO918" s="25" t="str">
        <f ca="1">IF(NOTA[[#This Row],[TGL.NOTA]]="",IF(NOTA[[#This Row],[SUPPLIER_H]]="","",AO917),MONTH(NOTA[[#This Row],[TGL.NOTA]]))</f>
        <v/>
      </c>
      <c r="AP9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8" s="25"/>
      <c r="AU918" s="25" t="str">
        <f>IF(NOTA[[#This Row],[CONCAT1]]="","",MATCH(NOTA[[#This Row],[CONCAT1]],[3]!db[NB NOTA_C],0))</f>
        <v/>
      </c>
      <c r="AV918" s="25" t="str">
        <f>IF(NOTA[[#This Row],[QTY/ CTN]]="","",TRUE)</f>
        <v/>
      </c>
      <c r="AW918" s="25" t="str">
        <f ca="1">IF(NOTA[[#This Row],[ID_H]]="","",IF(NOTA[[#This Row],[Column3]]=TRUE,NOTA[[#This Row],[QTY/ CTN]],INDEX([3]!db[QTY/ CTN],NOTA[[#This Row],[//DB]])))</f>
        <v/>
      </c>
      <c r="AX9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8" s="25" t="str">
        <f ca="1">IF(NOTA[[#This Row],[ID_H]]="","",MATCH(NOTA[[#This Row],[NB NOTA_C_QTY]],[3]!db[NB NOTA_C_QTY+F],0))</f>
        <v/>
      </c>
      <c r="AZ918" s="38" t="str">
        <f ca="1">IF(NOTA[[#This Row],[NB NOTA_C_QTY]]="","",ROW()-2)</f>
        <v/>
      </c>
    </row>
    <row r="919" spans="1:52" ht="20.100000000000001" customHeight="1">
      <c r="A9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9" s="25" t="str">
        <f ca="1">IF(NOTA[[#This Row],[NAMA BARANG]]="","",INDEX(NOTA[ID],MATCH(,INDIRECT(ADDRESS(ROW(NOTA[ID]),COLUMN(NOTA[ID]))&amp;":"&amp;ADDRESS(ROW(),COLUMN(NOTA[ID]))),-1)))</f>
        <v/>
      </c>
      <c r="E919" s="33"/>
      <c r="H919" s="34"/>
      <c r="Q919" s="29"/>
      <c r="R919" s="35"/>
      <c r="S919" s="36"/>
      <c r="V919" s="37"/>
      <c r="W919" s="32"/>
      <c r="X919" s="37" t="str">
        <f>IF(NOTA[[#This Row],[HARGA/ CTN]]="",NOTA[[#This Row],[JUMLAH_H]],NOTA[[#This Row],[HARGA/ CTN]]*IF(NOTA[[#This Row],[C]]="",0,NOTA[[#This Row],[C]]))</f>
        <v/>
      </c>
      <c r="Y919" s="37" t="str">
        <f>IF(NOTA[[#This Row],[JUMLAH]]="","",NOTA[[#This Row],[JUMLAH]]*NOTA[[#This Row],[DISC 1]])</f>
        <v/>
      </c>
      <c r="Z919" s="37" t="str">
        <f>IF(NOTA[[#This Row],[JUMLAH]]="","",(NOTA[[#This Row],[JUMLAH]]-NOTA[[#This Row],[DISC 1-]])*NOTA[[#This Row],[DISC 2]])</f>
        <v/>
      </c>
      <c r="AA919" s="37" t="str">
        <f>IF(NOTA[[#This Row],[JUMLAH]]="","",(NOTA[[#This Row],[JUMLAH]]-NOTA[[#This Row],[DISC 1-]]-NOTA[[#This Row],[DISC 2-]])*NOTA[[#This Row],[DISC 3]])</f>
        <v/>
      </c>
      <c r="AB919" s="37" t="str">
        <f>IF(NOTA[[#This Row],[JUMLAH]]="","",NOTA[[#This Row],[DISC 1-]]+NOTA[[#This Row],[DISC 2-]]+NOTA[[#This Row],[DISC 3-]])</f>
        <v/>
      </c>
      <c r="AC919" s="37" t="str">
        <f>IF(NOTA[[#This Row],[JUMLAH]]="","",NOTA[[#This Row],[JUMLAH]]-NOTA[[#This Row],[DISC]])</f>
        <v/>
      </c>
      <c r="AD919" s="37"/>
      <c r="AE9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9" s="37" t="str">
        <f>IF(OR(NOTA[[#This Row],[QTY]]="",NOTA[[#This Row],[HARGA SATUAN]]="",),"",NOTA[[#This Row],[QTY]]*NOTA[[#This Row],[HARGA SATUAN]])</f>
        <v/>
      </c>
      <c r="AI919" s="26" t="str">
        <f ca="1">IF(NOTA[[#This Row],[ID_H]]="","",INDEX(NOTA[TANGGAL],MATCH(,INDIRECT(ADDRESS(ROW(NOTA[TANGGAL]),COLUMN(NOTA[TANGGAL]))&amp;":"&amp;ADDRESS(ROW(),COLUMN(NOTA[TANGGAL]))),-1)))</f>
        <v/>
      </c>
      <c r="AJ919" s="26" t="str">
        <f ca="1">IF(NOTA[[#This Row],[ID_H]]="","",INDEX(NOTA[TGL.NOTA],MATCH(,INDIRECT(ADDRESS(ROW(NOTA[TGL.NOTA]),COLUMN(NOTA[TGL.NOTA]))&amp;":"&amp;ADDRESS(ROW(),COLUMN(NOTA[TGL.NOTA]))),-1)))</f>
        <v/>
      </c>
      <c r="AK919" s="26" t="str">
        <f ca="1">IF(NOTA[[#This Row],[ID_H]]="","",INDEX(NOTA[NO.NOTA],MATCH(NOTA[[#This Row],[ID_H]],NOTA[ID_H],0)))</f>
        <v/>
      </c>
      <c r="AL919" s="28" t="str">
        <f ca="1">IF(NOTA[[#This Row],[NAMA BARANG]]="","",INDEX(NOTA[SUPPLIER],MATCH(,INDIRECT(ADDRESS(ROW(NOTA[ID]),COLUMN(NOTA[ID]))&amp;":"&amp;ADDRESS(ROW(),COLUMN(NOTA[ID]))),-1)))</f>
        <v/>
      </c>
      <c r="AM919" s="28" t="str">
        <f ca="1">IF(NOTA[[#This Row],[ID_H]]="","",IF(NOTA[[#This Row],[FAKTUR]]="",INDIRECT(ADDRESS(ROW()-1,COLUMN())),NOTA[[#This Row],[FAKTUR]]))</f>
        <v/>
      </c>
      <c r="AN919" s="25" t="str">
        <f ca="1">IF(NOTA[[#This Row],[ID]]="","",COUNTIF(NOTA[ID_H],NOTA[[#This Row],[ID_H]]))</f>
        <v/>
      </c>
      <c r="AO919" s="25" t="str">
        <f ca="1">IF(NOTA[[#This Row],[TGL.NOTA]]="",IF(NOTA[[#This Row],[SUPPLIER_H]]="","",AO918),MONTH(NOTA[[#This Row],[TGL.NOTA]]))</f>
        <v/>
      </c>
      <c r="AP9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9" s="25"/>
      <c r="AU919" s="25" t="str">
        <f>IF(NOTA[[#This Row],[CONCAT1]]="","",MATCH(NOTA[[#This Row],[CONCAT1]],[3]!db[NB NOTA_C],0))</f>
        <v/>
      </c>
      <c r="AV919" s="25" t="str">
        <f>IF(NOTA[[#This Row],[QTY/ CTN]]="","",TRUE)</f>
        <v/>
      </c>
      <c r="AW919" s="25" t="str">
        <f ca="1">IF(NOTA[[#This Row],[ID_H]]="","",IF(NOTA[[#This Row],[Column3]]=TRUE,NOTA[[#This Row],[QTY/ CTN]],INDEX([3]!db[QTY/ CTN],NOTA[[#This Row],[//DB]])))</f>
        <v/>
      </c>
      <c r="AX9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9" s="25" t="str">
        <f ca="1">IF(NOTA[[#This Row],[ID_H]]="","",MATCH(NOTA[[#This Row],[NB NOTA_C_QTY]],[3]!db[NB NOTA_C_QTY+F],0))</f>
        <v/>
      </c>
      <c r="AZ919" s="38" t="str">
        <f ca="1">IF(NOTA[[#This Row],[NB NOTA_C_QTY]]="","",ROW()-2)</f>
        <v/>
      </c>
    </row>
    <row r="920" spans="1:52" ht="20.100000000000001" customHeight="1">
      <c r="A9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0" s="25" t="str">
        <f ca="1">IF(NOTA[[#This Row],[NAMA BARANG]]="","",INDEX(NOTA[ID],MATCH(,INDIRECT(ADDRESS(ROW(NOTA[ID]),COLUMN(NOTA[ID]))&amp;":"&amp;ADDRESS(ROW(),COLUMN(NOTA[ID]))),-1)))</f>
        <v/>
      </c>
      <c r="E920" s="33"/>
      <c r="H920" s="34"/>
      <c r="Q920" s="29"/>
      <c r="R920" s="35"/>
      <c r="S920" s="36"/>
      <c r="V920" s="37"/>
      <c r="W920" s="32"/>
      <c r="X920" s="37" t="str">
        <f>IF(NOTA[[#This Row],[HARGA/ CTN]]="",NOTA[[#This Row],[JUMLAH_H]],NOTA[[#This Row],[HARGA/ CTN]]*IF(NOTA[[#This Row],[C]]="",0,NOTA[[#This Row],[C]]))</f>
        <v/>
      </c>
      <c r="Y920" s="37" t="str">
        <f>IF(NOTA[[#This Row],[JUMLAH]]="","",NOTA[[#This Row],[JUMLAH]]*NOTA[[#This Row],[DISC 1]])</f>
        <v/>
      </c>
      <c r="Z920" s="37" t="str">
        <f>IF(NOTA[[#This Row],[JUMLAH]]="","",(NOTA[[#This Row],[JUMLAH]]-NOTA[[#This Row],[DISC 1-]])*NOTA[[#This Row],[DISC 2]])</f>
        <v/>
      </c>
      <c r="AA920" s="37" t="str">
        <f>IF(NOTA[[#This Row],[JUMLAH]]="","",(NOTA[[#This Row],[JUMLAH]]-NOTA[[#This Row],[DISC 1-]]-NOTA[[#This Row],[DISC 2-]])*NOTA[[#This Row],[DISC 3]])</f>
        <v/>
      </c>
      <c r="AB920" s="37" t="str">
        <f>IF(NOTA[[#This Row],[JUMLAH]]="","",NOTA[[#This Row],[DISC 1-]]+NOTA[[#This Row],[DISC 2-]]+NOTA[[#This Row],[DISC 3-]])</f>
        <v/>
      </c>
      <c r="AC920" s="37" t="str">
        <f>IF(NOTA[[#This Row],[JUMLAH]]="","",NOTA[[#This Row],[JUMLAH]]-NOTA[[#This Row],[DISC]])</f>
        <v/>
      </c>
      <c r="AD920" s="37"/>
      <c r="AE9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0" s="37" t="str">
        <f>IF(OR(NOTA[[#This Row],[QTY]]="",NOTA[[#This Row],[HARGA SATUAN]]="",),"",NOTA[[#This Row],[QTY]]*NOTA[[#This Row],[HARGA SATUAN]])</f>
        <v/>
      </c>
      <c r="AI920" s="26" t="str">
        <f ca="1">IF(NOTA[[#This Row],[ID_H]]="","",INDEX(NOTA[TANGGAL],MATCH(,INDIRECT(ADDRESS(ROW(NOTA[TANGGAL]),COLUMN(NOTA[TANGGAL]))&amp;":"&amp;ADDRESS(ROW(),COLUMN(NOTA[TANGGAL]))),-1)))</f>
        <v/>
      </c>
      <c r="AJ920" s="26" t="str">
        <f ca="1">IF(NOTA[[#This Row],[ID_H]]="","",INDEX(NOTA[TGL.NOTA],MATCH(,INDIRECT(ADDRESS(ROW(NOTA[TGL.NOTA]),COLUMN(NOTA[TGL.NOTA]))&amp;":"&amp;ADDRESS(ROW(),COLUMN(NOTA[TGL.NOTA]))),-1)))</f>
        <v/>
      </c>
      <c r="AK920" s="26" t="str">
        <f ca="1">IF(NOTA[[#This Row],[ID_H]]="","",INDEX(NOTA[NO.NOTA],MATCH(NOTA[[#This Row],[ID_H]],NOTA[ID_H],0)))</f>
        <v/>
      </c>
      <c r="AL920" s="28" t="str">
        <f ca="1">IF(NOTA[[#This Row],[NAMA BARANG]]="","",INDEX(NOTA[SUPPLIER],MATCH(,INDIRECT(ADDRESS(ROW(NOTA[ID]),COLUMN(NOTA[ID]))&amp;":"&amp;ADDRESS(ROW(),COLUMN(NOTA[ID]))),-1)))</f>
        <v/>
      </c>
      <c r="AM920" s="28" t="str">
        <f ca="1">IF(NOTA[[#This Row],[ID_H]]="","",IF(NOTA[[#This Row],[FAKTUR]]="",INDIRECT(ADDRESS(ROW()-1,COLUMN())),NOTA[[#This Row],[FAKTUR]]))</f>
        <v/>
      </c>
      <c r="AN920" s="25" t="str">
        <f ca="1">IF(NOTA[[#This Row],[ID]]="","",COUNTIF(NOTA[ID_H],NOTA[[#This Row],[ID_H]]))</f>
        <v/>
      </c>
      <c r="AO920" s="25" t="str">
        <f ca="1">IF(NOTA[[#This Row],[TGL.NOTA]]="",IF(NOTA[[#This Row],[SUPPLIER_H]]="","",AO919),MONTH(NOTA[[#This Row],[TGL.NOTA]]))</f>
        <v/>
      </c>
      <c r="AP9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0" s="25"/>
      <c r="AU920" s="25" t="str">
        <f>IF(NOTA[[#This Row],[CONCAT1]]="","",MATCH(NOTA[[#This Row],[CONCAT1]],[3]!db[NB NOTA_C],0))</f>
        <v/>
      </c>
      <c r="AV920" s="25" t="str">
        <f>IF(NOTA[[#This Row],[QTY/ CTN]]="","",TRUE)</f>
        <v/>
      </c>
      <c r="AW920" s="25" t="str">
        <f ca="1">IF(NOTA[[#This Row],[ID_H]]="","",IF(NOTA[[#This Row],[Column3]]=TRUE,NOTA[[#This Row],[QTY/ CTN]],INDEX([3]!db[QTY/ CTN],NOTA[[#This Row],[//DB]])))</f>
        <v/>
      </c>
      <c r="AX9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0" s="25" t="str">
        <f ca="1">IF(NOTA[[#This Row],[ID_H]]="","",MATCH(NOTA[[#This Row],[NB NOTA_C_QTY]],[3]!db[NB NOTA_C_QTY+F],0))</f>
        <v/>
      </c>
      <c r="AZ920" s="38" t="str">
        <f ca="1">IF(NOTA[[#This Row],[NB NOTA_C_QTY]]="","",ROW()-2)</f>
        <v/>
      </c>
    </row>
    <row r="921" spans="1:52" ht="20.100000000000001" customHeight="1">
      <c r="A9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1" s="25" t="str">
        <f ca="1">IF(NOTA[[#This Row],[NAMA BARANG]]="","",INDEX(NOTA[ID],MATCH(,INDIRECT(ADDRESS(ROW(NOTA[ID]),COLUMN(NOTA[ID]))&amp;":"&amp;ADDRESS(ROW(),COLUMN(NOTA[ID]))),-1)))</f>
        <v/>
      </c>
      <c r="E921" s="33"/>
      <c r="H921" s="34"/>
      <c r="Q921" s="29"/>
      <c r="R921" s="35"/>
      <c r="S921" s="36"/>
      <c r="V921" s="37"/>
      <c r="W921" s="32"/>
      <c r="X921" s="37" t="str">
        <f>IF(NOTA[[#This Row],[HARGA/ CTN]]="",NOTA[[#This Row],[JUMLAH_H]],NOTA[[#This Row],[HARGA/ CTN]]*IF(NOTA[[#This Row],[C]]="",0,NOTA[[#This Row],[C]]))</f>
        <v/>
      </c>
      <c r="Y921" s="37" t="str">
        <f>IF(NOTA[[#This Row],[JUMLAH]]="","",NOTA[[#This Row],[JUMLAH]]*NOTA[[#This Row],[DISC 1]])</f>
        <v/>
      </c>
      <c r="Z921" s="37" t="str">
        <f>IF(NOTA[[#This Row],[JUMLAH]]="","",(NOTA[[#This Row],[JUMLAH]]-NOTA[[#This Row],[DISC 1-]])*NOTA[[#This Row],[DISC 2]])</f>
        <v/>
      </c>
      <c r="AA921" s="37" t="str">
        <f>IF(NOTA[[#This Row],[JUMLAH]]="","",(NOTA[[#This Row],[JUMLAH]]-NOTA[[#This Row],[DISC 1-]]-NOTA[[#This Row],[DISC 2-]])*NOTA[[#This Row],[DISC 3]])</f>
        <v/>
      </c>
      <c r="AB921" s="37" t="str">
        <f>IF(NOTA[[#This Row],[JUMLAH]]="","",NOTA[[#This Row],[DISC 1-]]+NOTA[[#This Row],[DISC 2-]]+NOTA[[#This Row],[DISC 3-]])</f>
        <v/>
      </c>
      <c r="AC921" s="37" t="str">
        <f>IF(NOTA[[#This Row],[JUMLAH]]="","",NOTA[[#This Row],[JUMLAH]]-NOTA[[#This Row],[DISC]])</f>
        <v/>
      </c>
      <c r="AD921" s="37"/>
      <c r="AE9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1" s="37" t="str">
        <f>IF(OR(NOTA[[#This Row],[QTY]]="",NOTA[[#This Row],[HARGA SATUAN]]="",),"",NOTA[[#This Row],[QTY]]*NOTA[[#This Row],[HARGA SATUAN]])</f>
        <v/>
      </c>
      <c r="AI921" s="26" t="str">
        <f ca="1">IF(NOTA[[#This Row],[ID_H]]="","",INDEX(NOTA[TANGGAL],MATCH(,INDIRECT(ADDRESS(ROW(NOTA[TANGGAL]),COLUMN(NOTA[TANGGAL]))&amp;":"&amp;ADDRESS(ROW(),COLUMN(NOTA[TANGGAL]))),-1)))</f>
        <v/>
      </c>
      <c r="AJ921" s="26" t="str">
        <f ca="1">IF(NOTA[[#This Row],[ID_H]]="","",INDEX(NOTA[TGL.NOTA],MATCH(,INDIRECT(ADDRESS(ROW(NOTA[TGL.NOTA]),COLUMN(NOTA[TGL.NOTA]))&amp;":"&amp;ADDRESS(ROW(),COLUMN(NOTA[TGL.NOTA]))),-1)))</f>
        <v/>
      </c>
      <c r="AK921" s="26" t="str">
        <f ca="1">IF(NOTA[[#This Row],[ID_H]]="","",INDEX(NOTA[NO.NOTA],MATCH(NOTA[[#This Row],[ID_H]],NOTA[ID_H],0)))</f>
        <v/>
      </c>
      <c r="AL921" s="28" t="str">
        <f ca="1">IF(NOTA[[#This Row],[NAMA BARANG]]="","",INDEX(NOTA[SUPPLIER],MATCH(,INDIRECT(ADDRESS(ROW(NOTA[ID]),COLUMN(NOTA[ID]))&amp;":"&amp;ADDRESS(ROW(),COLUMN(NOTA[ID]))),-1)))</f>
        <v/>
      </c>
      <c r="AM921" s="28" t="str">
        <f ca="1">IF(NOTA[[#This Row],[ID_H]]="","",IF(NOTA[[#This Row],[FAKTUR]]="",INDIRECT(ADDRESS(ROW()-1,COLUMN())),NOTA[[#This Row],[FAKTUR]]))</f>
        <v/>
      </c>
      <c r="AN921" s="25" t="str">
        <f ca="1">IF(NOTA[[#This Row],[ID]]="","",COUNTIF(NOTA[ID_H],NOTA[[#This Row],[ID_H]]))</f>
        <v/>
      </c>
      <c r="AO921" s="25" t="str">
        <f ca="1">IF(NOTA[[#This Row],[TGL.NOTA]]="",IF(NOTA[[#This Row],[SUPPLIER_H]]="","",AO920),MONTH(NOTA[[#This Row],[TGL.NOTA]]))</f>
        <v/>
      </c>
      <c r="AP9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1" s="25"/>
      <c r="AU921" s="25" t="str">
        <f>IF(NOTA[[#This Row],[CONCAT1]]="","",MATCH(NOTA[[#This Row],[CONCAT1]],[3]!db[NB NOTA_C],0))</f>
        <v/>
      </c>
      <c r="AV921" s="25" t="str">
        <f>IF(NOTA[[#This Row],[QTY/ CTN]]="","",TRUE)</f>
        <v/>
      </c>
      <c r="AW921" s="25" t="str">
        <f ca="1">IF(NOTA[[#This Row],[ID_H]]="","",IF(NOTA[[#This Row],[Column3]]=TRUE,NOTA[[#This Row],[QTY/ CTN]],INDEX([3]!db[QTY/ CTN],NOTA[[#This Row],[//DB]])))</f>
        <v/>
      </c>
      <c r="AX9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1" s="25" t="str">
        <f ca="1">IF(NOTA[[#This Row],[ID_H]]="","",MATCH(NOTA[[#This Row],[NB NOTA_C_QTY]],[3]!db[NB NOTA_C_QTY+F],0))</f>
        <v/>
      </c>
      <c r="AZ921" s="38" t="str">
        <f ca="1">IF(NOTA[[#This Row],[NB NOTA_C_QTY]]="","",ROW()-2)</f>
        <v/>
      </c>
    </row>
    <row r="922" spans="1:52" ht="20.100000000000001" customHeight="1">
      <c r="A9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2" s="25" t="str">
        <f ca="1">IF(NOTA[[#This Row],[NAMA BARANG]]="","",INDEX(NOTA[ID],MATCH(,INDIRECT(ADDRESS(ROW(NOTA[ID]),COLUMN(NOTA[ID]))&amp;":"&amp;ADDRESS(ROW(),COLUMN(NOTA[ID]))),-1)))</f>
        <v/>
      </c>
      <c r="E922" s="33"/>
      <c r="H922" s="34"/>
      <c r="Q922" s="29"/>
      <c r="R922" s="35"/>
      <c r="S922" s="36"/>
      <c r="V922" s="37"/>
      <c r="W922" s="32"/>
      <c r="X922" s="37" t="str">
        <f>IF(NOTA[[#This Row],[HARGA/ CTN]]="",NOTA[[#This Row],[JUMLAH_H]],NOTA[[#This Row],[HARGA/ CTN]]*IF(NOTA[[#This Row],[C]]="",0,NOTA[[#This Row],[C]]))</f>
        <v/>
      </c>
      <c r="Y922" s="37" t="str">
        <f>IF(NOTA[[#This Row],[JUMLAH]]="","",NOTA[[#This Row],[JUMLAH]]*NOTA[[#This Row],[DISC 1]])</f>
        <v/>
      </c>
      <c r="Z922" s="37" t="str">
        <f>IF(NOTA[[#This Row],[JUMLAH]]="","",(NOTA[[#This Row],[JUMLAH]]-NOTA[[#This Row],[DISC 1-]])*NOTA[[#This Row],[DISC 2]])</f>
        <v/>
      </c>
      <c r="AA922" s="37" t="str">
        <f>IF(NOTA[[#This Row],[JUMLAH]]="","",(NOTA[[#This Row],[JUMLAH]]-NOTA[[#This Row],[DISC 1-]]-NOTA[[#This Row],[DISC 2-]])*NOTA[[#This Row],[DISC 3]])</f>
        <v/>
      </c>
      <c r="AB922" s="37" t="str">
        <f>IF(NOTA[[#This Row],[JUMLAH]]="","",NOTA[[#This Row],[DISC 1-]]+NOTA[[#This Row],[DISC 2-]]+NOTA[[#This Row],[DISC 3-]])</f>
        <v/>
      </c>
      <c r="AC922" s="37" t="str">
        <f>IF(NOTA[[#This Row],[JUMLAH]]="","",NOTA[[#This Row],[JUMLAH]]-NOTA[[#This Row],[DISC]])</f>
        <v/>
      </c>
      <c r="AD922" s="37"/>
      <c r="AE9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2" s="37" t="str">
        <f>IF(OR(NOTA[[#This Row],[QTY]]="",NOTA[[#This Row],[HARGA SATUAN]]="",),"",NOTA[[#This Row],[QTY]]*NOTA[[#This Row],[HARGA SATUAN]])</f>
        <v/>
      </c>
      <c r="AI922" s="26" t="str">
        <f ca="1">IF(NOTA[[#This Row],[ID_H]]="","",INDEX(NOTA[TANGGAL],MATCH(,INDIRECT(ADDRESS(ROW(NOTA[TANGGAL]),COLUMN(NOTA[TANGGAL]))&amp;":"&amp;ADDRESS(ROW(),COLUMN(NOTA[TANGGAL]))),-1)))</f>
        <v/>
      </c>
      <c r="AJ922" s="26" t="str">
        <f ca="1">IF(NOTA[[#This Row],[ID_H]]="","",INDEX(NOTA[TGL.NOTA],MATCH(,INDIRECT(ADDRESS(ROW(NOTA[TGL.NOTA]),COLUMN(NOTA[TGL.NOTA]))&amp;":"&amp;ADDRESS(ROW(),COLUMN(NOTA[TGL.NOTA]))),-1)))</f>
        <v/>
      </c>
      <c r="AK922" s="26" t="str">
        <f ca="1">IF(NOTA[[#This Row],[ID_H]]="","",INDEX(NOTA[NO.NOTA],MATCH(NOTA[[#This Row],[ID_H]],NOTA[ID_H],0)))</f>
        <v/>
      </c>
      <c r="AL922" s="28" t="str">
        <f ca="1">IF(NOTA[[#This Row],[NAMA BARANG]]="","",INDEX(NOTA[SUPPLIER],MATCH(,INDIRECT(ADDRESS(ROW(NOTA[ID]),COLUMN(NOTA[ID]))&amp;":"&amp;ADDRESS(ROW(),COLUMN(NOTA[ID]))),-1)))</f>
        <v/>
      </c>
      <c r="AM922" s="28" t="str">
        <f ca="1">IF(NOTA[[#This Row],[ID_H]]="","",IF(NOTA[[#This Row],[FAKTUR]]="",INDIRECT(ADDRESS(ROW()-1,COLUMN())),NOTA[[#This Row],[FAKTUR]]))</f>
        <v/>
      </c>
      <c r="AN922" s="25" t="str">
        <f ca="1">IF(NOTA[[#This Row],[ID]]="","",COUNTIF(NOTA[ID_H],NOTA[[#This Row],[ID_H]]))</f>
        <v/>
      </c>
      <c r="AO922" s="25" t="str">
        <f ca="1">IF(NOTA[[#This Row],[TGL.NOTA]]="",IF(NOTA[[#This Row],[SUPPLIER_H]]="","",AO921),MONTH(NOTA[[#This Row],[TGL.NOTA]]))</f>
        <v/>
      </c>
      <c r="AP9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2" s="25"/>
      <c r="AU922" s="25" t="str">
        <f>IF(NOTA[[#This Row],[CONCAT1]]="","",MATCH(NOTA[[#This Row],[CONCAT1]],[3]!db[NB NOTA_C],0))</f>
        <v/>
      </c>
      <c r="AV922" s="25" t="str">
        <f>IF(NOTA[[#This Row],[QTY/ CTN]]="","",TRUE)</f>
        <v/>
      </c>
      <c r="AW922" s="25" t="str">
        <f ca="1">IF(NOTA[[#This Row],[ID_H]]="","",IF(NOTA[[#This Row],[Column3]]=TRUE,NOTA[[#This Row],[QTY/ CTN]],INDEX([3]!db[QTY/ CTN],NOTA[[#This Row],[//DB]])))</f>
        <v/>
      </c>
      <c r="AX9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2" s="25" t="str">
        <f ca="1">IF(NOTA[[#This Row],[ID_H]]="","",MATCH(NOTA[[#This Row],[NB NOTA_C_QTY]],[3]!db[NB NOTA_C_QTY+F],0))</f>
        <v/>
      </c>
      <c r="AZ922" s="38" t="str">
        <f ca="1">IF(NOTA[[#This Row],[NB NOTA_C_QTY]]="","",ROW()-2)</f>
        <v/>
      </c>
    </row>
    <row r="923" spans="1:52" ht="20.100000000000001" customHeight="1">
      <c r="A9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3" s="25" t="str">
        <f ca="1">IF(NOTA[[#This Row],[NAMA BARANG]]="","",INDEX(NOTA[ID],MATCH(,INDIRECT(ADDRESS(ROW(NOTA[ID]),COLUMN(NOTA[ID]))&amp;":"&amp;ADDRESS(ROW(),COLUMN(NOTA[ID]))),-1)))</f>
        <v/>
      </c>
      <c r="E923" s="33"/>
      <c r="H923" s="34"/>
      <c r="Q923" s="29"/>
      <c r="R923" s="35"/>
      <c r="S923" s="36"/>
      <c r="V923" s="37"/>
      <c r="W923" s="32"/>
      <c r="X923" s="37" t="str">
        <f>IF(NOTA[[#This Row],[HARGA/ CTN]]="",NOTA[[#This Row],[JUMLAH_H]],NOTA[[#This Row],[HARGA/ CTN]]*IF(NOTA[[#This Row],[C]]="",0,NOTA[[#This Row],[C]]))</f>
        <v/>
      </c>
      <c r="Y923" s="37" t="str">
        <f>IF(NOTA[[#This Row],[JUMLAH]]="","",NOTA[[#This Row],[JUMLAH]]*NOTA[[#This Row],[DISC 1]])</f>
        <v/>
      </c>
      <c r="Z923" s="37" t="str">
        <f>IF(NOTA[[#This Row],[JUMLAH]]="","",(NOTA[[#This Row],[JUMLAH]]-NOTA[[#This Row],[DISC 1-]])*NOTA[[#This Row],[DISC 2]])</f>
        <v/>
      </c>
      <c r="AA923" s="37" t="str">
        <f>IF(NOTA[[#This Row],[JUMLAH]]="","",(NOTA[[#This Row],[JUMLAH]]-NOTA[[#This Row],[DISC 1-]]-NOTA[[#This Row],[DISC 2-]])*NOTA[[#This Row],[DISC 3]])</f>
        <v/>
      </c>
      <c r="AB923" s="37" t="str">
        <f>IF(NOTA[[#This Row],[JUMLAH]]="","",NOTA[[#This Row],[DISC 1-]]+NOTA[[#This Row],[DISC 2-]]+NOTA[[#This Row],[DISC 3-]])</f>
        <v/>
      </c>
      <c r="AC923" s="37" t="str">
        <f>IF(NOTA[[#This Row],[JUMLAH]]="","",NOTA[[#This Row],[JUMLAH]]-NOTA[[#This Row],[DISC]])</f>
        <v/>
      </c>
      <c r="AD923" s="37"/>
      <c r="AE9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3" s="37" t="str">
        <f>IF(OR(NOTA[[#This Row],[QTY]]="",NOTA[[#This Row],[HARGA SATUAN]]="",),"",NOTA[[#This Row],[QTY]]*NOTA[[#This Row],[HARGA SATUAN]])</f>
        <v/>
      </c>
      <c r="AI923" s="26" t="str">
        <f ca="1">IF(NOTA[[#This Row],[ID_H]]="","",INDEX(NOTA[TANGGAL],MATCH(,INDIRECT(ADDRESS(ROW(NOTA[TANGGAL]),COLUMN(NOTA[TANGGAL]))&amp;":"&amp;ADDRESS(ROW(),COLUMN(NOTA[TANGGAL]))),-1)))</f>
        <v/>
      </c>
      <c r="AJ923" s="26" t="str">
        <f ca="1">IF(NOTA[[#This Row],[ID_H]]="","",INDEX(NOTA[TGL.NOTA],MATCH(,INDIRECT(ADDRESS(ROW(NOTA[TGL.NOTA]),COLUMN(NOTA[TGL.NOTA]))&amp;":"&amp;ADDRESS(ROW(),COLUMN(NOTA[TGL.NOTA]))),-1)))</f>
        <v/>
      </c>
      <c r="AK923" s="26" t="str">
        <f ca="1">IF(NOTA[[#This Row],[ID_H]]="","",INDEX(NOTA[NO.NOTA],MATCH(NOTA[[#This Row],[ID_H]],NOTA[ID_H],0)))</f>
        <v/>
      </c>
      <c r="AL923" s="28" t="str">
        <f ca="1">IF(NOTA[[#This Row],[NAMA BARANG]]="","",INDEX(NOTA[SUPPLIER],MATCH(,INDIRECT(ADDRESS(ROW(NOTA[ID]),COLUMN(NOTA[ID]))&amp;":"&amp;ADDRESS(ROW(),COLUMN(NOTA[ID]))),-1)))</f>
        <v/>
      </c>
      <c r="AM923" s="28" t="str">
        <f ca="1">IF(NOTA[[#This Row],[ID_H]]="","",IF(NOTA[[#This Row],[FAKTUR]]="",INDIRECT(ADDRESS(ROW()-1,COLUMN())),NOTA[[#This Row],[FAKTUR]]))</f>
        <v/>
      </c>
      <c r="AN923" s="25" t="str">
        <f ca="1">IF(NOTA[[#This Row],[ID]]="","",COUNTIF(NOTA[ID_H],NOTA[[#This Row],[ID_H]]))</f>
        <v/>
      </c>
      <c r="AO923" s="25" t="str">
        <f ca="1">IF(NOTA[[#This Row],[TGL.NOTA]]="",IF(NOTA[[#This Row],[SUPPLIER_H]]="","",AO922),MONTH(NOTA[[#This Row],[TGL.NOTA]]))</f>
        <v/>
      </c>
      <c r="AP9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3" s="25"/>
      <c r="AU923" s="25" t="str">
        <f>IF(NOTA[[#This Row],[CONCAT1]]="","",MATCH(NOTA[[#This Row],[CONCAT1]],[3]!db[NB NOTA_C],0))</f>
        <v/>
      </c>
      <c r="AV923" s="25" t="str">
        <f>IF(NOTA[[#This Row],[QTY/ CTN]]="","",TRUE)</f>
        <v/>
      </c>
      <c r="AW923" s="25" t="str">
        <f ca="1">IF(NOTA[[#This Row],[ID_H]]="","",IF(NOTA[[#This Row],[Column3]]=TRUE,NOTA[[#This Row],[QTY/ CTN]],INDEX([3]!db[QTY/ CTN],NOTA[[#This Row],[//DB]])))</f>
        <v/>
      </c>
      <c r="AX9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3" s="25" t="str">
        <f ca="1">IF(NOTA[[#This Row],[ID_H]]="","",MATCH(NOTA[[#This Row],[NB NOTA_C_QTY]],[3]!db[NB NOTA_C_QTY+F],0))</f>
        <v/>
      </c>
      <c r="AZ923" s="38" t="str">
        <f ca="1">IF(NOTA[[#This Row],[NB NOTA_C_QTY]]="","",ROW()-2)</f>
        <v/>
      </c>
    </row>
    <row r="924" spans="1:52" ht="20.100000000000001" customHeight="1">
      <c r="A9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4" s="25" t="str">
        <f ca="1">IF(NOTA[[#This Row],[NAMA BARANG]]="","",INDEX(NOTA[ID],MATCH(,INDIRECT(ADDRESS(ROW(NOTA[ID]),COLUMN(NOTA[ID]))&amp;":"&amp;ADDRESS(ROW(),COLUMN(NOTA[ID]))),-1)))</f>
        <v/>
      </c>
      <c r="E924" s="33"/>
      <c r="H924" s="34"/>
      <c r="Q924" s="29"/>
      <c r="R924" s="35"/>
      <c r="S924" s="36"/>
      <c r="V924" s="37"/>
      <c r="W924" s="32"/>
      <c r="X924" s="37" t="str">
        <f>IF(NOTA[[#This Row],[HARGA/ CTN]]="",NOTA[[#This Row],[JUMLAH_H]],NOTA[[#This Row],[HARGA/ CTN]]*IF(NOTA[[#This Row],[C]]="",0,NOTA[[#This Row],[C]]))</f>
        <v/>
      </c>
      <c r="Y924" s="37" t="str">
        <f>IF(NOTA[[#This Row],[JUMLAH]]="","",NOTA[[#This Row],[JUMLAH]]*NOTA[[#This Row],[DISC 1]])</f>
        <v/>
      </c>
      <c r="Z924" s="37" t="str">
        <f>IF(NOTA[[#This Row],[JUMLAH]]="","",(NOTA[[#This Row],[JUMLAH]]-NOTA[[#This Row],[DISC 1-]])*NOTA[[#This Row],[DISC 2]])</f>
        <v/>
      </c>
      <c r="AA924" s="37" t="str">
        <f>IF(NOTA[[#This Row],[JUMLAH]]="","",(NOTA[[#This Row],[JUMLAH]]-NOTA[[#This Row],[DISC 1-]]-NOTA[[#This Row],[DISC 2-]])*NOTA[[#This Row],[DISC 3]])</f>
        <v/>
      </c>
      <c r="AB924" s="37" t="str">
        <f>IF(NOTA[[#This Row],[JUMLAH]]="","",NOTA[[#This Row],[DISC 1-]]+NOTA[[#This Row],[DISC 2-]]+NOTA[[#This Row],[DISC 3-]])</f>
        <v/>
      </c>
      <c r="AC924" s="37" t="str">
        <f>IF(NOTA[[#This Row],[JUMLAH]]="","",NOTA[[#This Row],[JUMLAH]]-NOTA[[#This Row],[DISC]])</f>
        <v/>
      </c>
      <c r="AD924" s="37"/>
      <c r="AE9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4" s="37" t="str">
        <f>IF(OR(NOTA[[#This Row],[QTY]]="",NOTA[[#This Row],[HARGA SATUAN]]="",),"",NOTA[[#This Row],[QTY]]*NOTA[[#This Row],[HARGA SATUAN]])</f>
        <v/>
      </c>
      <c r="AI924" s="26" t="str">
        <f ca="1">IF(NOTA[[#This Row],[ID_H]]="","",INDEX(NOTA[TANGGAL],MATCH(,INDIRECT(ADDRESS(ROW(NOTA[TANGGAL]),COLUMN(NOTA[TANGGAL]))&amp;":"&amp;ADDRESS(ROW(),COLUMN(NOTA[TANGGAL]))),-1)))</f>
        <v/>
      </c>
      <c r="AJ924" s="26" t="str">
        <f ca="1">IF(NOTA[[#This Row],[ID_H]]="","",INDEX(NOTA[TGL.NOTA],MATCH(,INDIRECT(ADDRESS(ROW(NOTA[TGL.NOTA]),COLUMN(NOTA[TGL.NOTA]))&amp;":"&amp;ADDRESS(ROW(),COLUMN(NOTA[TGL.NOTA]))),-1)))</f>
        <v/>
      </c>
      <c r="AK924" s="26" t="str">
        <f ca="1">IF(NOTA[[#This Row],[ID_H]]="","",INDEX(NOTA[NO.NOTA],MATCH(NOTA[[#This Row],[ID_H]],NOTA[ID_H],0)))</f>
        <v/>
      </c>
      <c r="AL924" s="28" t="str">
        <f ca="1">IF(NOTA[[#This Row],[NAMA BARANG]]="","",INDEX(NOTA[SUPPLIER],MATCH(,INDIRECT(ADDRESS(ROW(NOTA[ID]),COLUMN(NOTA[ID]))&amp;":"&amp;ADDRESS(ROW(),COLUMN(NOTA[ID]))),-1)))</f>
        <v/>
      </c>
      <c r="AM924" s="28" t="str">
        <f ca="1">IF(NOTA[[#This Row],[ID_H]]="","",IF(NOTA[[#This Row],[FAKTUR]]="",INDIRECT(ADDRESS(ROW()-1,COLUMN())),NOTA[[#This Row],[FAKTUR]]))</f>
        <v/>
      </c>
      <c r="AN924" s="25" t="str">
        <f ca="1">IF(NOTA[[#This Row],[ID]]="","",COUNTIF(NOTA[ID_H],NOTA[[#This Row],[ID_H]]))</f>
        <v/>
      </c>
      <c r="AO924" s="25" t="str">
        <f ca="1">IF(NOTA[[#This Row],[TGL.NOTA]]="",IF(NOTA[[#This Row],[SUPPLIER_H]]="","",AO923),MONTH(NOTA[[#This Row],[TGL.NOTA]]))</f>
        <v/>
      </c>
      <c r="AP9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4" s="25"/>
      <c r="AU924" s="25" t="str">
        <f>IF(NOTA[[#This Row],[CONCAT1]]="","",MATCH(NOTA[[#This Row],[CONCAT1]],[3]!db[NB NOTA_C],0))</f>
        <v/>
      </c>
      <c r="AV924" s="25" t="str">
        <f>IF(NOTA[[#This Row],[QTY/ CTN]]="","",TRUE)</f>
        <v/>
      </c>
      <c r="AW924" s="25" t="str">
        <f ca="1">IF(NOTA[[#This Row],[ID_H]]="","",IF(NOTA[[#This Row],[Column3]]=TRUE,NOTA[[#This Row],[QTY/ CTN]],INDEX([3]!db[QTY/ CTN],NOTA[[#This Row],[//DB]])))</f>
        <v/>
      </c>
      <c r="AX9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4" s="25" t="str">
        <f ca="1">IF(NOTA[[#This Row],[ID_H]]="","",MATCH(NOTA[[#This Row],[NB NOTA_C_QTY]],[3]!db[NB NOTA_C_QTY+F],0))</f>
        <v/>
      </c>
      <c r="AZ924" s="38" t="str">
        <f ca="1">IF(NOTA[[#This Row],[NB NOTA_C_QTY]]="","",ROW()-2)</f>
        <v/>
      </c>
    </row>
    <row r="925" spans="1:52" ht="20.100000000000001" customHeight="1">
      <c r="A9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5" s="25" t="str">
        <f ca="1">IF(NOTA[[#This Row],[NAMA BARANG]]="","",INDEX(NOTA[ID],MATCH(,INDIRECT(ADDRESS(ROW(NOTA[ID]),COLUMN(NOTA[ID]))&amp;":"&amp;ADDRESS(ROW(),COLUMN(NOTA[ID]))),-1)))</f>
        <v/>
      </c>
      <c r="E925" s="33"/>
      <c r="H925" s="34"/>
      <c r="Q925" s="29"/>
      <c r="R925" s="35"/>
      <c r="S925" s="36"/>
      <c r="V925" s="37"/>
      <c r="W925" s="32"/>
      <c r="X925" s="37" t="str">
        <f>IF(NOTA[[#This Row],[HARGA/ CTN]]="",NOTA[[#This Row],[JUMLAH_H]],NOTA[[#This Row],[HARGA/ CTN]]*IF(NOTA[[#This Row],[C]]="",0,NOTA[[#This Row],[C]]))</f>
        <v/>
      </c>
      <c r="Y925" s="37" t="str">
        <f>IF(NOTA[[#This Row],[JUMLAH]]="","",NOTA[[#This Row],[JUMLAH]]*NOTA[[#This Row],[DISC 1]])</f>
        <v/>
      </c>
      <c r="Z925" s="37" t="str">
        <f>IF(NOTA[[#This Row],[JUMLAH]]="","",(NOTA[[#This Row],[JUMLAH]]-NOTA[[#This Row],[DISC 1-]])*NOTA[[#This Row],[DISC 2]])</f>
        <v/>
      </c>
      <c r="AA925" s="37" t="str">
        <f>IF(NOTA[[#This Row],[JUMLAH]]="","",(NOTA[[#This Row],[JUMLAH]]-NOTA[[#This Row],[DISC 1-]]-NOTA[[#This Row],[DISC 2-]])*NOTA[[#This Row],[DISC 3]])</f>
        <v/>
      </c>
      <c r="AB925" s="37" t="str">
        <f>IF(NOTA[[#This Row],[JUMLAH]]="","",NOTA[[#This Row],[DISC 1-]]+NOTA[[#This Row],[DISC 2-]]+NOTA[[#This Row],[DISC 3-]])</f>
        <v/>
      </c>
      <c r="AC925" s="37" t="str">
        <f>IF(NOTA[[#This Row],[JUMLAH]]="","",NOTA[[#This Row],[JUMLAH]]-NOTA[[#This Row],[DISC]])</f>
        <v/>
      </c>
      <c r="AD925" s="37"/>
      <c r="AE9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5" s="37" t="str">
        <f>IF(OR(NOTA[[#This Row],[QTY]]="",NOTA[[#This Row],[HARGA SATUAN]]="",),"",NOTA[[#This Row],[QTY]]*NOTA[[#This Row],[HARGA SATUAN]])</f>
        <v/>
      </c>
      <c r="AI925" s="26" t="str">
        <f ca="1">IF(NOTA[[#This Row],[ID_H]]="","",INDEX(NOTA[TANGGAL],MATCH(,INDIRECT(ADDRESS(ROW(NOTA[TANGGAL]),COLUMN(NOTA[TANGGAL]))&amp;":"&amp;ADDRESS(ROW(),COLUMN(NOTA[TANGGAL]))),-1)))</f>
        <v/>
      </c>
      <c r="AJ925" s="26" t="str">
        <f ca="1">IF(NOTA[[#This Row],[ID_H]]="","",INDEX(NOTA[TGL.NOTA],MATCH(,INDIRECT(ADDRESS(ROW(NOTA[TGL.NOTA]),COLUMN(NOTA[TGL.NOTA]))&amp;":"&amp;ADDRESS(ROW(),COLUMN(NOTA[TGL.NOTA]))),-1)))</f>
        <v/>
      </c>
      <c r="AK925" s="26" t="str">
        <f ca="1">IF(NOTA[[#This Row],[ID_H]]="","",INDEX(NOTA[NO.NOTA],MATCH(NOTA[[#This Row],[ID_H]],NOTA[ID_H],0)))</f>
        <v/>
      </c>
      <c r="AL925" s="28" t="str">
        <f ca="1">IF(NOTA[[#This Row],[NAMA BARANG]]="","",INDEX(NOTA[SUPPLIER],MATCH(,INDIRECT(ADDRESS(ROW(NOTA[ID]),COLUMN(NOTA[ID]))&amp;":"&amp;ADDRESS(ROW(),COLUMN(NOTA[ID]))),-1)))</f>
        <v/>
      </c>
      <c r="AM925" s="28" t="str">
        <f ca="1">IF(NOTA[[#This Row],[ID_H]]="","",IF(NOTA[[#This Row],[FAKTUR]]="",INDIRECT(ADDRESS(ROW()-1,COLUMN())),NOTA[[#This Row],[FAKTUR]]))</f>
        <v/>
      </c>
      <c r="AN925" s="25" t="str">
        <f ca="1">IF(NOTA[[#This Row],[ID]]="","",COUNTIF(NOTA[ID_H],NOTA[[#This Row],[ID_H]]))</f>
        <v/>
      </c>
      <c r="AO925" s="25" t="str">
        <f ca="1">IF(NOTA[[#This Row],[TGL.NOTA]]="",IF(NOTA[[#This Row],[SUPPLIER_H]]="","",AO924),MONTH(NOTA[[#This Row],[TGL.NOTA]]))</f>
        <v/>
      </c>
      <c r="AP9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5" s="25"/>
      <c r="AU925" s="25" t="str">
        <f>IF(NOTA[[#This Row],[CONCAT1]]="","",MATCH(NOTA[[#This Row],[CONCAT1]],[3]!db[NB NOTA_C],0))</f>
        <v/>
      </c>
      <c r="AV925" s="25" t="str">
        <f>IF(NOTA[[#This Row],[QTY/ CTN]]="","",TRUE)</f>
        <v/>
      </c>
      <c r="AW925" s="25" t="str">
        <f ca="1">IF(NOTA[[#This Row],[ID_H]]="","",IF(NOTA[[#This Row],[Column3]]=TRUE,NOTA[[#This Row],[QTY/ CTN]],INDEX([3]!db[QTY/ CTN],NOTA[[#This Row],[//DB]])))</f>
        <v/>
      </c>
      <c r="AX9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5" s="25" t="str">
        <f ca="1">IF(NOTA[[#This Row],[ID_H]]="","",MATCH(NOTA[[#This Row],[NB NOTA_C_QTY]],[3]!db[NB NOTA_C_QTY+F],0))</f>
        <v/>
      </c>
      <c r="AZ925" s="38" t="str">
        <f ca="1">IF(NOTA[[#This Row],[NB NOTA_C_QTY]]="","",ROW()-2)</f>
        <v/>
      </c>
    </row>
    <row r="926" spans="1:52" ht="20.100000000000001" customHeight="1">
      <c r="A9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6" s="25" t="str">
        <f ca="1">IF(NOTA[[#This Row],[NAMA BARANG]]="","",INDEX(NOTA[ID],MATCH(,INDIRECT(ADDRESS(ROW(NOTA[ID]),COLUMN(NOTA[ID]))&amp;":"&amp;ADDRESS(ROW(),COLUMN(NOTA[ID]))),-1)))</f>
        <v/>
      </c>
      <c r="E926" s="33"/>
      <c r="H926" s="34"/>
      <c r="Q926" s="29"/>
      <c r="R926" s="35"/>
      <c r="S926" s="36"/>
      <c r="V926" s="37"/>
      <c r="W926" s="32"/>
      <c r="X926" s="37" t="str">
        <f>IF(NOTA[[#This Row],[HARGA/ CTN]]="",NOTA[[#This Row],[JUMLAH_H]],NOTA[[#This Row],[HARGA/ CTN]]*IF(NOTA[[#This Row],[C]]="",0,NOTA[[#This Row],[C]]))</f>
        <v/>
      </c>
      <c r="Y926" s="37" t="str">
        <f>IF(NOTA[[#This Row],[JUMLAH]]="","",NOTA[[#This Row],[JUMLAH]]*NOTA[[#This Row],[DISC 1]])</f>
        <v/>
      </c>
      <c r="Z926" s="37" t="str">
        <f>IF(NOTA[[#This Row],[JUMLAH]]="","",(NOTA[[#This Row],[JUMLAH]]-NOTA[[#This Row],[DISC 1-]])*NOTA[[#This Row],[DISC 2]])</f>
        <v/>
      </c>
      <c r="AA926" s="37" t="str">
        <f>IF(NOTA[[#This Row],[JUMLAH]]="","",(NOTA[[#This Row],[JUMLAH]]-NOTA[[#This Row],[DISC 1-]]-NOTA[[#This Row],[DISC 2-]])*NOTA[[#This Row],[DISC 3]])</f>
        <v/>
      </c>
      <c r="AB926" s="37" t="str">
        <f>IF(NOTA[[#This Row],[JUMLAH]]="","",NOTA[[#This Row],[DISC 1-]]+NOTA[[#This Row],[DISC 2-]]+NOTA[[#This Row],[DISC 3-]])</f>
        <v/>
      </c>
      <c r="AC926" s="37" t="str">
        <f>IF(NOTA[[#This Row],[JUMLAH]]="","",NOTA[[#This Row],[JUMLAH]]-NOTA[[#This Row],[DISC]])</f>
        <v/>
      </c>
      <c r="AD926" s="37"/>
      <c r="AE9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6" s="37" t="str">
        <f>IF(OR(NOTA[[#This Row],[QTY]]="",NOTA[[#This Row],[HARGA SATUAN]]="",),"",NOTA[[#This Row],[QTY]]*NOTA[[#This Row],[HARGA SATUAN]])</f>
        <v/>
      </c>
      <c r="AI926" s="26" t="str">
        <f ca="1">IF(NOTA[[#This Row],[ID_H]]="","",INDEX(NOTA[TANGGAL],MATCH(,INDIRECT(ADDRESS(ROW(NOTA[TANGGAL]),COLUMN(NOTA[TANGGAL]))&amp;":"&amp;ADDRESS(ROW(),COLUMN(NOTA[TANGGAL]))),-1)))</f>
        <v/>
      </c>
      <c r="AJ926" s="26" t="str">
        <f ca="1">IF(NOTA[[#This Row],[ID_H]]="","",INDEX(NOTA[TGL.NOTA],MATCH(,INDIRECT(ADDRESS(ROW(NOTA[TGL.NOTA]),COLUMN(NOTA[TGL.NOTA]))&amp;":"&amp;ADDRESS(ROW(),COLUMN(NOTA[TGL.NOTA]))),-1)))</f>
        <v/>
      </c>
      <c r="AK926" s="26" t="str">
        <f ca="1">IF(NOTA[[#This Row],[ID_H]]="","",INDEX(NOTA[NO.NOTA],MATCH(NOTA[[#This Row],[ID_H]],NOTA[ID_H],0)))</f>
        <v/>
      </c>
      <c r="AL926" s="28" t="str">
        <f ca="1">IF(NOTA[[#This Row],[NAMA BARANG]]="","",INDEX(NOTA[SUPPLIER],MATCH(,INDIRECT(ADDRESS(ROW(NOTA[ID]),COLUMN(NOTA[ID]))&amp;":"&amp;ADDRESS(ROW(),COLUMN(NOTA[ID]))),-1)))</f>
        <v/>
      </c>
      <c r="AM926" s="28" t="str">
        <f ca="1">IF(NOTA[[#This Row],[ID_H]]="","",IF(NOTA[[#This Row],[FAKTUR]]="",INDIRECT(ADDRESS(ROW()-1,COLUMN())),NOTA[[#This Row],[FAKTUR]]))</f>
        <v/>
      </c>
      <c r="AN926" s="25" t="str">
        <f ca="1">IF(NOTA[[#This Row],[ID]]="","",COUNTIF(NOTA[ID_H],NOTA[[#This Row],[ID_H]]))</f>
        <v/>
      </c>
      <c r="AO926" s="25" t="str">
        <f ca="1">IF(NOTA[[#This Row],[TGL.NOTA]]="",IF(NOTA[[#This Row],[SUPPLIER_H]]="","",AO925),MONTH(NOTA[[#This Row],[TGL.NOTA]]))</f>
        <v/>
      </c>
      <c r="AP9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6" s="25"/>
      <c r="AU926" s="25" t="str">
        <f>IF(NOTA[[#This Row],[CONCAT1]]="","",MATCH(NOTA[[#This Row],[CONCAT1]],[3]!db[NB NOTA_C],0))</f>
        <v/>
      </c>
      <c r="AV926" s="25" t="str">
        <f>IF(NOTA[[#This Row],[QTY/ CTN]]="","",TRUE)</f>
        <v/>
      </c>
      <c r="AW926" s="25" t="str">
        <f ca="1">IF(NOTA[[#This Row],[ID_H]]="","",IF(NOTA[[#This Row],[Column3]]=TRUE,NOTA[[#This Row],[QTY/ CTN]],INDEX([3]!db[QTY/ CTN],NOTA[[#This Row],[//DB]])))</f>
        <v/>
      </c>
      <c r="AX9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6" s="25" t="str">
        <f ca="1">IF(NOTA[[#This Row],[ID_H]]="","",MATCH(NOTA[[#This Row],[NB NOTA_C_QTY]],[3]!db[NB NOTA_C_QTY+F],0))</f>
        <v/>
      </c>
      <c r="AZ926" s="38" t="str">
        <f ca="1">IF(NOTA[[#This Row],[NB NOTA_C_QTY]]="","",ROW()-2)</f>
        <v/>
      </c>
    </row>
    <row r="927" spans="1:52" ht="20.100000000000001" customHeight="1">
      <c r="A9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7" s="25" t="str">
        <f ca="1">IF(NOTA[[#This Row],[NAMA BARANG]]="","",INDEX(NOTA[ID],MATCH(,INDIRECT(ADDRESS(ROW(NOTA[ID]),COLUMN(NOTA[ID]))&amp;":"&amp;ADDRESS(ROW(),COLUMN(NOTA[ID]))),-1)))</f>
        <v/>
      </c>
      <c r="E927" s="33"/>
      <c r="H927" s="34"/>
      <c r="Q927" s="29"/>
      <c r="R927" s="35"/>
      <c r="S927" s="36"/>
      <c r="V927" s="37"/>
      <c r="W927" s="32"/>
      <c r="X927" s="37" t="str">
        <f>IF(NOTA[[#This Row],[HARGA/ CTN]]="",NOTA[[#This Row],[JUMLAH_H]],NOTA[[#This Row],[HARGA/ CTN]]*IF(NOTA[[#This Row],[C]]="",0,NOTA[[#This Row],[C]]))</f>
        <v/>
      </c>
      <c r="Y927" s="37" t="str">
        <f>IF(NOTA[[#This Row],[JUMLAH]]="","",NOTA[[#This Row],[JUMLAH]]*NOTA[[#This Row],[DISC 1]])</f>
        <v/>
      </c>
      <c r="Z927" s="37" t="str">
        <f>IF(NOTA[[#This Row],[JUMLAH]]="","",(NOTA[[#This Row],[JUMLAH]]-NOTA[[#This Row],[DISC 1-]])*NOTA[[#This Row],[DISC 2]])</f>
        <v/>
      </c>
      <c r="AA927" s="37" t="str">
        <f>IF(NOTA[[#This Row],[JUMLAH]]="","",(NOTA[[#This Row],[JUMLAH]]-NOTA[[#This Row],[DISC 1-]]-NOTA[[#This Row],[DISC 2-]])*NOTA[[#This Row],[DISC 3]])</f>
        <v/>
      </c>
      <c r="AB927" s="37" t="str">
        <f>IF(NOTA[[#This Row],[JUMLAH]]="","",NOTA[[#This Row],[DISC 1-]]+NOTA[[#This Row],[DISC 2-]]+NOTA[[#This Row],[DISC 3-]])</f>
        <v/>
      </c>
      <c r="AC927" s="37" t="str">
        <f>IF(NOTA[[#This Row],[JUMLAH]]="","",NOTA[[#This Row],[JUMLAH]]-NOTA[[#This Row],[DISC]])</f>
        <v/>
      </c>
      <c r="AD927" s="37"/>
      <c r="AE9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7" s="37" t="str">
        <f>IF(OR(NOTA[[#This Row],[QTY]]="",NOTA[[#This Row],[HARGA SATUAN]]="",),"",NOTA[[#This Row],[QTY]]*NOTA[[#This Row],[HARGA SATUAN]])</f>
        <v/>
      </c>
      <c r="AI927" s="26" t="str">
        <f ca="1">IF(NOTA[[#This Row],[ID_H]]="","",INDEX(NOTA[TANGGAL],MATCH(,INDIRECT(ADDRESS(ROW(NOTA[TANGGAL]),COLUMN(NOTA[TANGGAL]))&amp;":"&amp;ADDRESS(ROW(),COLUMN(NOTA[TANGGAL]))),-1)))</f>
        <v/>
      </c>
      <c r="AJ927" s="26" t="str">
        <f ca="1">IF(NOTA[[#This Row],[ID_H]]="","",INDEX(NOTA[TGL.NOTA],MATCH(,INDIRECT(ADDRESS(ROW(NOTA[TGL.NOTA]),COLUMN(NOTA[TGL.NOTA]))&amp;":"&amp;ADDRESS(ROW(),COLUMN(NOTA[TGL.NOTA]))),-1)))</f>
        <v/>
      </c>
      <c r="AK927" s="26" t="str">
        <f ca="1">IF(NOTA[[#This Row],[ID_H]]="","",INDEX(NOTA[NO.NOTA],MATCH(NOTA[[#This Row],[ID_H]],NOTA[ID_H],0)))</f>
        <v/>
      </c>
      <c r="AL927" s="28" t="str">
        <f ca="1">IF(NOTA[[#This Row],[NAMA BARANG]]="","",INDEX(NOTA[SUPPLIER],MATCH(,INDIRECT(ADDRESS(ROW(NOTA[ID]),COLUMN(NOTA[ID]))&amp;":"&amp;ADDRESS(ROW(),COLUMN(NOTA[ID]))),-1)))</f>
        <v/>
      </c>
      <c r="AM927" s="28" t="str">
        <f ca="1">IF(NOTA[[#This Row],[ID_H]]="","",IF(NOTA[[#This Row],[FAKTUR]]="",INDIRECT(ADDRESS(ROW()-1,COLUMN())),NOTA[[#This Row],[FAKTUR]]))</f>
        <v/>
      </c>
      <c r="AN927" s="25" t="str">
        <f ca="1">IF(NOTA[[#This Row],[ID]]="","",COUNTIF(NOTA[ID_H],NOTA[[#This Row],[ID_H]]))</f>
        <v/>
      </c>
      <c r="AO927" s="25" t="str">
        <f ca="1">IF(NOTA[[#This Row],[TGL.NOTA]]="",IF(NOTA[[#This Row],[SUPPLIER_H]]="","",AO926),MONTH(NOTA[[#This Row],[TGL.NOTA]]))</f>
        <v/>
      </c>
      <c r="AP9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7" s="25"/>
      <c r="AU927" s="25" t="str">
        <f>IF(NOTA[[#This Row],[CONCAT1]]="","",MATCH(NOTA[[#This Row],[CONCAT1]],[3]!db[NB NOTA_C],0))</f>
        <v/>
      </c>
      <c r="AV927" s="25" t="str">
        <f>IF(NOTA[[#This Row],[QTY/ CTN]]="","",TRUE)</f>
        <v/>
      </c>
      <c r="AW927" s="25" t="str">
        <f ca="1">IF(NOTA[[#This Row],[ID_H]]="","",IF(NOTA[[#This Row],[Column3]]=TRUE,NOTA[[#This Row],[QTY/ CTN]],INDEX([3]!db[QTY/ CTN],NOTA[[#This Row],[//DB]])))</f>
        <v/>
      </c>
      <c r="AX9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7" s="25" t="str">
        <f ca="1">IF(NOTA[[#This Row],[ID_H]]="","",MATCH(NOTA[[#This Row],[NB NOTA_C_QTY]],[3]!db[NB NOTA_C_QTY+F],0))</f>
        <v/>
      </c>
      <c r="AZ927" s="38" t="str">
        <f ca="1">IF(NOTA[[#This Row],[NB NOTA_C_QTY]]="","",ROW()-2)</f>
        <v/>
      </c>
    </row>
    <row r="928" spans="1:52" ht="20.100000000000001" customHeight="1">
      <c r="A9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8" s="25" t="str">
        <f ca="1">IF(NOTA[[#This Row],[NAMA BARANG]]="","",INDEX(NOTA[ID],MATCH(,INDIRECT(ADDRESS(ROW(NOTA[ID]),COLUMN(NOTA[ID]))&amp;":"&amp;ADDRESS(ROW(),COLUMN(NOTA[ID]))),-1)))</f>
        <v/>
      </c>
      <c r="E928" s="33"/>
      <c r="H928" s="34"/>
      <c r="Q928" s="29"/>
      <c r="R928" s="35"/>
      <c r="S928" s="36"/>
      <c r="V928" s="37"/>
      <c r="W928" s="32"/>
      <c r="X928" s="37" t="str">
        <f>IF(NOTA[[#This Row],[HARGA/ CTN]]="",NOTA[[#This Row],[JUMLAH_H]],NOTA[[#This Row],[HARGA/ CTN]]*IF(NOTA[[#This Row],[C]]="",0,NOTA[[#This Row],[C]]))</f>
        <v/>
      </c>
      <c r="Y928" s="37" t="str">
        <f>IF(NOTA[[#This Row],[JUMLAH]]="","",NOTA[[#This Row],[JUMLAH]]*NOTA[[#This Row],[DISC 1]])</f>
        <v/>
      </c>
      <c r="Z928" s="37" t="str">
        <f>IF(NOTA[[#This Row],[JUMLAH]]="","",(NOTA[[#This Row],[JUMLAH]]-NOTA[[#This Row],[DISC 1-]])*NOTA[[#This Row],[DISC 2]])</f>
        <v/>
      </c>
      <c r="AA928" s="37" t="str">
        <f>IF(NOTA[[#This Row],[JUMLAH]]="","",(NOTA[[#This Row],[JUMLAH]]-NOTA[[#This Row],[DISC 1-]]-NOTA[[#This Row],[DISC 2-]])*NOTA[[#This Row],[DISC 3]])</f>
        <v/>
      </c>
      <c r="AB928" s="37" t="str">
        <f>IF(NOTA[[#This Row],[JUMLAH]]="","",NOTA[[#This Row],[DISC 1-]]+NOTA[[#This Row],[DISC 2-]]+NOTA[[#This Row],[DISC 3-]])</f>
        <v/>
      </c>
      <c r="AC928" s="37" t="str">
        <f>IF(NOTA[[#This Row],[JUMLAH]]="","",NOTA[[#This Row],[JUMLAH]]-NOTA[[#This Row],[DISC]])</f>
        <v/>
      </c>
      <c r="AD928" s="37"/>
      <c r="AE9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8" s="37" t="str">
        <f>IF(OR(NOTA[[#This Row],[QTY]]="",NOTA[[#This Row],[HARGA SATUAN]]="",),"",NOTA[[#This Row],[QTY]]*NOTA[[#This Row],[HARGA SATUAN]])</f>
        <v/>
      </c>
      <c r="AI928" s="26" t="str">
        <f ca="1">IF(NOTA[[#This Row],[ID_H]]="","",INDEX(NOTA[TANGGAL],MATCH(,INDIRECT(ADDRESS(ROW(NOTA[TANGGAL]),COLUMN(NOTA[TANGGAL]))&amp;":"&amp;ADDRESS(ROW(),COLUMN(NOTA[TANGGAL]))),-1)))</f>
        <v/>
      </c>
      <c r="AJ928" s="26" t="str">
        <f ca="1">IF(NOTA[[#This Row],[ID_H]]="","",INDEX(NOTA[TGL.NOTA],MATCH(,INDIRECT(ADDRESS(ROW(NOTA[TGL.NOTA]),COLUMN(NOTA[TGL.NOTA]))&amp;":"&amp;ADDRESS(ROW(),COLUMN(NOTA[TGL.NOTA]))),-1)))</f>
        <v/>
      </c>
      <c r="AK928" s="26" t="str">
        <f ca="1">IF(NOTA[[#This Row],[ID_H]]="","",INDEX(NOTA[NO.NOTA],MATCH(NOTA[[#This Row],[ID_H]],NOTA[ID_H],0)))</f>
        <v/>
      </c>
      <c r="AL928" s="28" t="str">
        <f ca="1">IF(NOTA[[#This Row],[NAMA BARANG]]="","",INDEX(NOTA[SUPPLIER],MATCH(,INDIRECT(ADDRESS(ROW(NOTA[ID]),COLUMN(NOTA[ID]))&amp;":"&amp;ADDRESS(ROW(),COLUMN(NOTA[ID]))),-1)))</f>
        <v/>
      </c>
      <c r="AM928" s="28" t="str">
        <f ca="1">IF(NOTA[[#This Row],[ID_H]]="","",IF(NOTA[[#This Row],[FAKTUR]]="",INDIRECT(ADDRESS(ROW()-1,COLUMN())),NOTA[[#This Row],[FAKTUR]]))</f>
        <v/>
      </c>
      <c r="AN928" s="25" t="str">
        <f ca="1">IF(NOTA[[#This Row],[ID]]="","",COUNTIF(NOTA[ID_H],NOTA[[#This Row],[ID_H]]))</f>
        <v/>
      </c>
      <c r="AO928" s="25" t="str">
        <f ca="1">IF(NOTA[[#This Row],[TGL.NOTA]]="",IF(NOTA[[#This Row],[SUPPLIER_H]]="","",AO927),MONTH(NOTA[[#This Row],[TGL.NOTA]]))</f>
        <v/>
      </c>
      <c r="AP9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8" s="25"/>
      <c r="AU928" s="25" t="str">
        <f>IF(NOTA[[#This Row],[CONCAT1]]="","",MATCH(NOTA[[#This Row],[CONCAT1]],[3]!db[NB NOTA_C],0))</f>
        <v/>
      </c>
      <c r="AV928" s="25" t="str">
        <f>IF(NOTA[[#This Row],[QTY/ CTN]]="","",TRUE)</f>
        <v/>
      </c>
      <c r="AW928" s="25" t="str">
        <f ca="1">IF(NOTA[[#This Row],[ID_H]]="","",IF(NOTA[[#This Row],[Column3]]=TRUE,NOTA[[#This Row],[QTY/ CTN]],INDEX([3]!db[QTY/ CTN],NOTA[[#This Row],[//DB]])))</f>
        <v/>
      </c>
      <c r="AX9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8" s="25" t="str">
        <f ca="1">IF(NOTA[[#This Row],[ID_H]]="","",MATCH(NOTA[[#This Row],[NB NOTA_C_QTY]],[3]!db[NB NOTA_C_QTY+F],0))</f>
        <v/>
      </c>
      <c r="AZ928" s="38" t="str">
        <f ca="1">IF(NOTA[[#This Row],[NB NOTA_C_QTY]]="","",ROW()-2)</f>
        <v/>
      </c>
    </row>
    <row r="929" spans="1:52" ht="20.100000000000001" customHeight="1">
      <c r="A9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9" s="25" t="str">
        <f ca="1">IF(NOTA[[#This Row],[NAMA BARANG]]="","",INDEX(NOTA[ID],MATCH(,INDIRECT(ADDRESS(ROW(NOTA[ID]),COLUMN(NOTA[ID]))&amp;":"&amp;ADDRESS(ROW(),COLUMN(NOTA[ID]))),-1)))</f>
        <v/>
      </c>
      <c r="E929" s="33"/>
      <c r="H929" s="34"/>
      <c r="Q929" s="29"/>
      <c r="R929" s="35"/>
      <c r="S929" s="36"/>
      <c r="V929" s="37"/>
      <c r="W929" s="32"/>
      <c r="X929" s="37" t="str">
        <f>IF(NOTA[[#This Row],[HARGA/ CTN]]="",NOTA[[#This Row],[JUMLAH_H]],NOTA[[#This Row],[HARGA/ CTN]]*IF(NOTA[[#This Row],[C]]="",0,NOTA[[#This Row],[C]]))</f>
        <v/>
      </c>
      <c r="Y929" s="37" t="str">
        <f>IF(NOTA[[#This Row],[JUMLAH]]="","",NOTA[[#This Row],[JUMLAH]]*NOTA[[#This Row],[DISC 1]])</f>
        <v/>
      </c>
      <c r="Z929" s="37" t="str">
        <f>IF(NOTA[[#This Row],[JUMLAH]]="","",(NOTA[[#This Row],[JUMLAH]]-NOTA[[#This Row],[DISC 1-]])*NOTA[[#This Row],[DISC 2]])</f>
        <v/>
      </c>
      <c r="AA929" s="37" t="str">
        <f>IF(NOTA[[#This Row],[JUMLAH]]="","",(NOTA[[#This Row],[JUMLAH]]-NOTA[[#This Row],[DISC 1-]]-NOTA[[#This Row],[DISC 2-]])*NOTA[[#This Row],[DISC 3]])</f>
        <v/>
      </c>
      <c r="AB929" s="37" t="str">
        <f>IF(NOTA[[#This Row],[JUMLAH]]="","",NOTA[[#This Row],[DISC 1-]]+NOTA[[#This Row],[DISC 2-]]+NOTA[[#This Row],[DISC 3-]])</f>
        <v/>
      </c>
      <c r="AC929" s="37" t="str">
        <f>IF(NOTA[[#This Row],[JUMLAH]]="","",NOTA[[#This Row],[JUMLAH]]-NOTA[[#This Row],[DISC]])</f>
        <v/>
      </c>
      <c r="AD929" s="37"/>
      <c r="AE9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9" s="37" t="str">
        <f>IF(OR(NOTA[[#This Row],[QTY]]="",NOTA[[#This Row],[HARGA SATUAN]]="",),"",NOTA[[#This Row],[QTY]]*NOTA[[#This Row],[HARGA SATUAN]])</f>
        <v/>
      </c>
      <c r="AI929" s="26" t="str">
        <f ca="1">IF(NOTA[[#This Row],[ID_H]]="","",INDEX(NOTA[TANGGAL],MATCH(,INDIRECT(ADDRESS(ROW(NOTA[TANGGAL]),COLUMN(NOTA[TANGGAL]))&amp;":"&amp;ADDRESS(ROW(),COLUMN(NOTA[TANGGAL]))),-1)))</f>
        <v/>
      </c>
      <c r="AJ929" s="26" t="str">
        <f ca="1">IF(NOTA[[#This Row],[ID_H]]="","",INDEX(NOTA[TGL.NOTA],MATCH(,INDIRECT(ADDRESS(ROW(NOTA[TGL.NOTA]),COLUMN(NOTA[TGL.NOTA]))&amp;":"&amp;ADDRESS(ROW(),COLUMN(NOTA[TGL.NOTA]))),-1)))</f>
        <v/>
      </c>
      <c r="AK929" s="26" t="str">
        <f ca="1">IF(NOTA[[#This Row],[ID_H]]="","",INDEX(NOTA[NO.NOTA],MATCH(NOTA[[#This Row],[ID_H]],NOTA[ID_H],0)))</f>
        <v/>
      </c>
      <c r="AL929" s="28" t="str">
        <f ca="1">IF(NOTA[[#This Row],[NAMA BARANG]]="","",INDEX(NOTA[SUPPLIER],MATCH(,INDIRECT(ADDRESS(ROW(NOTA[ID]),COLUMN(NOTA[ID]))&amp;":"&amp;ADDRESS(ROW(),COLUMN(NOTA[ID]))),-1)))</f>
        <v/>
      </c>
      <c r="AM929" s="28" t="str">
        <f ca="1">IF(NOTA[[#This Row],[ID_H]]="","",IF(NOTA[[#This Row],[FAKTUR]]="",INDIRECT(ADDRESS(ROW()-1,COLUMN())),NOTA[[#This Row],[FAKTUR]]))</f>
        <v/>
      </c>
      <c r="AN929" s="25" t="str">
        <f ca="1">IF(NOTA[[#This Row],[ID]]="","",COUNTIF(NOTA[ID_H],NOTA[[#This Row],[ID_H]]))</f>
        <v/>
      </c>
      <c r="AO929" s="25" t="str">
        <f ca="1">IF(NOTA[[#This Row],[TGL.NOTA]]="",IF(NOTA[[#This Row],[SUPPLIER_H]]="","",AO928),MONTH(NOTA[[#This Row],[TGL.NOTA]]))</f>
        <v/>
      </c>
      <c r="AP9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9" s="25"/>
      <c r="AU929" s="25" t="str">
        <f>IF(NOTA[[#This Row],[CONCAT1]]="","",MATCH(NOTA[[#This Row],[CONCAT1]],[3]!db[NB NOTA_C],0))</f>
        <v/>
      </c>
      <c r="AV929" s="25" t="str">
        <f>IF(NOTA[[#This Row],[QTY/ CTN]]="","",TRUE)</f>
        <v/>
      </c>
      <c r="AW929" s="25" t="str">
        <f ca="1">IF(NOTA[[#This Row],[ID_H]]="","",IF(NOTA[[#This Row],[Column3]]=TRUE,NOTA[[#This Row],[QTY/ CTN]],INDEX([3]!db[QTY/ CTN],NOTA[[#This Row],[//DB]])))</f>
        <v/>
      </c>
      <c r="AX9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9" s="25" t="str">
        <f ca="1">IF(NOTA[[#This Row],[ID_H]]="","",MATCH(NOTA[[#This Row],[NB NOTA_C_QTY]],[3]!db[NB NOTA_C_QTY+F],0))</f>
        <v/>
      </c>
      <c r="AZ929" s="38" t="str">
        <f ca="1">IF(NOTA[[#This Row],[NB NOTA_C_QTY]]="","",ROW()-2)</f>
        <v/>
      </c>
    </row>
    <row r="930" spans="1:52" ht="20.100000000000001" customHeight="1">
      <c r="A9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0" s="25" t="str">
        <f ca="1">IF(NOTA[[#This Row],[NAMA BARANG]]="","",INDEX(NOTA[ID],MATCH(,INDIRECT(ADDRESS(ROW(NOTA[ID]),COLUMN(NOTA[ID]))&amp;":"&amp;ADDRESS(ROW(),COLUMN(NOTA[ID]))),-1)))</f>
        <v/>
      </c>
      <c r="E930" s="33"/>
      <c r="H930" s="34"/>
      <c r="Q930" s="29"/>
      <c r="R930" s="35"/>
      <c r="S930" s="36"/>
      <c r="V930" s="37"/>
      <c r="W930" s="32"/>
      <c r="X930" s="37" t="str">
        <f>IF(NOTA[[#This Row],[HARGA/ CTN]]="",NOTA[[#This Row],[JUMLAH_H]],NOTA[[#This Row],[HARGA/ CTN]]*IF(NOTA[[#This Row],[C]]="",0,NOTA[[#This Row],[C]]))</f>
        <v/>
      </c>
      <c r="Y930" s="37" t="str">
        <f>IF(NOTA[[#This Row],[JUMLAH]]="","",NOTA[[#This Row],[JUMLAH]]*NOTA[[#This Row],[DISC 1]])</f>
        <v/>
      </c>
      <c r="Z930" s="37" t="str">
        <f>IF(NOTA[[#This Row],[JUMLAH]]="","",(NOTA[[#This Row],[JUMLAH]]-NOTA[[#This Row],[DISC 1-]])*NOTA[[#This Row],[DISC 2]])</f>
        <v/>
      </c>
      <c r="AA930" s="37" t="str">
        <f>IF(NOTA[[#This Row],[JUMLAH]]="","",(NOTA[[#This Row],[JUMLAH]]-NOTA[[#This Row],[DISC 1-]]-NOTA[[#This Row],[DISC 2-]])*NOTA[[#This Row],[DISC 3]])</f>
        <v/>
      </c>
      <c r="AB930" s="37" t="str">
        <f>IF(NOTA[[#This Row],[JUMLAH]]="","",NOTA[[#This Row],[DISC 1-]]+NOTA[[#This Row],[DISC 2-]]+NOTA[[#This Row],[DISC 3-]])</f>
        <v/>
      </c>
      <c r="AC930" s="37" t="str">
        <f>IF(NOTA[[#This Row],[JUMLAH]]="","",NOTA[[#This Row],[JUMLAH]]-NOTA[[#This Row],[DISC]])</f>
        <v/>
      </c>
      <c r="AD930" s="37"/>
      <c r="AE9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0" s="37" t="str">
        <f>IF(OR(NOTA[[#This Row],[QTY]]="",NOTA[[#This Row],[HARGA SATUAN]]="",),"",NOTA[[#This Row],[QTY]]*NOTA[[#This Row],[HARGA SATUAN]])</f>
        <v/>
      </c>
      <c r="AI930" s="26" t="str">
        <f ca="1">IF(NOTA[[#This Row],[ID_H]]="","",INDEX(NOTA[TANGGAL],MATCH(,INDIRECT(ADDRESS(ROW(NOTA[TANGGAL]),COLUMN(NOTA[TANGGAL]))&amp;":"&amp;ADDRESS(ROW(),COLUMN(NOTA[TANGGAL]))),-1)))</f>
        <v/>
      </c>
      <c r="AJ930" s="26" t="str">
        <f ca="1">IF(NOTA[[#This Row],[ID_H]]="","",INDEX(NOTA[TGL.NOTA],MATCH(,INDIRECT(ADDRESS(ROW(NOTA[TGL.NOTA]),COLUMN(NOTA[TGL.NOTA]))&amp;":"&amp;ADDRESS(ROW(),COLUMN(NOTA[TGL.NOTA]))),-1)))</f>
        <v/>
      </c>
      <c r="AK930" s="26" t="str">
        <f ca="1">IF(NOTA[[#This Row],[ID_H]]="","",INDEX(NOTA[NO.NOTA],MATCH(NOTA[[#This Row],[ID_H]],NOTA[ID_H],0)))</f>
        <v/>
      </c>
      <c r="AL930" s="28" t="str">
        <f ca="1">IF(NOTA[[#This Row],[NAMA BARANG]]="","",INDEX(NOTA[SUPPLIER],MATCH(,INDIRECT(ADDRESS(ROW(NOTA[ID]),COLUMN(NOTA[ID]))&amp;":"&amp;ADDRESS(ROW(),COLUMN(NOTA[ID]))),-1)))</f>
        <v/>
      </c>
      <c r="AM930" s="28" t="str">
        <f ca="1">IF(NOTA[[#This Row],[ID_H]]="","",IF(NOTA[[#This Row],[FAKTUR]]="",INDIRECT(ADDRESS(ROW()-1,COLUMN())),NOTA[[#This Row],[FAKTUR]]))</f>
        <v/>
      </c>
      <c r="AN930" s="25" t="str">
        <f ca="1">IF(NOTA[[#This Row],[ID]]="","",COUNTIF(NOTA[ID_H],NOTA[[#This Row],[ID_H]]))</f>
        <v/>
      </c>
      <c r="AO930" s="25" t="str">
        <f ca="1">IF(NOTA[[#This Row],[TGL.NOTA]]="",IF(NOTA[[#This Row],[SUPPLIER_H]]="","",AO929),MONTH(NOTA[[#This Row],[TGL.NOTA]]))</f>
        <v/>
      </c>
      <c r="AP9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0" s="25"/>
      <c r="AU930" s="25" t="str">
        <f>IF(NOTA[[#This Row],[CONCAT1]]="","",MATCH(NOTA[[#This Row],[CONCAT1]],[3]!db[NB NOTA_C],0))</f>
        <v/>
      </c>
      <c r="AV930" s="25" t="str">
        <f>IF(NOTA[[#This Row],[QTY/ CTN]]="","",TRUE)</f>
        <v/>
      </c>
      <c r="AW930" s="25" t="str">
        <f ca="1">IF(NOTA[[#This Row],[ID_H]]="","",IF(NOTA[[#This Row],[Column3]]=TRUE,NOTA[[#This Row],[QTY/ CTN]],INDEX([3]!db[QTY/ CTN],NOTA[[#This Row],[//DB]])))</f>
        <v/>
      </c>
      <c r="AX9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0" s="25" t="str">
        <f ca="1">IF(NOTA[[#This Row],[ID_H]]="","",MATCH(NOTA[[#This Row],[NB NOTA_C_QTY]],[3]!db[NB NOTA_C_QTY+F],0))</f>
        <v/>
      </c>
      <c r="AZ930" s="38" t="str">
        <f ca="1">IF(NOTA[[#This Row],[NB NOTA_C_QTY]]="","",ROW()-2)</f>
        <v/>
      </c>
    </row>
    <row r="931" spans="1:52" ht="20.100000000000001" customHeight="1">
      <c r="A9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1" s="25" t="str">
        <f ca="1">IF(NOTA[[#This Row],[NAMA BARANG]]="","",INDEX(NOTA[ID],MATCH(,INDIRECT(ADDRESS(ROW(NOTA[ID]),COLUMN(NOTA[ID]))&amp;":"&amp;ADDRESS(ROW(),COLUMN(NOTA[ID]))),-1)))</f>
        <v/>
      </c>
      <c r="E931" s="33"/>
      <c r="H931" s="34"/>
      <c r="Q931" s="29"/>
      <c r="R931" s="35"/>
      <c r="S931" s="36"/>
      <c r="V931" s="37"/>
      <c r="W931" s="32"/>
      <c r="X931" s="37" t="str">
        <f>IF(NOTA[[#This Row],[HARGA/ CTN]]="",NOTA[[#This Row],[JUMLAH_H]],NOTA[[#This Row],[HARGA/ CTN]]*IF(NOTA[[#This Row],[C]]="",0,NOTA[[#This Row],[C]]))</f>
        <v/>
      </c>
      <c r="Y931" s="37" t="str">
        <f>IF(NOTA[[#This Row],[JUMLAH]]="","",NOTA[[#This Row],[JUMLAH]]*NOTA[[#This Row],[DISC 1]])</f>
        <v/>
      </c>
      <c r="Z931" s="37" t="str">
        <f>IF(NOTA[[#This Row],[JUMLAH]]="","",(NOTA[[#This Row],[JUMLAH]]-NOTA[[#This Row],[DISC 1-]])*NOTA[[#This Row],[DISC 2]])</f>
        <v/>
      </c>
      <c r="AA931" s="37" t="str">
        <f>IF(NOTA[[#This Row],[JUMLAH]]="","",(NOTA[[#This Row],[JUMLAH]]-NOTA[[#This Row],[DISC 1-]]-NOTA[[#This Row],[DISC 2-]])*NOTA[[#This Row],[DISC 3]])</f>
        <v/>
      </c>
      <c r="AB931" s="37" t="str">
        <f>IF(NOTA[[#This Row],[JUMLAH]]="","",NOTA[[#This Row],[DISC 1-]]+NOTA[[#This Row],[DISC 2-]]+NOTA[[#This Row],[DISC 3-]])</f>
        <v/>
      </c>
      <c r="AC931" s="37" t="str">
        <f>IF(NOTA[[#This Row],[JUMLAH]]="","",NOTA[[#This Row],[JUMLAH]]-NOTA[[#This Row],[DISC]])</f>
        <v/>
      </c>
      <c r="AD931" s="37"/>
      <c r="AE9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1" s="37" t="str">
        <f>IF(OR(NOTA[[#This Row],[QTY]]="",NOTA[[#This Row],[HARGA SATUAN]]="",),"",NOTA[[#This Row],[QTY]]*NOTA[[#This Row],[HARGA SATUAN]])</f>
        <v/>
      </c>
      <c r="AI931" s="26" t="str">
        <f ca="1">IF(NOTA[[#This Row],[ID_H]]="","",INDEX(NOTA[TANGGAL],MATCH(,INDIRECT(ADDRESS(ROW(NOTA[TANGGAL]),COLUMN(NOTA[TANGGAL]))&amp;":"&amp;ADDRESS(ROW(),COLUMN(NOTA[TANGGAL]))),-1)))</f>
        <v/>
      </c>
      <c r="AJ931" s="26" t="str">
        <f ca="1">IF(NOTA[[#This Row],[ID_H]]="","",INDEX(NOTA[TGL.NOTA],MATCH(,INDIRECT(ADDRESS(ROW(NOTA[TGL.NOTA]),COLUMN(NOTA[TGL.NOTA]))&amp;":"&amp;ADDRESS(ROW(),COLUMN(NOTA[TGL.NOTA]))),-1)))</f>
        <v/>
      </c>
      <c r="AK931" s="26" t="str">
        <f ca="1">IF(NOTA[[#This Row],[ID_H]]="","",INDEX(NOTA[NO.NOTA],MATCH(NOTA[[#This Row],[ID_H]],NOTA[ID_H],0)))</f>
        <v/>
      </c>
      <c r="AL931" s="28" t="str">
        <f ca="1">IF(NOTA[[#This Row],[NAMA BARANG]]="","",INDEX(NOTA[SUPPLIER],MATCH(,INDIRECT(ADDRESS(ROW(NOTA[ID]),COLUMN(NOTA[ID]))&amp;":"&amp;ADDRESS(ROW(),COLUMN(NOTA[ID]))),-1)))</f>
        <v/>
      </c>
      <c r="AM931" s="28" t="str">
        <f ca="1">IF(NOTA[[#This Row],[ID_H]]="","",IF(NOTA[[#This Row],[FAKTUR]]="",INDIRECT(ADDRESS(ROW()-1,COLUMN())),NOTA[[#This Row],[FAKTUR]]))</f>
        <v/>
      </c>
      <c r="AN931" s="25" t="str">
        <f ca="1">IF(NOTA[[#This Row],[ID]]="","",COUNTIF(NOTA[ID_H],NOTA[[#This Row],[ID_H]]))</f>
        <v/>
      </c>
      <c r="AO931" s="25" t="str">
        <f ca="1">IF(NOTA[[#This Row],[TGL.NOTA]]="",IF(NOTA[[#This Row],[SUPPLIER_H]]="","",AO930),MONTH(NOTA[[#This Row],[TGL.NOTA]]))</f>
        <v/>
      </c>
      <c r="AP9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1" s="25"/>
      <c r="AU931" s="25" t="str">
        <f>IF(NOTA[[#This Row],[CONCAT1]]="","",MATCH(NOTA[[#This Row],[CONCAT1]],[3]!db[NB NOTA_C],0))</f>
        <v/>
      </c>
      <c r="AV931" s="25" t="str">
        <f>IF(NOTA[[#This Row],[QTY/ CTN]]="","",TRUE)</f>
        <v/>
      </c>
      <c r="AW931" s="25" t="str">
        <f ca="1">IF(NOTA[[#This Row],[ID_H]]="","",IF(NOTA[[#This Row],[Column3]]=TRUE,NOTA[[#This Row],[QTY/ CTN]],INDEX([3]!db[QTY/ CTN],NOTA[[#This Row],[//DB]])))</f>
        <v/>
      </c>
      <c r="AX9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1" s="25" t="str">
        <f ca="1">IF(NOTA[[#This Row],[ID_H]]="","",MATCH(NOTA[[#This Row],[NB NOTA_C_QTY]],[3]!db[NB NOTA_C_QTY+F],0))</f>
        <v/>
      </c>
      <c r="AZ931" s="38" t="str">
        <f ca="1">IF(NOTA[[#This Row],[NB NOTA_C_QTY]]="","",ROW()-2)</f>
        <v/>
      </c>
    </row>
    <row r="932" spans="1:52" ht="20.100000000000001" customHeight="1">
      <c r="A9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2" s="25" t="str">
        <f ca="1">IF(NOTA[[#This Row],[NAMA BARANG]]="","",INDEX(NOTA[ID],MATCH(,INDIRECT(ADDRESS(ROW(NOTA[ID]),COLUMN(NOTA[ID]))&amp;":"&amp;ADDRESS(ROW(),COLUMN(NOTA[ID]))),-1)))</f>
        <v/>
      </c>
      <c r="E932" s="33"/>
      <c r="H932" s="34"/>
      <c r="Q932" s="29"/>
      <c r="R932" s="35"/>
      <c r="S932" s="36"/>
      <c r="V932" s="37"/>
      <c r="W932" s="32"/>
      <c r="X932" s="37" t="str">
        <f>IF(NOTA[[#This Row],[HARGA/ CTN]]="",NOTA[[#This Row],[JUMLAH_H]],NOTA[[#This Row],[HARGA/ CTN]]*IF(NOTA[[#This Row],[C]]="",0,NOTA[[#This Row],[C]]))</f>
        <v/>
      </c>
      <c r="Y932" s="37" t="str">
        <f>IF(NOTA[[#This Row],[JUMLAH]]="","",NOTA[[#This Row],[JUMLAH]]*NOTA[[#This Row],[DISC 1]])</f>
        <v/>
      </c>
      <c r="Z932" s="37" t="str">
        <f>IF(NOTA[[#This Row],[JUMLAH]]="","",(NOTA[[#This Row],[JUMLAH]]-NOTA[[#This Row],[DISC 1-]])*NOTA[[#This Row],[DISC 2]])</f>
        <v/>
      </c>
      <c r="AA932" s="37" t="str">
        <f>IF(NOTA[[#This Row],[JUMLAH]]="","",(NOTA[[#This Row],[JUMLAH]]-NOTA[[#This Row],[DISC 1-]]-NOTA[[#This Row],[DISC 2-]])*NOTA[[#This Row],[DISC 3]])</f>
        <v/>
      </c>
      <c r="AB932" s="37" t="str">
        <f>IF(NOTA[[#This Row],[JUMLAH]]="","",NOTA[[#This Row],[DISC 1-]]+NOTA[[#This Row],[DISC 2-]]+NOTA[[#This Row],[DISC 3-]])</f>
        <v/>
      </c>
      <c r="AC932" s="37" t="str">
        <f>IF(NOTA[[#This Row],[JUMLAH]]="","",NOTA[[#This Row],[JUMLAH]]-NOTA[[#This Row],[DISC]])</f>
        <v/>
      </c>
      <c r="AD932" s="37"/>
      <c r="AE9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2" s="37" t="str">
        <f>IF(OR(NOTA[[#This Row],[QTY]]="",NOTA[[#This Row],[HARGA SATUAN]]="",),"",NOTA[[#This Row],[QTY]]*NOTA[[#This Row],[HARGA SATUAN]])</f>
        <v/>
      </c>
      <c r="AI932" s="26" t="str">
        <f ca="1">IF(NOTA[[#This Row],[ID_H]]="","",INDEX(NOTA[TANGGAL],MATCH(,INDIRECT(ADDRESS(ROW(NOTA[TANGGAL]),COLUMN(NOTA[TANGGAL]))&amp;":"&amp;ADDRESS(ROW(),COLUMN(NOTA[TANGGAL]))),-1)))</f>
        <v/>
      </c>
      <c r="AJ932" s="26" t="str">
        <f ca="1">IF(NOTA[[#This Row],[ID_H]]="","",INDEX(NOTA[TGL.NOTA],MATCH(,INDIRECT(ADDRESS(ROW(NOTA[TGL.NOTA]),COLUMN(NOTA[TGL.NOTA]))&amp;":"&amp;ADDRESS(ROW(),COLUMN(NOTA[TGL.NOTA]))),-1)))</f>
        <v/>
      </c>
      <c r="AK932" s="26" t="str">
        <f ca="1">IF(NOTA[[#This Row],[ID_H]]="","",INDEX(NOTA[NO.NOTA],MATCH(NOTA[[#This Row],[ID_H]],NOTA[ID_H],0)))</f>
        <v/>
      </c>
      <c r="AL932" s="28" t="str">
        <f ca="1">IF(NOTA[[#This Row],[NAMA BARANG]]="","",INDEX(NOTA[SUPPLIER],MATCH(,INDIRECT(ADDRESS(ROW(NOTA[ID]),COLUMN(NOTA[ID]))&amp;":"&amp;ADDRESS(ROW(),COLUMN(NOTA[ID]))),-1)))</f>
        <v/>
      </c>
      <c r="AM932" s="28" t="str">
        <f ca="1">IF(NOTA[[#This Row],[ID_H]]="","",IF(NOTA[[#This Row],[FAKTUR]]="",INDIRECT(ADDRESS(ROW()-1,COLUMN())),NOTA[[#This Row],[FAKTUR]]))</f>
        <v/>
      </c>
      <c r="AN932" s="25" t="str">
        <f ca="1">IF(NOTA[[#This Row],[ID]]="","",COUNTIF(NOTA[ID_H],NOTA[[#This Row],[ID_H]]))</f>
        <v/>
      </c>
      <c r="AO932" s="25" t="str">
        <f ca="1">IF(NOTA[[#This Row],[TGL.NOTA]]="",IF(NOTA[[#This Row],[SUPPLIER_H]]="","",AO931),MONTH(NOTA[[#This Row],[TGL.NOTA]]))</f>
        <v/>
      </c>
      <c r="AP9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2" s="25"/>
      <c r="AU932" s="25" t="str">
        <f>IF(NOTA[[#This Row],[CONCAT1]]="","",MATCH(NOTA[[#This Row],[CONCAT1]],[3]!db[NB NOTA_C],0))</f>
        <v/>
      </c>
      <c r="AV932" s="25" t="str">
        <f>IF(NOTA[[#This Row],[QTY/ CTN]]="","",TRUE)</f>
        <v/>
      </c>
      <c r="AW932" s="25" t="str">
        <f ca="1">IF(NOTA[[#This Row],[ID_H]]="","",IF(NOTA[[#This Row],[Column3]]=TRUE,NOTA[[#This Row],[QTY/ CTN]],INDEX([3]!db[QTY/ CTN],NOTA[[#This Row],[//DB]])))</f>
        <v/>
      </c>
      <c r="AX9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2" s="25" t="str">
        <f ca="1">IF(NOTA[[#This Row],[ID_H]]="","",MATCH(NOTA[[#This Row],[NB NOTA_C_QTY]],[3]!db[NB NOTA_C_QTY+F],0))</f>
        <v/>
      </c>
      <c r="AZ932" s="38" t="str">
        <f ca="1">IF(NOTA[[#This Row],[NB NOTA_C_QTY]]="","",ROW()-2)</f>
        <v/>
      </c>
    </row>
    <row r="933" spans="1:52" ht="20.100000000000001" customHeight="1">
      <c r="A9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3" s="25" t="str">
        <f ca="1">IF(NOTA[[#This Row],[NAMA BARANG]]="","",INDEX(NOTA[ID],MATCH(,INDIRECT(ADDRESS(ROW(NOTA[ID]),COLUMN(NOTA[ID]))&amp;":"&amp;ADDRESS(ROW(),COLUMN(NOTA[ID]))),-1)))</f>
        <v/>
      </c>
      <c r="E933" s="33"/>
      <c r="H933" s="34"/>
      <c r="Q933" s="29"/>
      <c r="R933" s="35"/>
      <c r="S933" s="36"/>
      <c r="V933" s="37"/>
      <c r="W933" s="32"/>
      <c r="X933" s="37" t="str">
        <f>IF(NOTA[[#This Row],[HARGA/ CTN]]="",NOTA[[#This Row],[JUMLAH_H]],NOTA[[#This Row],[HARGA/ CTN]]*IF(NOTA[[#This Row],[C]]="",0,NOTA[[#This Row],[C]]))</f>
        <v/>
      </c>
      <c r="Y933" s="37" t="str">
        <f>IF(NOTA[[#This Row],[JUMLAH]]="","",NOTA[[#This Row],[JUMLAH]]*NOTA[[#This Row],[DISC 1]])</f>
        <v/>
      </c>
      <c r="Z933" s="37" t="str">
        <f>IF(NOTA[[#This Row],[JUMLAH]]="","",(NOTA[[#This Row],[JUMLAH]]-NOTA[[#This Row],[DISC 1-]])*NOTA[[#This Row],[DISC 2]])</f>
        <v/>
      </c>
      <c r="AA933" s="37" t="str">
        <f>IF(NOTA[[#This Row],[JUMLAH]]="","",(NOTA[[#This Row],[JUMLAH]]-NOTA[[#This Row],[DISC 1-]]-NOTA[[#This Row],[DISC 2-]])*NOTA[[#This Row],[DISC 3]])</f>
        <v/>
      </c>
      <c r="AB933" s="37" t="str">
        <f>IF(NOTA[[#This Row],[JUMLAH]]="","",NOTA[[#This Row],[DISC 1-]]+NOTA[[#This Row],[DISC 2-]]+NOTA[[#This Row],[DISC 3-]])</f>
        <v/>
      </c>
      <c r="AC933" s="37" t="str">
        <f>IF(NOTA[[#This Row],[JUMLAH]]="","",NOTA[[#This Row],[JUMLAH]]-NOTA[[#This Row],[DISC]])</f>
        <v/>
      </c>
      <c r="AD933" s="37"/>
      <c r="AE9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3" s="37" t="str">
        <f>IF(OR(NOTA[[#This Row],[QTY]]="",NOTA[[#This Row],[HARGA SATUAN]]="",),"",NOTA[[#This Row],[QTY]]*NOTA[[#This Row],[HARGA SATUAN]])</f>
        <v/>
      </c>
      <c r="AI933" s="26" t="str">
        <f ca="1">IF(NOTA[[#This Row],[ID_H]]="","",INDEX(NOTA[TANGGAL],MATCH(,INDIRECT(ADDRESS(ROW(NOTA[TANGGAL]),COLUMN(NOTA[TANGGAL]))&amp;":"&amp;ADDRESS(ROW(),COLUMN(NOTA[TANGGAL]))),-1)))</f>
        <v/>
      </c>
      <c r="AJ933" s="26" t="str">
        <f ca="1">IF(NOTA[[#This Row],[ID_H]]="","",INDEX(NOTA[TGL.NOTA],MATCH(,INDIRECT(ADDRESS(ROW(NOTA[TGL.NOTA]),COLUMN(NOTA[TGL.NOTA]))&amp;":"&amp;ADDRESS(ROW(),COLUMN(NOTA[TGL.NOTA]))),-1)))</f>
        <v/>
      </c>
      <c r="AK933" s="26" t="str">
        <f ca="1">IF(NOTA[[#This Row],[ID_H]]="","",INDEX(NOTA[NO.NOTA],MATCH(NOTA[[#This Row],[ID_H]],NOTA[ID_H],0)))</f>
        <v/>
      </c>
      <c r="AL933" s="28" t="str">
        <f ca="1">IF(NOTA[[#This Row],[NAMA BARANG]]="","",INDEX(NOTA[SUPPLIER],MATCH(,INDIRECT(ADDRESS(ROW(NOTA[ID]),COLUMN(NOTA[ID]))&amp;":"&amp;ADDRESS(ROW(),COLUMN(NOTA[ID]))),-1)))</f>
        <v/>
      </c>
      <c r="AM933" s="28" t="str">
        <f ca="1">IF(NOTA[[#This Row],[ID_H]]="","",IF(NOTA[[#This Row],[FAKTUR]]="",INDIRECT(ADDRESS(ROW()-1,COLUMN())),NOTA[[#This Row],[FAKTUR]]))</f>
        <v/>
      </c>
      <c r="AN933" s="25" t="str">
        <f ca="1">IF(NOTA[[#This Row],[ID]]="","",COUNTIF(NOTA[ID_H],NOTA[[#This Row],[ID_H]]))</f>
        <v/>
      </c>
      <c r="AO933" s="25" t="str">
        <f ca="1">IF(NOTA[[#This Row],[TGL.NOTA]]="",IF(NOTA[[#This Row],[SUPPLIER_H]]="","",AO932),MONTH(NOTA[[#This Row],[TGL.NOTA]]))</f>
        <v/>
      </c>
      <c r="AP9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3" s="25"/>
      <c r="AU933" s="25" t="str">
        <f>IF(NOTA[[#This Row],[CONCAT1]]="","",MATCH(NOTA[[#This Row],[CONCAT1]],[3]!db[NB NOTA_C],0))</f>
        <v/>
      </c>
      <c r="AV933" s="25" t="str">
        <f>IF(NOTA[[#This Row],[QTY/ CTN]]="","",TRUE)</f>
        <v/>
      </c>
      <c r="AW933" s="25" t="str">
        <f ca="1">IF(NOTA[[#This Row],[ID_H]]="","",IF(NOTA[[#This Row],[Column3]]=TRUE,NOTA[[#This Row],[QTY/ CTN]],INDEX([3]!db[QTY/ CTN],NOTA[[#This Row],[//DB]])))</f>
        <v/>
      </c>
      <c r="AX9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3" s="25" t="str">
        <f ca="1">IF(NOTA[[#This Row],[ID_H]]="","",MATCH(NOTA[[#This Row],[NB NOTA_C_QTY]],[3]!db[NB NOTA_C_QTY+F],0))</f>
        <v/>
      </c>
      <c r="AZ933" s="38" t="str">
        <f ca="1">IF(NOTA[[#This Row],[NB NOTA_C_QTY]]="","",ROW()-2)</f>
        <v/>
      </c>
    </row>
    <row r="934" spans="1:52" ht="20.100000000000001" customHeight="1">
      <c r="A9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4" s="25" t="str">
        <f ca="1">IF(NOTA[[#This Row],[NAMA BARANG]]="","",INDEX(NOTA[ID],MATCH(,INDIRECT(ADDRESS(ROW(NOTA[ID]),COLUMN(NOTA[ID]))&amp;":"&amp;ADDRESS(ROW(),COLUMN(NOTA[ID]))),-1)))</f>
        <v/>
      </c>
      <c r="E934" s="33"/>
      <c r="H934" s="34"/>
      <c r="Q934" s="29"/>
      <c r="R934" s="35"/>
      <c r="S934" s="36"/>
      <c r="V934" s="37"/>
      <c r="W934" s="32"/>
      <c r="X934" s="37" t="str">
        <f>IF(NOTA[[#This Row],[HARGA/ CTN]]="",NOTA[[#This Row],[JUMLAH_H]],NOTA[[#This Row],[HARGA/ CTN]]*IF(NOTA[[#This Row],[C]]="",0,NOTA[[#This Row],[C]]))</f>
        <v/>
      </c>
      <c r="Y934" s="37" t="str">
        <f>IF(NOTA[[#This Row],[JUMLAH]]="","",NOTA[[#This Row],[JUMLAH]]*NOTA[[#This Row],[DISC 1]])</f>
        <v/>
      </c>
      <c r="Z934" s="37" t="str">
        <f>IF(NOTA[[#This Row],[JUMLAH]]="","",(NOTA[[#This Row],[JUMLAH]]-NOTA[[#This Row],[DISC 1-]])*NOTA[[#This Row],[DISC 2]])</f>
        <v/>
      </c>
      <c r="AA934" s="37" t="str">
        <f>IF(NOTA[[#This Row],[JUMLAH]]="","",(NOTA[[#This Row],[JUMLAH]]-NOTA[[#This Row],[DISC 1-]]-NOTA[[#This Row],[DISC 2-]])*NOTA[[#This Row],[DISC 3]])</f>
        <v/>
      </c>
      <c r="AB934" s="37" t="str">
        <f>IF(NOTA[[#This Row],[JUMLAH]]="","",NOTA[[#This Row],[DISC 1-]]+NOTA[[#This Row],[DISC 2-]]+NOTA[[#This Row],[DISC 3-]])</f>
        <v/>
      </c>
      <c r="AC934" s="37" t="str">
        <f>IF(NOTA[[#This Row],[JUMLAH]]="","",NOTA[[#This Row],[JUMLAH]]-NOTA[[#This Row],[DISC]])</f>
        <v/>
      </c>
      <c r="AD934" s="37"/>
      <c r="AE9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4" s="37" t="str">
        <f>IF(OR(NOTA[[#This Row],[QTY]]="",NOTA[[#This Row],[HARGA SATUAN]]="",),"",NOTA[[#This Row],[QTY]]*NOTA[[#This Row],[HARGA SATUAN]])</f>
        <v/>
      </c>
      <c r="AI934" s="26" t="str">
        <f ca="1">IF(NOTA[[#This Row],[ID_H]]="","",INDEX(NOTA[TANGGAL],MATCH(,INDIRECT(ADDRESS(ROW(NOTA[TANGGAL]),COLUMN(NOTA[TANGGAL]))&amp;":"&amp;ADDRESS(ROW(),COLUMN(NOTA[TANGGAL]))),-1)))</f>
        <v/>
      </c>
      <c r="AJ934" s="26" t="str">
        <f ca="1">IF(NOTA[[#This Row],[ID_H]]="","",INDEX(NOTA[TGL.NOTA],MATCH(,INDIRECT(ADDRESS(ROW(NOTA[TGL.NOTA]),COLUMN(NOTA[TGL.NOTA]))&amp;":"&amp;ADDRESS(ROW(),COLUMN(NOTA[TGL.NOTA]))),-1)))</f>
        <v/>
      </c>
      <c r="AK934" s="26" t="str">
        <f ca="1">IF(NOTA[[#This Row],[ID_H]]="","",INDEX(NOTA[NO.NOTA],MATCH(NOTA[[#This Row],[ID_H]],NOTA[ID_H],0)))</f>
        <v/>
      </c>
      <c r="AL934" s="28" t="str">
        <f ca="1">IF(NOTA[[#This Row],[NAMA BARANG]]="","",INDEX(NOTA[SUPPLIER],MATCH(,INDIRECT(ADDRESS(ROW(NOTA[ID]),COLUMN(NOTA[ID]))&amp;":"&amp;ADDRESS(ROW(),COLUMN(NOTA[ID]))),-1)))</f>
        <v/>
      </c>
      <c r="AM934" s="28" t="str">
        <f ca="1">IF(NOTA[[#This Row],[ID_H]]="","",IF(NOTA[[#This Row],[FAKTUR]]="",INDIRECT(ADDRESS(ROW()-1,COLUMN())),NOTA[[#This Row],[FAKTUR]]))</f>
        <v/>
      </c>
      <c r="AN934" s="25" t="str">
        <f ca="1">IF(NOTA[[#This Row],[ID]]="","",COUNTIF(NOTA[ID_H],NOTA[[#This Row],[ID_H]]))</f>
        <v/>
      </c>
      <c r="AO934" s="25" t="str">
        <f ca="1">IF(NOTA[[#This Row],[TGL.NOTA]]="",IF(NOTA[[#This Row],[SUPPLIER_H]]="","",AO933),MONTH(NOTA[[#This Row],[TGL.NOTA]]))</f>
        <v/>
      </c>
      <c r="AP9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4" s="25"/>
      <c r="AU934" s="25" t="str">
        <f>IF(NOTA[[#This Row],[CONCAT1]]="","",MATCH(NOTA[[#This Row],[CONCAT1]],[3]!db[NB NOTA_C],0))</f>
        <v/>
      </c>
      <c r="AV934" s="25" t="str">
        <f>IF(NOTA[[#This Row],[QTY/ CTN]]="","",TRUE)</f>
        <v/>
      </c>
      <c r="AW934" s="25" t="str">
        <f ca="1">IF(NOTA[[#This Row],[ID_H]]="","",IF(NOTA[[#This Row],[Column3]]=TRUE,NOTA[[#This Row],[QTY/ CTN]],INDEX([3]!db[QTY/ CTN],NOTA[[#This Row],[//DB]])))</f>
        <v/>
      </c>
      <c r="AX9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4" s="25" t="str">
        <f ca="1">IF(NOTA[[#This Row],[ID_H]]="","",MATCH(NOTA[[#This Row],[NB NOTA_C_QTY]],[3]!db[NB NOTA_C_QTY+F],0))</f>
        <v/>
      </c>
      <c r="AZ934" s="38" t="str">
        <f ca="1">IF(NOTA[[#This Row],[NB NOTA_C_QTY]]="","",ROW()-2)</f>
        <v/>
      </c>
    </row>
    <row r="935" spans="1:52" ht="20.100000000000001" customHeight="1">
      <c r="A9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5" s="25" t="str">
        <f ca="1">IF(NOTA[[#This Row],[NAMA BARANG]]="","",INDEX(NOTA[ID],MATCH(,INDIRECT(ADDRESS(ROW(NOTA[ID]),COLUMN(NOTA[ID]))&amp;":"&amp;ADDRESS(ROW(),COLUMN(NOTA[ID]))),-1)))</f>
        <v/>
      </c>
      <c r="E935" s="33"/>
      <c r="H935" s="34"/>
      <c r="Q935" s="29"/>
      <c r="R935" s="35"/>
      <c r="S935" s="36"/>
      <c r="V935" s="37"/>
      <c r="W935" s="32"/>
      <c r="X935" s="37" t="str">
        <f>IF(NOTA[[#This Row],[HARGA/ CTN]]="",NOTA[[#This Row],[JUMLAH_H]],NOTA[[#This Row],[HARGA/ CTN]]*IF(NOTA[[#This Row],[C]]="",0,NOTA[[#This Row],[C]]))</f>
        <v/>
      </c>
      <c r="Y935" s="37" t="str">
        <f>IF(NOTA[[#This Row],[JUMLAH]]="","",NOTA[[#This Row],[JUMLAH]]*NOTA[[#This Row],[DISC 1]])</f>
        <v/>
      </c>
      <c r="Z935" s="37" t="str">
        <f>IF(NOTA[[#This Row],[JUMLAH]]="","",(NOTA[[#This Row],[JUMLAH]]-NOTA[[#This Row],[DISC 1-]])*NOTA[[#This Row],[DISC 2]])</f>
        <v/>
      </c>
      <c r="AA935" s="37" t="str">
        <f>IF(NOTA[[#This Row],[JUMLAH]]="","",(NOTA[[#This Row],[JUMLAH]]-NOTA[[#This Row],[DISC 1-]]-NOTA[[#This Row],[DISC 2-]])*NOTA[[#This Row],[DISC 3]])</f>
        <v/>
      </c>
      <c r="AB935" s="37" t="str">
        <f>IF(NOTA[[#This Row],[JUMLAH]]="","",NOTA[[#This Row],[DISC 1-]]+NOTA[[#This Row],[DISC 2-]]+NOTA[[#This Row],[DISC 3-]])</f>
        <v/>
      </c>
      <c r="AC935" s="37" t="str">
        <f>IF(NOTA[[#This Row],[JUMLAH]]="","",NOTA[[#This Row],[JUMLAH]]-NOTA[[#This Row],[DISC]])</f>
        <v/>
      </c>
      <c r="AD935" s="37"/>
      <c r="AE9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5" s="37" t="str">
        <f>IF(OR(NOTA[[#This Row],[QTY]]="",NOTA[[#This Row],[HARGA SATUAN]]="",),"",NOTA[[#This Row],[QTY]]*NOTA[[#This Row],[HARGA SATUAN]])</f>
        <v/>
      </c>
      <c r="AI935" s="26" t="str">
        <f ca="1">IF(NOTA[[#This Row],[ID_H]]="","",INDEX(NOTA[TANGGAL],MATCH(,INDIRECT(ADDRESS(ROW(NOTA[TANGGAL]),COLUMN(NOTA[TANGGAL]))&amp;":"&amp;ADDRESS(ROW(),COLUMN(NOTA[TANGGAL]))),-1)))</f>
        <v/>
      </c>
      <c r="AJ935" s="26" t="str">
        <f ca="1">IF(NOTA[[#This Row],[ID_H]]="","",INDEX(NOTA[TGL.NOTA],MATCH(,INDIRECT(ADDRESS(ROW(NOTA[TGL.NOTA]),COLUMN(NOTA[TGL.NOTA]))&amp;":"&amp;ADDRESS(ROW(),COLUMN(NOTA[TGL.NOTA]))),-1)))</f>
        <v/>
      </c>
      <c r="AK935" s="26" t="str">
        <f ca="1">IF(NOTA[[#This Row],[ID_H]]="","",INDEX(NOTA[NO.NOTA],MATCH(NOTA[[#This Row],[ID_H]],NOTA[ID_H],0)))</f>
        <v/>
      </c>
      <c r="AL935" s="28" t="str">
        <f ca="1">IF(NOTA[[#This Row],[NAMA BARANG]]="","",INDEX(NOTA[SUPPLIER],MATCH(,INDIRECT(ADDRESS(ROW(NOTA[ID]),COLUMN(NOTA[ID]))&amp;":"&amp;ADDRESS(ROW(),COLUMN(NOTA[ID]))),-1)))</f>
        <v/>
      </c>
      <c r="AM935" s="28" t="str">
        <f ca="1">IF(NOTA[[#This Row],[ID_H]]="","",IF(NOTA[[#This Row],[FAKTUR]]="",INDIRECT(ADDRESS(ROW()-1,COLUMN())),NOTA[[#This Row],[FAKTUR]]))</f>
        <v/>
      </c>
      <c r="AN935" s="25" t="str">
        <f ca="1">IF(NOTA[[#This Row],[ID]]="","",COUNTIF(NOTA[ID_H],NOTA[[#This Row],[ID_H]]))</f>
        <v/>
      </c>
      <c r="AO935" s="25" t="str">
        <f ca="1">IF(NOTA[[#This Row],[TGL.NOTA]]="",IF(NOTA[[#This Row],[SUPPLIER_H]]="","",AO934),MONTH(NOTA[[#This Row],[TGL.NOTA]]))</f>
        <v/>
      </c>
      <c r="AP9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5" s="25"/>
      <c r="AU935" s="25" t="str">
        <f>IF(NOTA[[#This Row],[CONCAT1]]="","",MATCH(NOTA[[#This Row],[CONCAT1]],[3]!db[NB NOTA_C],0))</f>
        <v/>
      </c>
      <c r="AV935" s="25" t="str">
        <f>IF(NOTA[[#This Row],[QTY/ CTN]]="","",TRUE)</f>
        <v/>
      </c>
      <c r="AW935" s="25" t="str">
        <f ca="1">IF(NOTA[[#This Row],[ID_H]]="","",IF(NOTA[[#This Row],[Column3]]=TRUE,NOTA[[#This Row],[QTY/ CTN]],INDEX([3]!db[QTY/ CTN],NOTA[[#This Row],[//DB]])))</f>
        <v/>
      </c>
      <c r="AX9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5" s="25" t="str">
        <f ca="1">IF(NOTA[[#This Row],[ID_H]]="","",MATCH(NOTA[[#This Row],[NB NOTA_C_QTY]],[3]!db[NB NOTA_C_QTY+F],0))</f>
        <v/>
      </c>
      <c r="AZ935" s="38" t="str">
        <f ca="1">IF(NOTA[[#This Row],[NB NOTA_C_QTY]]="","",ROW()-2)</f>
        <v/>
      </c>
    </row>
    <row r="936" spans="1:52" ht="20.100000000000001" customHeight="1">
      <c r="A9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6" s="25" t="str">
        <f ca="1">IF(NOTA[[#This Row],[NAMA BARANG]]="","",INDEX(NOTA[ID],MATCH(,INDIRECT(ADDRESS(ROW(NOTA[ID]),COLUMN(NOTA[ID]))&amp;":"&amp;ADDRESS(ROW(),COLUMN(NOTA[ID]))),-1)))</f>
        <v/>
      </c>
      <c r="E936" s="33"/>
      <c r="H936" s="34"/>
      <c r="Q936" s="29"/>
      <c r="R936" s="35"/>
      <c r="S936" s="36"/>
      <c r="V936" s="37"/>
      <c r="W936" s="32"/>
      <c r="X936" s="37" t="str">
        <f>IF(NOTA[[#This Row],[HARGA/ CTN]]="",NOTA[[#This Row],[JUMLAH_H]],NOTA[[#This Row],[HARGA/ CTN]]*IF(NOTA[[#This Row],[C]]="",0,NOTA[[#This Row],[C]]))</f>
        <v/>
      </c>
      <c r="Y936" s="37" t="str">
        <f>IF(NOTA[[#This Row],[JUMLAH]]="","",NOTA[[#This Row],[JUMLAH]]*NOTA[[#This Row],[DISC 1]])</f>
        <v/>
      </c>
      <c r="Z936" s="37" t="str">
        <f>IF(NOTA[[#This Row],[JUMLAH]]="","",(NOTA[[#This Row],[JUMLAH]]-NOTA[[#This Row],[DISC 1-]])*NOTA[[#This Row],[DISC 2]])</f>
        <v/>
      </c>
      <c r="AA936" s="37" t="str">
        <f>IF(NOTA[[#This Row],[JUMLAH]]="","",(NOTA[[#This Row],[JUMLAH]]-NOTA[[#This Row],[DISC 1-]]-NOTA[[#This Row],[DISC 2-]])*NOTA[[#This Row],[DISC 3]])</f>
        <v/>
      </c>
      <c r="AB936" s="37" t="str">
        <f>IF(NOTA[[#This Row],[JUMLAH]]="","",NOTA[[#This Row],[DISC 1-]]+NOTA[[#This Row],[DISC 2-]]+NOTA[[#This Row],[DISC 3-]])</f>
        <v/>
      </c>
      <c r="AC936" s="37" t="str">
        <f>IF(NOTA[[#This Row],[JUMLAH]]="","",NOTA[[#This Row],[JUMLAH]]-NOTA[[#This Row],[DISC]])</f>
        <v/>
      </c>
      <c r="AD936" s="37"/>
      <c r="AE9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6" s="37" t="str">
        <f>IF(OR(NOTA[[#This Row],[QTY]]="",NOTA[[#This Row],[HARGA SATUAN]]="",),"",NOTA[[#This Row],[QTY]]*NOTA[[#This Row],[HARGA SATUAN]])</f>
        <v/>
      </c>
      <c r="AI936" s="26" t="str">
        <f ca="1">IF(NOTA[[#This Row],[ID_H]]="","",INDEX(NOTA[TANGGAL],MATCH(,INDIRECT(ADDRESS(ROW(NOTA[TANGGAL]),COLUMN(NOTA[TANGGAL]))&amp;":"&amp;ADDRESS(ROW(),COLUMN(NOTA[TANGGAL]))),-1)))</f>
        <v/>
      </c>
      <c r="AJ936" s="26" t="str">
        <f ca="1">IF(NOTA[[#This Row],[ID_H]]="","",INDEX(NOTA[TGL.NOTA],MATCH(,INDIRECT(ADDRESS(ROW(NOTA[TGL.NOTA]),COLUMN(NOTA[TGL.NOTA]))&amp;":"&amp;ADDRESS(ROW(),COLUMN(NOTA[TGL.NOTA]))),-1)))</f>
        <v/>
      </c>
      <c r="AK936" s="26" t="str">
        <f ca="1">IF(NOTA[[#This Row],[ID_H]]="","",INDEX(NOTA[NO.NOTA],MATCH(NOTA[[#This Row],[ID_H]],NOTA[ID_H],0)))</f>
        <v/>
      </c>
      <c r="AL936" s="28" t="str">
        <f ca="1">IF(NOTA[[#This Row],[NAMA BARANG]]="","",INDEX(NOTA[SUPPLIER],MATCH(,INDIRECT(ADDRESS(ROW(NOTA[ID]),COLUMN(NOTA[ID]))&amp;":"&amp;ADDRESS(ROW(),COLUMN(NOTA[ID]))),-1)))</f>
        <v/>
      </c>
      <c r="AM936" s="28" t="str">
        <f ca="1">IF(NOTA[[#This Row],[ID_H]]="","",IF(NOTA[[#This Row],[FAKTUR]]="",INDIRECT(ADDRESS(ROW()-1,COLUMN())),NOTA[[#This Row],[FAKTUR]]))</f>
        <v/>
      </c>
      <c r="AN936" s="25" t="str">
        <f ca="1">IF(NOTA[[#This Row],[ID]]="","",COUNTIF(NOTA[ID_H],NOTA[[#This Row],[ID_H]]))</f>
        <v/>
      </c>
      <c r="AO936" s="25" t="str">
        <f ca="1">IF(NOTA[[#This Row],[TGL.NOTA]]="",IF(NOTA[[#This Row],[SUPPLIER_H]]="","",AO935),MONTH(NOTA[[#This Row],[TGL.NOTA]]))</f>
        <v/>
      </c>
      <c r="AP9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6" s="25"/>
      <c r="AU936" s="25" t="str">
        <f>IF(NOTA[[#This Row],[CONCAT1]]="","",MATCH(NOTA[[#This Row],[CONCAT1]],[3]!db[NB NOTA_C],0))</f>
        <v/>
      </c>
      <c r="AV936" s="25" t="str">
        <f>IF(NOTA[[#This Row],[QTY/ CTN]]="","",TRUE)</f>
        <v/>
      </c>
      <c r="AW936" s="25" t="str">
        <f ca="1">IF(NOTA[[#This Row],[ID_H]]="","",IF(NOTA[[#This Row],[Column3]]=TRUE,NOTA[[#This Row],[QTY/ CTN]],INDEX([3]!db[QTY/ CTN],NOTA[[#This Row],[//DB]])))</f>
        <v/>
      </c>
      <c r="AX9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6" s="25" t="str">
        <f ca="1">IF(NOTA[[#This Row],[ID_H]]="","",MATCH(NOTA[[#This Row],[NB NOTA_C_QTY]],[3]!db[NB NOTA_C_QTY+F],0))</f>
        <v/>
      </c>
      <c r="AZ936" s="38" t="str">
        <f ca="1">IF(NOTA[[#This Row],[NB NOTA_C_QTY]]="","",ROW()-2)</f>
        <v/>
      </c>
    </row>
    <row r="937" spans="1:52" ht="20.100000000000001" customHeight="1">
      <c r="A9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7" s="25" t="str">
        <f ca="1">IF(NOTA[[#This Row],[NAMA BARANG]]="","",INDEX(NOTA[ID],MATCH(,INDIRECT(ADDRESS(ROW(NOTA[ID]),COLUMN(NOTA[ID]))&amp;":"&amp;ADDRESS(ROW(),COLUMN(NOTA[ID]))),-1)))</f>
        <v/>
      </c>
      <c r="E937" s="33"/>
      <c r="H937" s="34"/>
      <c r="Q937" s="29"/>
      <c r="R937" s="35"/>
      <c r="S937" s="36"/>
      <c r="V937" s="37"/>
      <c r="W937" s="32"/>
      <c r="X937" s="37" t="str">
        <f>IF(NOTA[[#This Row],[HARGA/ CTN]]="",NOTA[[#This Row],[JUMLAH_H]],NOTA[[#This Row],[HARGA/ CTN]]*IF(NOTA[[#This Row],[C]]="",0,NOTA[[#This Row],[C]]))</f>
        <v/>
      </c>
      <c r="Y937" s="37" t="str">
        <f>IF(NOTA[[#This Row],[JUMLAH]]="","",NOTA[[#This Row],[JUMLAH]]*NOTA[[#This Row],[DISC 1]])</f>
        <v/>
      </c>
      <c r="Z937" s="37" t="str">
        <f>IF(NOTA[[#This Row],[JUMLAH]]="","",(NOTA[[#This Row],[JUMLAH]]-NOTA[[#This Row],[DISC 1-]])*NOTA[[#This Row],[DISC 2]])</f>
        <v/>
      </c>
      <c r="AA937" s="37" t="str">
        <f>IF(NOTA[[#This Row],[JUMLAH]]="","",(NOTA[[#This Row],[JUMLAH]]-NOTA[[#This Row],[DISC 1-]]-NOTA[[#This Row],[DISC 2-]])*NOTA[[#This Row],[DISC 3]])</f>
        <v/>
      </c>
      <c r="AB937" s="37" t="str">
        <f>IF(NOTA[[#This Row],[JUMLAH]]="","",NOTA[[#This Row],[DISC 1-]]+NOTA[[#This Row],[DISC 2-]]+NOTA[[#This Row],[DISC 3-]])</f>
        <v/>
      </c>
      <c r="AC937" s="37" t="str">
        <f>IF(NOTA[[#This Row],[JUMLAH]]="","",NOTA[[#This Row],[JUMLAH]]-NOTA[[#This Row],[DISC]])</f>
        <v/>
      </c>
      <c r="AD937" s="37"/>
      <c r="AE9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7" s="37" t="str">
        <f>IF(OR(NOTA[[#This Row],[QTY]]="",NOTA[[#This Row],[HARGA SATUAN]]="",),"",NOTA[[#This Row],[QTY]]*NOTA[[#This Row],[HARGA SATUAN]])</f>
        <v/>
      </c>
      <c r="AI937" s="26" t="str">
        <f ca="1">IF(NOTA[[#This Row],[ID_H]]="","",INDEX(NOTA[TANGGAL],MATCH(,INDIRECT(ADDRESS(ROW(NOTA[TANGGAL]),COLUMN(NOTA[TANGGAL]))&amp;":"&amp;ADDRESS(ROW(),COLUMN(NOTA[TANGGAL]))),-1)))</f>
        <v/>
      </c>
      <c r="AJ937" s="26" t="str">
        <f ca="1">IF(NOTA[[#This Row],[ID_H]]="","",INDEX(NOTA[TGL.NOTA],MATCH(,INDIRECT(ADDRESS(ROW(NOTA[TGL.NOTA]),COLUMN(NOTA[TGL.NOTA]))&amp;":"&amp;ADDRESS(ROW(),COLUMN(NOTA[TGL.NOTA]))),-1)))</f>
        <v/>
      </c>
      <c r="AK937" s="26" t="str">
        <f ca="1">IF(NOTA[[#This Row],[ID_H]]="","",INDEX(NOTA[NO.NOTA],MATCH(NOTA[[#This Row],[ID_H]],NOTA[ID_H],0)))</f>
        <v/>
      </c>
      <c r="AL937" s="28" t="str">
        <f ca="1">IF(NOTA[[#This Row],[NAMA BARANG]]="","",INDEX(NOTA[SUPPLIER],MATCH(,INDIRECT(ADDRESS(ROW(NOTA[ID]),COLUMN(NOTA[ID]))&amp;":"&amp;ADDRESS(ROW(),COLUMN(NOTA[ID]))),-1)))</f>
        <v/>
      </c>
      <c r="AM937" s="28" t="str">
        <f ca="1">IF(NOTA[[#This Row],[ID_H]]="","",IF(NOTA[[#This Row],[FAKTUR]]="",INDIRECT(ADDRESS(ROW()-1,COLUMN())),NOTA[[#This Row],[FAKTUR]]))</f>
        <v/>
      </c>
      <c r="AN937" s="25" t="str">
        <f ca="1">IF(NOTA[[#This Row],[ID]]="","",COUNTIF(NOTA[ID_H],NOTA[[#This Row],[ID_H]]))</f>
        <v/>
      </c>
      <c r="AO937" s="25" t="str">
        <f ca="1">IF(NOTA[[#This Row],[TGL.NOTA]]="",IF(NOTA[[#This Row],[SUPPLIER_H]]="","",AO936),MONTH(NOTA[[#This Row],[TGL.NOTA]]))</f>
        <v/>
      </c>
      <c r="AP9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7" s="25"/>
      <c r="AU937" s="25" t="str">
        <f>IF(NOTA[[#This Row],[CONCAT1]]="","",MATCH(NOTA[[#This Row],[CONCAT1]],[3]!db[NB NOTA_C],0))</f>
        <v/>
      </c>
      <c r="AV937" s="25" t="str">
        <f>IF(NOTA[[#This Row],[QTY/ CTN]]="","",TRUE)</f>
        <v/>
      </c>
      <c r="AW937" s="25" t="str">
        <f ca="1">IF(NOTA[[#This Row],[ID_H]]="","",IF(NOTA[[#This Row],[Column3]]=TRUE,NOTA[[#This Row],[QTY/ CTN]],INDEX([3]!db[QTY/ CTN],NOTA[[#This Row],[//DB]])))</f>
        <v/>
      </c>
      <c r="AX9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7" s="25" t="str">
        <f ca="1">IF(NOTA[[#This Row],[ID_H]]="","",MATCH(NOTA[[#This Row],[NB NOTA_C_QTY]],[3]!db[NB NOTA_C_QTY+F],0))</f>
        <v/>
      </c>
      <c r="AZ937" s="38" t="str">
        <f ca="1">IF(NOTA[[#This Row],[NB NOTA_C_QTY]]="","",ROW()-2)</f>
        <v/>
      </c>
    </row>
    <row r="938" spans="1:52" ht="20.100000000000001" customHeight="1">
      <c r="A9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8" s="25" t="str">
        <f ca="1">IF(NOTA[[#This Row],[NAMA BARANG]]="","",INDEX(NOTA[ID],MATCH(,INDIRECT(ADDRESS(ROW(NOTA[ID]),COLUMN(NOTA[ID]))&amp;":"&amp;ADDRESS(ROW(),COLUMN(NOTA[ID]))),-1)))</f>
        <v/>
      </c>
      <c r="E938" s="33"/>
      <c r="H938" s="34"/>
      <c r="Q938" s="29"/>
      <c r="R938" s="35"/>
      <c r="S938" s="36"/>
      <c r="V938" s="37"/>
      <c r="W938" s="32"/>
      <c r="X938" s="37" t="str">
        <f>IF(NOTA[[#This Row],[HARGA/ CTN]]="",NOTA[[#This Row],[JUMLAH_H]],NOTA[[#This Row],[HARGA/ CTN]]*IF(NOTA[[#This Row],[C]]="",0,NOTA[[#This Row],[C]]))</f>
        <v/>
      </c>
      <c r="Y938" s="37" t="str">
        <f>IF(NOTA[[#This Row],[JUMLAH]]="","",NOTA[[#This Row],[JUMLAH]]*NOTA[[#This Row],[DISC 1]])</f>
        <v/>
      </c>
      <c r="Z938" s="37" t="str">
        <f>IF(NOTA[[#This Row],[JUMLAH]]="","",(NOTA[[#This Row],[JUMLAH]]-NOTA[[#This Row],[DISC 1-]])*NOTA[[#This Row],[DISC 2]])</f>
        <v/>
      </c>
      <c r="AA938" s="37" t="str">
        <f>IF(NOTA[[#This Row],[JUMLAH]]="","",(NOTA[[#This Row],[JUMLAH]]-NOTA[[#This Row],[DISC 1-]]-NOTA[[#This Row],[DISC 2-]])*NOTA[[#This Row],[DISC 3]])</f>
        <v/>
      </c>
      <c r="AB938" s="37" t="str">
        <f>IF(NOTA[[#This Row],[JUMLAH]]="","",NOTA[[#This Row],[DISC 1-]]+NOTA[[#This Row],[DISC 2-]]+NOTA[[#This Row],[DISC 3-]])</f>
        <v/>
      </c>
      <c r="AC938" s="37" t="str">
        <f>IF(NOTA[[#This Row],[JUMLAH]]="","",NOTA[[#This Row],[JUMLAH]]-NOTA[[#This Row],[DISC]])</f>
        <v/>
      </c>
      <c r="AD938" s="37"/>
      <c r="AE9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8" s="37" t="str">
        <f>IF(OR(NOTA[[#This Row],[QTY]]="",NOTA[[#This Row],[HARGA SATUAN]]="",),"",NOTA[[#This Row],[QTY]]*NOTA[[#This Row],[HARGA SATUAN]])</f>
        <v/>
      </c>
      <c r="AI938" s="26" t="str">
        <f ca="1">IF(NOTA[[#This Row],[ID_H]]="","",INDEX(NOTA[TANGGAL],MATCH(,INDIRECT(ADDRESS(ROW(NOTA[TANGGAL]),COLUMN(NOTA[TANGGAL]))&amp;":"&amp;ADDRESS(ROW(),COLUMN(NOTA[TANGGAL]))),-1)))</f>
        <v/>
      </c>
      <c r="AJ938" s="26" t="str">
        <f ca="1">IF(NOTA[[#This Row],[ID_H]]="","",INDEX(NOTA[TGL.NOTA],MATCH(,INDIRECT(ADDRESS(ROW(NOTA[TGL.NOTA]),COLUMN(NOTA[TGL.NOTA]))&amp;":"&amp;ADDRESS(ROW(),COLUMN(NOTA[TGL.NOTA]))),-1)))</f>
        <v/>
      </c>
      <c r="AK938" s="26" t="str">
        <f ca="1">IF(NOTA[[#This Row],[ID_H]]="","",INDEX(NOTA[NO.NOTA],MATCH(NOTA[[#This Row],[ID_H]],NOTA[ID_H],0)))</f>
        <v/>
      </c>
      <c r="AL938" s="28" t="str">
        <f ca="1">IF(NOTA[[#This Row],[NAMA BARANG]]="","",INDEX(NOTA[SUPPLIER],MATCH(,INDIRECT(ADDRESS(ROW(NOTA[ID]),COLUMN(NOTA[ID]))&amp;":"&amp;ADDRESS(ROW(),COLUMN(NOTA[ID]))),-1)))</f>
        <v/>
      </c>
      <c r="AM938" s="28" t="str">
        <f ca="1">IF(NOTA[[#This Row],[ID_H]]="","",IF(NOTA[[#This Row],[FAKTUR]]="",INDIRECT(ADDRESS(ROW()-1,COLUMN())),NOTA[[#This Row],[FAKTUR]]))</f>
        <v/>
      </c>
      <c r="AN938" s="25" t="str">
        <f ca="1">IF(NOTA[[#This Row],[ID]]="","",COUNTIF(NOTA[ID_H],NOTA[[#This Row],[ID_H]]))</f>
        <v/>
      </c>
      <c r="AO938" s="25" t="str">
        <f ca="1">IF(NOTA[[#This Row],[TGL.NOTA]]="",IF(NOTA[[#This Row],[SUPPLIER_H]]="","",AO937),MONTH(NOTA[[#This Row],[TGL.NOTA]]))</f>
        <v/>
      </c>
      <c r="AP9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8" s="25"/>
      <c r="AU938" s="25" t="str">
        <f>IF(NOTA[[#This Row],[CONCAT1]]="","",MATCH(NOTA[[#This Row],[CONCAT1]],[3]!db[NB NOTA_C],0))</f>
        <v/>
      </c>
      <c r="AV938" s="25" t="str">
        <f>IF(NOTA[[#This Row],[QTY/ CTN]]="","",TRUE)</f>
        <v/>
      </c>
      <c r="AW938" s="25" t="str">
        <f ca="1">IF(NOTA[[#This Row],[ID_H]]="","",IF(NOTA[[#This Row],[Column3]]=TRUE,NOTA[[#This Row],[QTY/ CTN]],INDEX([3]!db[QTY/ CTN],NOTA[[#This Row],[//DB]])))</f>
        <v/>
      </c>
      <c r="AX9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8" s="25" t="str">
        <f ca="1">IF(NOTA[[#This Row],[ID_H]]="","",MATCH(NOTA[[#This Row],[NB NOTA_C_QTY]],[3]!db[NB NOTA_C_QTY+F],0))</f>
        <v/>
      </c>
      <c r="AZ938" s="38" t="str">
        <f ca="1">IF(NOTA[[#This Row],[NB NOTA_C_QTY]]="","",ROW()-2)</f>
        <v/>
      </c>
    </row>
    <row r="939" spans="1:52" ht="20.100000000000001" customHeight="1">
      <c r="A9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9" s="25" t="str">
        <f ca="1">IF(NOTA[[#This Row],[NAMA BARANG]]="","",INDEX(NOTA[ID],MATCH(,INDIRECT(ADDRESS(ROW(NOTA[ID]),COLUMN(NOTA[ID]))&amp;":"&amp;ADDRESS(ROW(),COLUMN(NOTA[ID]))),-1)))</f>
        <v/>
      </c>
      <c r="E939" s="33"/>
      <c r="H939" s="34"/>
      <c r="Q939" s="29"/>
      <c r="R939" s="35"/>
      <c r="S939" s="36"/>
      <c r="V939" s="37"/>
      <c r="W939" s="32"/>
      <c r="X939" s="37" t="str">
        <f>IF(NOTA[[#This Row],[HARGA/ CTN]]="",NOTA[[#This Row],[JUMLAH_H]],NOTA[[#This Row],[HARGA/ CTN]]*IF(NOTA[[#This Row],[C]]="",0,NOTA[[#This Row],[C]]))</f>
        <v/>
      </c>
      <c r="Y939" s="37" t="str">
        <f>IF(NOTA[[#This Row],[JUMLAH]]="","",NOTA[[#This Row],[JUMLAH]]*NOTA[[#This Row],[DISC 1]])</f>
        <v/>
      </c>
      <c r="Z939" s="37" t="str">
        <f>IF(NOTA[[#This Row],[JUMLAH]]="","",(NOTA[[#This Row],[JUMLAH]]-NOTA[[#This Row],[DISC 1-]])*NOTA[[#This Row],[DISC 2]])</f>
        <v/>
      </c>
      <c r="AA939" s="37" t="str">
        <f>IF(NOTA[[#This Row],[JUMLAH]]="","",(NOTA[[#This Row],[JUMLAH]]-NOTA[[#This Row],[DISC 1-]]-NOTA[[#This Row],[DISC 2-]])*NOTA[[#This Row],[DISC 3]])</f>
        <v/>
      </c>
      <c r="AB939" s="37" t="str">
        <f>IF(NOTA[[#This Row],[JUMLAH]]="","",NOTA[[#This Row],[DISC 1-]]+NOTA[[#This Row],[DISC 2-]]+NOTA[[#This Row],[DISC 3-]])</f>
        <v/>
      </c>
      <c r="AC939" s="37" t="str">
        <f>IF(NOTA[[#This Row],[JUMLAH]]="","",NOTA[[#This Row],[JUMLAH]]-NOTA[[#This Row],[DISC]])</f>
        <v/>
      </c>
      <c r="AD939" s="37"/>
      <c r="AE9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9" s="37" t="str">
        <f>IF(OR(NOTA[[#This Row],[QTY]]="",NOTA[[#This Row],[HARGA SATUAN]]="",),"",NOTA[[#This Row],[QTY]]*NOTA[[#This Row],[HARGA SATUAN]])</f>
        <v/>
      </c>
      <c r="AI939" s="26" t="str">
        <f ca="1">IF(NOTA[[#This Row],[ID_H]]="","",INDEX(NOTA[TANGGAL],MATCH(,INDIRECT(ADDRESS(ROW(NOTA[TANGGAL]),COLUMN(NOTA[TANGGAL]))&amp;":"&amp;ADDRESS(ROW(),COLUMN(NOTA[TANGGAL]))),-1)))</f>
        <v/>
      </c>
      <c r="AJ939" s="26" t="str">
        <f ca="1">IF(NOTA[[#This Row],[ID_H]]="","",INDEX(NOTA[TGL.NOTA],MATCH(,INDIRECT(ADDRESS(ROW(NOTA[TGL.NOTA]),COLUMN(NOTA[TGL.NOTA]))&amp;":"&amp;ADDRESS(ROW(),COLUMN(NOTA[TGL.NOTA]))),-1)))</f>
        <v/>
      </c>
      <c r="AK939" s="26" t="str">
        <f ca="1">IF(NOTA[[#This Row],[ID_H]]="","",INDEX(NOTA[NO.NOTA],MATCH(NOTA[[#This Row],[ID_H]],NOTA[ID_H],0)))</f>
        <v/>
      </c>
      <c r="AL939" s="28" t="str">
        <f ca="1">IF(NOTA[[#This Row],[NAMA BARANG]]="","",INDEX(NOTA[SUPPLIER],MATCH(,INDIRECT(ADDRESS(ROW(NOTA[ID]),COLUMN(NOTA[ID]))&amp;":"&amp;ADDRESS(ROW(),COLUMN(NOTA[ID]))),-1)))</f>
        <v/>
      </c>
      <c r="AM939" s="28" t="str">
        <f ca="1">IF(NOTA[[#This Row],[ID_H]]="","",IF(NOTA[[#This Row],[FAKTUR]]="",INDIRECT(ADDRESS(ROW()-1,COLUMN())),NOTA[[#This Row],[FAKTUR]]))</f>
        <v/>
      </c>
      <c r="AN939" s="25" t="str">
        <f ca="1">IF(NOTA[[#This Row],[ID]]="","",COUNTIF(NOTA[ID_H],NOTA[[#This Row],[ID_H]]))</f>
        <v/>
      </c>
      <c r="AO939" s="25" t="str">
        <f ca="1">IF(NOTA[[#This Row],[TGL.NOTA]]="",IF(NOTA[[#This Row],[SUPPLIER_H]]="","",AO938),MONTH(NOTA[[#This Row],[TGL.NOTA]]))</f>
        <v/>
      </c>
      <c r="AP9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9" s="25"/>
      <c r="AU939" s="25" t="str">
        <f>IF(NOTA[[#This Row],[CONCAT1]]="","",MATCH(NOTA[[#This Row],[CONCAT1]],[3]!db[NB NOTA_C],0))</f>
        <v/>
      </c>
      <c r="AV939" s="25" t="str">
        <f>IF(NOTA[[#This Row],[QTY/ CTN]]="","",TRUE)</f>
        <v/>
      </c>
      <c r="AW939" s="25" t="str">
        <f ca="1">IF(NOTA[[#This Row],[ID_H]]="","",IF(NOTA[[#This Row],[Column3]]=TRUE,NOTA[[#This Row],[QTY/ CTN]],INDEX([3]!db[QTY/ CTN],NOTA[[#This Row],[//DB]])))</f>
        <v/>
      </c>
      <c r="AX9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9" s="25" t="str">
        <f ca="1">IF(NOTA[[#This Row],[ID_H]]="","",MATCH(NOTA[[#This Row],[NB NOTA_C_QTY]],[3]!db[NB NOTA_C_QTY+F],0))</f>
        <v/>
      </c>
      <c r="AZ939" s="38" t="str">
        <f ca="1">IF(NOTA[[#This Row],[NB NOTA_C_QTY]]="","",ROW()-2)</f>
        <v/>
      </c>
    </row>
    <row r="940" spans="1:52" ht="20.100000000000001" customHeight="1">
      <c r="A9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0" s="25" t="str">
        <f ca="1">IF(NOTA[[#This Row],[NAMA BARANG]]="","",INDEX(NOTA[ID],MATCH(,INDIRECT(ADDRESS(ROW(NOTA[ID]),COLUMN(NOTA[ID]))&amp;":"&amp;ADDRESS(ROW(),COLUMN(NOTA[ID]))),-1)))</f>
        <v/>
      </c>
      <c r="E940" s="33"/>
      <c r="H940" s="34"/>
      <c r="Q940" s="29"/>
      <c r="R940" s="35"/>
      <c r="S940" s="36"/>
      <c r="V940" s="37"/>
      <c r="W940" s="32"/>
      <c r="X940" s="37" t="str">
        <f>IF(NOTA[[#This Row],[HARGA/ CTN]]="",NOTA[[#This Row],[JUMLAH_H]],NOTA[[#This Row],[HARGA/ CTN]]*IF(NOTA[[#This Row],[C]]="",0,NOTA[[#This Row],[C]]))</f>
        <v/>
      </c>
      <c r="Y940" s="37" t="str">
        <f>IF(NOTA[[#This Row],[JUMLAH]]="","",NOTA[[#This Row],[JUMLAH]]*NOTA[[#This Row],[DISC 1]])</f>
        <v/>
      </c>
      <c r="Z940" s="37" t="str">
        <f>IF(NOTA[[#This Row],[JUMLAH]]="","",(NOTA[[#This Row],[JUMLAH]]-NOTA[[#This Row],[DISC 1-]])*NOTA[[#This Row],[DISC 2]])</f>
        <v/>
      </c>
      <c r="AA940" s="37" t="str">
        <f>IF(NOTA[[#This Row],[JUMLAH]]="","",(NOTA[[#This Row],[JUMLAH]]-NOTA[[#This Row],[DISC 1-]]-NOTA[[#This Row],[DISC 2-]])*NOTA[[#This Row],[DISC 3]])</f>
        <v/>
      </c>
      <c r="AB940" s="37" t="str">
        <f>IF(NOTA[[#This Row],[JUMLAH]]="","",NOTA[[#This Row],[DISC 1-]]+NOTA[[#This Row],[DISC 2-]]+NOTA[[#This Row],[DISC 3-]])</f>
        <v/>
      </c>
      <c r="AC940" s="37" t="str">
        <f>IF(NOTA[[#This Row],[JUMLAH]]="","",NOTA[[#This Row],[JUMLAH]]-NOTA[[#This Row],[DISC]])</f>
        <v/>
      </c>
      <c r="AD940" s="37"/>
      <c r="AE9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0" s="37" t="str">
        <f>IF(OR(NOTA[[#This Row],[QTY]]="",NOTA[[#This Row],[HARGA SATUAN]]="",),"",NOTA[[#This Row],[QTY]]*NOTA[[#This Row],[HARGA SATUAN]])</f>
        <v/>
      </c>
      <c r="AI940" s="26" t="str">
        <f ca="1">IF(NOTA[[#This Row],[ID_H]]="","",INDEX(NOTA[TANGGAL],MATCH(,INDIRECT(ADDRESS(ROW(NOTA[TANGGAL]),COLUMN(NOTA[TANGGAL]))&amp;":"&amp;ADDRESS(ROW(),COLUMN(NOTA[TANGGAL]))),-1)))</f>
        <v/>
      </c>
      <c r="AJ940" s="26" t="str">
        <f ca="1">IF(NOTA[[#This Row],[ID_H]]="","",INDEX(NOTA[TGL.NOTA],MATCH(,INDIRECT(ADDRESS(ROW(NOTA[TGL.NOTA]),COLUMN(NOTA[TGL.NOTA]))&amp;":"&amp;ADDRESS(ROW(),COLUMN(NOTA[TGL.NOTA]))),-1)))</f>
        <v/>
      </c>
      <c r="AK940" s="26" t="str">
        <f ca="1">IF(NOTA[[#This Row],[ID_H]]="","",INDEX(NOTA[NO.NOTA],MATCH(NOTA[[#This Row],[ID_H]],NOTA[ID_H],0)))</f>
        <v/>
      </c>
      <c r="AL940" s="28" t="str">
        <f ca="1">IF(NOTA[[#This Row],[NAMA BARANG]]="","",INDEX(NOTA[SUPPLIER],MATCH(,INDIRECT(ADDRESS(ROW(NOTA[ID]),COLUMN(NOTA[ID]))&amp;":"&amp;ADDRESS(ROW(),COLUMN(NOTA[ID]))),-1)))</f>
        <v/>
      </c>
      <c r="AM940" s="28" t="str">
        <f ca="1">IF(NOTA[[#This Row],[ID_H]]="","",IF(NOTA[[#This Row],[FAKTUR]]="",INDIRECT(ADDRESS(ROW()-1,COLUMN())),NOTA[[#This Row],[FAKTUR]]))</f>
        <v/>
      </c>
      <c r="AN940" s="25" t="str">
        <f ca="1">IF(NOTA[[#This Row],[ID]]="","",COUNTIF(NOTA[ID_H],NOTA[[#This Row],[ID_H]]))</f>
        <v/>
      </c>
      <c r="AO940" s="25" t="str">
        <f ca="1">IF(NOTA[[#This Row],[TGL.NOTA]]="",IF(NOTA[[#This Row],[SUPPLIER_H]]="","",AO939),MONTH(NOTA[[#This Row],[TGL.NOTA]]))</f>
        <v/>
      </c>
      <c r="AP9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0" s="25"/>
      <c r="AU940" s="25" t="str">
        <f>IF(NOTA[[#This Row],[CONCAT1]]="","",MATCH(NOTA[[#This Row],[CONCAT1]],[3]!db[NB NOTA_C],0))</f>
        <v/>
      </c>
      <c r="AV940" s="25" t="str">
        <f>IF(NOTA[[#This Row],[QTY/ CTN]]="","",TRUE)</f>
        <v/>
      </c>
      <c r="AW940" s="25" t="str">
        <f ca="1">IF(NOTA[[#This Row],[ID_H]]="","",IF(NOTA[[#This Row],[Column3]]=TRUE,NOTA[[#This Row],[QTY/ CTN]],INDEX([3]!db[QTY/ CTN],NOTA[[#This Row],[//DB]])))</f>
        <v/>
      </c>
      <c r="AX9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0" s="25" t="str">
        <f ca="1">IF(NOTA[[#This Row],[ID_H]]="","",MATCH(NOTA[[#This Row],[NB NOTA_C_QTY]],[3]!db[NB NOTA_C_QTY+F],0))</f>
        <v/>
      </c>
      <c r="AZ940" s="38" t="str">
        <f ca="1">IF(NOTA[[#This Row],[NB NOTA_C_QTY]]="","",ROW()-2)</f>
        <v/>
      </c>
    </row>
    <row r="941" spans="1:52" ht="20.100000000000001" customHeight="1">
      <c r="A9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1" s="25" t="str">
        <f ca="1">IF(NOTA[[#This Row],[NAMA BARANG]]="","",INDEX(NOTA[ID],MATCH(,INDIRECT(ADDRESS(ROW(NOTA[ID]),COLUMN(NOTA[ID]))&amp;":"&amp;ADDRESS(ROW(),COLUMN(NOTA[ID]))),-1)))</f>
        <v/>
      </c>
      <c r="E941" s="33"/>
      <c r="H941" s="34"/>
      <c r="Q941" s="29"/>
      <c r="R941" s="35"/>
      <c r="S941" s="36"/>
      <c r="V941" s="37"/>
      <c r="W941" s="32"/>
      <c r="X941" s="37" t="str">
        <f>IF(NOTA[[#This Row],[HARGA/ CTN]]="",NOTA[[#This Row],[JUMLAH_H]],NOTA[[#This Row],[HARGA/ CTN]]*IF(NOTA[[#This Row],[C]]="",0,NOTA[[#This Row],[C]]))</f>
        <v/>
      </c>
      <c r="Y941" s="37" t="str">
        <f>IF(NOTA[[#This Row],[JUMLAH]]="","",NOTA[[#This Row],[JUMLAH]]*NOTA[[#This Row],[DISC 1]])</f>
        <v/>
      </c>
      <c r="Z941" s="37" t="str">
        <f>IF(NOTA[[#This Row],[JUMLAH]]="","",(NOTA[[#This Row],[JUMLAH]]-NOTA[[#This Row],[DISC 1-]])*NOTA[[#This Row],[DISC 2]])</f>
        <v/>
      </c>
      <c r="AA941" s="37" t="str">
        <f>IF(NOTA[[#This Row],[JUMLAH]]="","",(NOTA[[#This Row],[JUMLAH]]-NOTA[[#This Row],[DISC 1-]]-NOTA[[#This Row],[DISC 2-]])*NOTA[[#This Row],[DISC 3]])</f>
        <v/>
      </c>
      <c r="AB941" s="37" t="str">
        <f>IF(NOTA[[#This Row],[JUMLAH]]="","",NOTA[[#This Row],[DISC 1-]]+NOTA[[#This Row],[DISC 2-]]+NOTA[[#This Row],[DISC 3-]])</f>
        <v/>
      </c>
      <c r="AC941" s="37" t="str">
        <f>IF(NOTA[[#This Row],[JUMLAH]]="","",NOTA[[#This Row],[JUMLAH]]-NOTA[[#This Row],[DISC]])</f>
        <v/>
      </c>
      <c r="AD941" s="37"/>
      <c r="AE9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1" s="37" t="str">
        <f>IF(OR(NOTA[[#This Row],[QTY]]="",NOTA[[#This Row],[HARGA SATUAN]]="",),"",NOTA[[#This Row],[QTY]]*NOTA[[#This Row],[HARGA SATUAN]])</f>
        <v/>
      </c>
      <c r="AI941" s="26" t="str">
        <f ca="1">IF(NOTA[[#This Row],[ID_H]]="","",INDEX(NOTA[TANGGAL],MATCH(,INDIRECT(ADDRESS(ROW(NOTA[TANGGAL]),COLUMN(NOTA[TANGGAL]))&amp;":"&amp;ADDRESS(ROW(),COLUMN(NOTA[TANGGAL]))),-1)))</f>
        <v/>
      </c>
      <c r="AJ941" s="26" t="str">
        <f ca="1">IF(NOTA[[#This Row],[ID_H]]="","",INDEX(NOTA[TGL.NOTA],MATCH(,INDIRECT(ADDRESS(ROW(NOTA[TGL.NOTA]),COLUMN(NOTA[TGL.NOTA]))&amp;":"&amp;ADDRESS(ROW(),COLUMN(NOTA[TGL.NOTA]))),-1)))</f>
        <v/>
      </c>
      <c r="AK941" s="26" t="str">
        <f ca="1">IF(NOTA[[#This Row],[ID_H]]="","",INDEX(NOTA[NO.NOTA],MATCH(NOTA[[#This Row],[ID_H]],NOTA[ID_H],0)))</f>
        <v/>
      </c>
      <c r="AL941" s="28" t="str">
        <f ca="1">IF(NOTA[[#This Row],[NAMA BARANG]]="","",INDEX(NOTA[SUPPLIER],MATCH(,INDIRECT(ADDRESS(ROW(NOTA[ID]),COLUMN(NOTA[ID]))&amp;":"&amp;ADDRESS(ROW(),COLUMN(NOTA[ID]))),-1)))</f>
        <v/>
      </c>
      <c r="AM941" s="28" t="str">
        <f ca="1">IF(NOTA[[#This Row],[ID_H]]="","",IF(NOTA[[#This Row],[FAKTUR]]="",INDIRECT(ADDRESS(ROW()-1,COLUMN())),NOTA[[#This Row],[FAKTUR]]))</f>
        <v/>
      </c>
      <c r="AN941" s="25" t="str">
        <f ca="1">IF(NOTA[[#This Row],[ID]]="","",COUNTIF(NOTA[ID_H],NOTA[[#This Row],[ID_H]]))</f>
        <v/>
      </c>
      <c r="AO941" s="25" t="str">
        <f ca="1">IF(NOTA[[#This Row],[TGL.NOTA]]="",IF(NOTA[[#This Row],[SUPPLIER_H]]="","",AO940),MONTH(NOTA[[#This Row],[TGL.NOTA]]))</f>
        <v/>
      </c>
      <c r="AP9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1" s="25"/>
      <c r="AU941" s="25" t="str">
        <f>IF(NOTA[[#This Row],[CONCAT1]]="","",MATCH(NOTA[[#This Row],[CONCAT1]],[3]!db[NB NOTA_C],0))</f>
        <v/>
      </c>
      <c r="AV941" s="25" t="str">
        <f>IF(NOTA[[#This Row],[QTY/ CTN]]="","",TRUE)</f>
        <v/>
      </c>
      <c r="AW941" s="25" t="str">
        <f ca="1">IF(NOTA[[#This Row],[ID_H]]="","",IF(NOTA[[#This Row],[Column3]]=TRUE,NOTA[[#This Row],[QTY/ CTN]],INDEX([3]!db[QTY/ CTN],NOTA[[#This Row],[//DB]])))</f>
        <v/>
      </c>
      <c r="AX9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1" s="25" t="str">
        <f ca="1">IF(NOTA[[#This Row],[ID_H]]="","",MATCH(NOTA[[#This Row],[NB NOTA_C_QTY]],[3]!db[NB NOTA_C_QTY+F],0))</f>
        <v/>
      </c>
      <c r="AZ941" s="38" t="str">
        <f ca="1">IF(NOTA[[#This Row],[NB NOTA_C_QTY]]="","",ROW()-2)</f>
        <v/>
      </c>
    </row>
    <row r="942" spans="1:52" ht="20.100000000000001" customHeight="1">
      <c r="A9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2" s="25" t="str">
        <f ca="1">IF(NOTA[[#This Row],[NAMA BARANG]]="","",INDEX(NOTA[ID],MATCH(,INDIRECT(ADDRESS(ROW(NOTA[ID]),COLUMN(NOTA[ID]))&amp;":"&amp;ADDRESS(ROW(),COLUMN(NOTA[ID]))),-1)))</f>
        <v/>
      </c>
      <c r="E942" s="33"/>
      <c r="H942" s="34"/>
      <c r="Q942" s="29"/>
      <c r="R942" s="35"/>
      <c r="S942" s="36"/>
      <c r="V942" s="37"/>
      <c r="W942" s="32"/>
      <c r="X942" s="37" t="str">
        <f>IF(NOTA[[#This Row],[HARGA/ CTN]]="",NOTA[[#This Row],[JUMLAH_H]],NOTA[[#This Row],[HARGA/ CTN]]*IF(NOTA[[#This Row],[C]]="",0,NOTA[[#This Row],[C]]))</f>
        <v/>
      </c>
      <c r="Y942" s="37" t="str">
        <f>IF(NOTA[[#This Row],[JUMLAH]]="","",NOTA[[#This Row],[JUMLAH]]*NOTA[[#This Row],[DISC 1]])</f>
        <v/>
      </c>
      <c r="Z942" s="37" t="str">
        <f>IF(NOTA[[#This Row],[JUMLAH]]="","",(NOTA[[#This Row],[JUMLAH]]-NOTA[[#This Row],[DISC 1-]])*NOTA[[#This Row],[DISC 2]])</f>
        <v/>
      </c>
      <c r="AA942" s="37" t="str">
        <f>IF(NOTA[[#This Row],[JUMLAH]]="","",(NOTA[[#This Row],[JUMLAH]]-NOTA[[#This Row],[DISC 1-]]-NOTA[[#This Row],[DISC 2-]])*NOTA[[#This Row],[DISC 3]])</f>
        <v/>
      </c>
      <c r="AB942" s="37" t="str">
        <f>IF(NOTA[[#This Row],[JUMLAH]]="","",NOTA[[#This Row],[DISC 1-]]+NOTA[[#This Row],[DISC 2-]]+NOTA[[#This Row],[DISC 3-]])</f>
        <v/>
      </c>
      <c r="AC942" s="37" t="str">
        <f>IF(NOTA[[#This Row],[JUMLAH]]="","",NOTA[[#This Row],[JUMLAH]]-NOTA[[#This Row],[DISC]])</f>
        <v/>
      </c>
      <c r="AD942" s="37"/>
      <c r="AE9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2" s="37" t="str">
        <f>IF(OR(NOTA[[#This Row],[QTY]]="",NOTA[[#This Row],[HARGA SATUAN]]="",),"",NOTA[[#This Row],[QTY]]*NOTA[[#This Row],[HARGA SATUAN]])</f>
        <v/>
      </c>
      <c r="AI942" s="26" t="str">
        <f ca="1">IF(NOTA[[#This Row],[ID_H]]="","",INDEX(NOTA[TANGGAL],MATCH(,INDIRECT(ADDRESS(ROW(NOTA[TANGGAL]),COLUMN(NOTA[TANGGAL]))&amp;":"&amp;ADDRESS(ROW(),COLUMN(NOTA[TANGGAL]))),-1)))</f>
        <v/>
      </c>
      <c r="AJ942" s="26" t="str">
        <f ca="1">IF(NOTA[[#This Row],[ID_H]]="","",INDEX(NOTA[TGL.NOTA],MATCH(,INDIRECT(ADDRESS(ROW(NOTA[TGL.NOTA]),COLUMN(NOTA[TGL.NOTA]))&amp;":"&amp;ADDRESS(ROW(),COLUMN(NOTA[TGL.NOTA]))),-1)))</f>
        <v/>
      </c>
      <c r="AK942" s="26" t="str">
        <f ca="1">IF(NOTA[[#This Row],[ID_H]]="","",INDEX(NOTA[NO.NOTA],MATCH(NOTA[[#This Row],[ID_H]],NOTA[ID_H],0)))</f>
        <v/>
      </c>
      <c r="AL942" s="28" t="str">
        <f ca="1">IF(NOTA[[#This Row],[NAMA BARANG]]="","",INDEX(NOTA[SUPPLIER],MATCH(,INDIRECT(ADDRESS(ROW(NOTA[ID]),COLUMN(NOTA[ID]))&amp;":"&amp;ADDRESS(ROW(),COLUMN(NOTA[ID]))),-1)))</f>
        <v/>
      </c>
      <c r="AM942" s="28" t="str">
        <f ca="1">IF(NOTA[[#This Row],[ID_H]]="","",IF(NOTA[[#This Row],[FAKTUR]]="",INDIRECT(ADDRESS(ROW()-1,COLUMN())),NOTA[[#This Row],[FAKTUR]]))</f>
        <v/>
      </c>
      <c r="AN942" s="25" t="str">
        <f ca="1">IF(NOTA[[#This Row],[ID]]="","",COUNTIF(NOTA[ID_H],NOTA[[#This Row],[ID_H]]))</f>
        <v/>
      </c>
      <c r="AO942" s="25" t="str">
        <f ca="1">IF(NOTA[[#This Row],[TGL.NOTA]]="",IF(NOTA[[#This Row],[SUPPLIER_H]]="","",AO941),MONTH(NOTA[[#This Row],[TGL.NOTA]]))</f>
        <v/>
      </c>
      <c r="AP9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2" s="25"/>
      <c r="AU942" s="25" t="str">
        <f>IF(NOTA[[#This Row],[CONCAT1]]="","",MATCH(NOTA[[#This Row],[CONCAT1]],[3]!db[NB NOTA_C],0))</f>
        <v/>
      </c>
      <c r="AV942" s="25" t="str">
        <f>IF(NOTA[[#This Row],[QTY/ CTN]]="","",TRUE)</f>
        <v/>
      </c>
      <c r="AW942" s="25" t="str">
        <f ca="1">IF(NOTA[[#This Row],[ID_H]]="","",IF(NOTA[[#This Row],[Column3]]=TRUE,NOTA[[#This Row],[QTY/ CTN]],INDEX([3]!db[QTY/ CTN],NOTA[[#This Row],[//DB]])))</f>
        <v/>
      </c>
      <c r="AX9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2" s="25" t="str">
        <f ca="1">IF(NOTA[[#This Row],[ID_H]]="","",MATCH(NOTA[[#This Row],[NB NOTA_C_QTY]],[3]!db[NB NOTA_C_QTY+F],0))</f>
        <v/>
      </c>
      <c r="AZ942" s="38" t="str">
        <f ca="1">IF(NOTA[[#This Row],[NB NOTA_C_QTY]]="","",ROW()-2)</f>
        <v/>
      </c>
    </row>
    <row r="943" spans="1:52" ht="20.100000000000001" customHeight="1">
      <c r="A9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3" s="25" t="str">
        <f ca="1">IF(NOTA[[#This Row],[NAMA BARANG]]="","",INDEX(NOTA[ID],MATCH(,INDIRECT(ADDRESS(ROW(NOTA[ID]),COLUMN(NOTA[ID]))&amp;":"&amp;ADDRESS(ROW(),COLUMN(NOTA[ID]))),-1)))</f>
        <v/>
      </c>
      <c r="E943" s="33"/>
      <c r="H943" s="34"/>
      <c r="Q943" s="29"/>
      <c r="R943" s="35"/>
      <c r="S943" s="36"/>
      <c r="V943" s="37"/>
      <c r="W943" s="32"/>
      <c r="X943" s="37" t="str">
        <f>IF(NOTA[[#This Row],[HARGA/ CTN]]="",NOTA[[#This Row],[JUMLAH_H]],NOTA[[#This Row],[HARGA/ CTN]]*IF(NOTA[[#This Row],[C]]="",0,NOTA[[#This Row],[C]]))</f>
        <v/>
      </c>
      <c r="Y943" s="37" t="str">
        <f>IF(NOTA[[#This Row],[JUMLAH]]="","",NOTA[[#This Row],[JUMLAH]]*NOTA[[#This Row],[DISC 1]])</f>
        <v/>
      </c>
      <c r="Z943" s="37" t="str">
        <f>IF(NOTA[[#This Row],[JUMLAH]]="","",(NOTA[[#This Row],[JUMLAH]]-NOTA[[#This Row],[DISC 1-]])*NOTA[[#This Row],[DISC 2]])</f>
        <v/>
      </c>
      <c r="AA943" s="37" t="str">
        <f>IF(NOTA[[#This Row],[JUMLAH]]="","",(NOTA[[#This Row],[JUMLAH]]-NOTA[[#This Row],[DISC 1-]]-NOTA[[#This Row],[DISC 2-]])*NOTA[[#This Row],[DISC 3]])</f>
        <v/>
      </c>
      <c r="AB943" s="37" t="str">
        <f>IF(NOTA[[#This Row],[JUMLAH]]="","",NOTA[[#This Row],[DISC 1-]]+NOTA[[#This Row],[DISC 2-]]+NOTA[[#This Row],[DISC 3-]])</f>
        <v/>
      </c>
      <c r="AC943" s="37" t="str">
        <f>IF(NOTA[[#This Row],[JUMLAH]]="","",NOTA[[#This Row],[JUMLAH]]-NOTA[[#This Row],[DISC]])</f>
        <v/>
      </c>
      <c r="AD943" s="37"/>
      <c r="AE9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3" s="37" t="str">
        <f>IF(OR(NOTA[[#This Row],[QTY]]="",NOTA[[#This Row],[HARGA SATUAN]]="",),"",NOTA[[#This Row],[QTY]]*NOTA[[#This Row],[HARGA SATUAN]])</f>
        <v/>
      </c>
      <c r="AI943" s="26" t="str">
        <f ca="1">IF(NOTA[[#This Row],[ID_H]]="","",INDEX(NOTA[TANGGAL],MATCH(,INDIRECT(ADDRESS(ROW(NOTA[TANGGAL]),COLUMN(NOTA[TANGGAL]))&amp;":"&amp;ADDRESS(ROW(),COLUMN(NOTA[TANGGAL]))),-1)))</f>
        <v/>
      </c>
      <c r="AJ943" s="26" t="str">
        <f ca="1">IF(NOTA[[#This Row],[ID_H]]="","",INDEX(NOTA[TGL.NOTA],MATCH(,INDIRECT(ADDRESS(ROW(NOTA[TGL.NOTA]),COLUMN(NOTA[TGL.NOTA]))&amp;":"&amp;ADDRESS(ROW(),COLUMN(NOTA[TGL.NOTA]))),-1)))</f>
        <v/>
      </c>
      <c r="AK943" s="26" t="str">
        <f ca="1">IF(NOTA[[#This Row],[ID_H]]="","",INDEX(NOTA[NO.NOTA],MATCH(NOTA[[#This Row],[ID_H]],NOTA[ID_H],0)))</f>
        <v/>
      </c>
      <c r="AL943" s="28" t="str">
        <f ca="1">IF(NOTA[[#This Row],[NAMA BARANG]]="","",INDEX(NOTA[SUPPLIER],MATCH(,INDIRECT(ADDRESS(ROW(NOTA[ID]),COLUMN(NOTA[ID]))&amp;":"&amp;ADDRESS(ROW(),COLUMN(NOTA[ID]))),-1)))</f>
        <v/>
      </c>
      <c r="AM943" s="28" t="str">
        <f ca="1">IF(NOTA[[#This Row],[ID_H]]="","",IF(NOTA[[#This Row],[FAKTUR]]="",INDIRECT(ADDRESS(ROW()-1,COLUMN())),NOTA[[#This Row],[FAKTUR]]))</f>
        <v/>
      </c>
      <c r="AN943" s="25" t="str">
        <f ca="1">IF(NOTA[[#This Row],[ID]]="","",COUNTIF(NOTA[ID_H],NOTA[[#This Row],[ID_H]]))</f>
        <v/>
      </c>
      <c r="AO943" s="25" t="str">
        <f ca="1">IF(NOTA[[#This Row],[TGL.NOTA]]="",IF(NOTA[[#This Row],[SUPPLIER_H]]="","",AO942),MONTH(NOTA[[#This Row],[TGL.NOTA]]))</f>
        <v/>
      </c>
      <c r="AP9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3" s="25"/>
      <c r="AU943" s="25" t="str">
        <f>IF(NOTA[[#This Row],[CONCAT1]]="","",MATCH(NOTA[[#This Row],[CONCAT1]],[3]!db[NB NOTA_C],0))</f>
        <v/>
      </c>
      <c r="AV943" s="25" t="str">
        <f>IF(NOTA[[#This Row],[QTY/ CTN]]="","",TRUE)</f>
        <v/>
      </c>
      <c r="AW943" s="25" t="str">
        <f ca="1">IF(NOTA[[#This Row],[ID_H]]="","",IF(NOTA[[#This Row],[Column3]]=TRUE,NOTA[[#This Row],[QTY/ CTN]],INDEX([3]!db[QTY/ CTN],NOTA[[#This Row],[//DB]])))</f>
        <v/>
      </c>
      <c r="AX9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3" s="25" t="str">
        <f ca="1">IF(NOTA[[#This Row],[ID_H]]="","",MATCH(NOTA[[#This Row],[NB NOTA_C_QTY]],[3]!db[NB NOTA_C_QTY+F],0))</f>
        <v/>
      </c>
      <c r="AZ943" s="38" t="str">
        <f ca="1">IF(NOTA[[#This Row],[NB NOTA_C_QTY]]="","",ROW()-2)</f>
        <v/>
      </c>
    </row>
    <row r="944" spans="1:52" ht="20.100000000000001" customHeight="1">
      <c r="A9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4" s="25" t="str">
        <f ca="1">IF(NOTA[[#This Row],[NAMA BARANG]]="","",INDEX(NOTA[ID],MATCH(,INDIRECT(ADDRESS(ROW(NOTA[ID]),COLUMN(NOTA[ID]))&amp;":"&amp;ADDRESS(ROW(),COLUMN(NOTA[ID]))),-1)))</f>
        <v/>
      </c>
      <c r="E944" s="33"/>
      <c r="H944" s="34"/>
      <c r="Q944" s="29"/>
      <c r="R944" s="35"/>
      <c r="S944" s="36"/>
      <c r="V944" s="37"/>
      <c r="W944" s="32"/>
      <c r="X944" s="37" t="str">
        <f>IF(NOTA[[#This Row],[HARGA/ CTN]]="",NOTA[[#This Row],[JUMLAH_H]],NOTA[[#This Row],[HARGA/ CTN]]*IF(NOTA[[#This Row],[C]]="",0,NOTA[[#This Row],[C]]))</f>
        <v/>
      </c>
      <c r="Y944" s="37" t="str">
        <f>IF(NOTA[[#This Row],[JUMLAH]]="","",NOTA[[#This Row],[JUMLAH]]*NOTA[[#This Row],[DISC 1]])</f>
        <v/>
      </c>
      <c r="Z944" s="37" t="str">
        <f>IF(NOTA[[#This Row],[JUMLAH]]="","",(NOTA[[#This Row],[JUMLAH]]-NOTA[[#This Row],[DISC 1-]])*NOTA[[#This Row],[DISC 2]])</f>
        <v/>
      </c>
      <c r="AA944" s="37" t="str">
        <f>IF(NOTA[[#This Row],[JUMLAH]]="","",(NOTA[[#This Row],[JUMLAH]]-NOTA[[#This Row],[DISC 1-]]-NOTA[[#This Row],[DISC 2-]])*NOTA[[#This Row],[DISC 3]])</f>
        <v/>
      </c>
      <c r="AB944" s="37" t="str">
        <f>IF(NOTA[[#This Row],[JUMLAH]]="","",NOTA[[#This Row],[DISC 1-]]+NOTA[[#This Row],[DISC 2-]]+NOTA[[#This Row],[DISC 3-]])</f>
        <v/>
      </c>
      <c r="AC944" s="37" t="str">
        <f>IF(NOTA[[#This Row],[JUMLAH]]="","",NOTA[[#This Row],[JUMLAH]]-NOTA[[#This Row],[DISC]])</f>
        <v/>
      </c>
      <c r="AD944" s="37"/>
      <c r="AE9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4" s="37" t="str">
        <f>IF(OR(NOTA[[#This Row],[QTY]]="",NOTA[[#This Row],[HARGA SATUAN]]="",),"",NOTA[[#This Row],[QTY]]*NOTA[[#This Row],[HARGA SATUAN]])</f>
        <v/>
      </c>
      <c r="AI944" s="26" t="str">
        <f ca="1">IF(NOTA[[#This Row],[ID_H]]="","",INDEX(NOTA[TANGGAL],MATCH(,INDIRECT(ADDRESS(ROW(NOTA[TANGGAL]),COLUMN(NOTA[TANGGAL]))&amp;":"&amp;ADDRESS(ROW(),COLUMN(NOTA[TANGGAL]))),-1)))</f>
        <v/>
      </c>
      <c r="AJ944" s="26" t="str">
        <f ca="1">IF(NOTA[[#This Row],[ID_H]]="","",INDEX(NOTA[TGL.NOTA],MATCH(,INDIRECT(ADDRESS(ROW(NOTA[TGL.NOTA]),COLUMN(NOTA[TGL.NOTA]))&amp;":"&amp;ADDRESS(ROW(),COLUMN(NOTA[TGL.NOTA]))),-1)))</f>
        <v/>
      </c>
      <c r="AK944" s="26" t="str">
        <f ca="1">IF(NOTA[[#This Row],[ID_H]]="","",INDEX(NOTA[NO.NOTA],MATCH(NOTA[[#This Row],[ID_H]],NOTA[ID_H],0)))</f>
        <v/>
      </c>
      <c r="AL944" s="28" t="str">
        <f ca="1">IF(NOTA[[#This Row],[NAMA BARANG]]="","",INDEX(NOTA[SUPPLIER],MATCH(,INDIRECT(ADDRESS(ROW(NOTA[ID]),COLUMN(NOTA[ID]))&amp;":"&amp;ADDRESS(ROW(),COLUMN(NOTA[ID]))),-1)))</f>
        <v/>
      </c>
      <c r="AM944" s="28" t="str">
        <f ca="1">IF(NOTA[[#This Row],[ID_H]]="","",IF(NOTA[[#This Row],[FAKTUR]]="",INDIRECT(ADDRESS(ROW()-1,COLUMN())),NOTA[[#This Row],[FAKTUR]]))</f>
        <v/>
      </c>
      <c r="AN944" s="25" t="str">
        <f ca="1">IF(NOTA[[#This Row],[ID]]="","",COUNTIF(NOTA[ID_H],NOTA[[#This Row],[ID_H]]))</f>
        <v/>
      </c>
      <c r="AO944" s="25" t="str">
        <f ca="1">IF(NOTA[[#This Row],[TGL.NOTA]]="",IF(NOTA[[#This Row],[SUPPLIER_H]]="","",AO943),MONTH(NOTA[[#This Row],[TGL.NOTA]]))</f>
        <v/>
      </c>
      <c r="AP9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4" s="25"/>
      <c r="AU944" s="25" t="str">
        <f>IF(NOTA[[#This Row],[CONCAT1]]="","",MATCH(NOTA[[#This Row],[CONCAT1]],[3]!db[NB NOTA_C],0))</f>
        <v/>
      </c>
      <c r="AV944" s="25" t="str">
        <f>IF(NOTA[[#This Row],[QTY/ CTN]]="","",TRUE)</f>
        <v/>
      </c>
      <c r="AW944" s="25" t="str">
        <f ca="1">IF(NOTA[[#This Row],[ID_H]]="","",IF(NOTA[[#This Row],[Column3]]=TRUE,NOTA[[#This Row],[QTY/ CTN]],INDEX([3]!db[QTY/ CTN],NOTA[[#This Row],[//DB]])))</f>
        <v/>
      </c>
      <c r="AX9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4" s="25" t="str">
        <f ca="1">IF(NOTA[[#This Row],[ID_H]]="","",MATCH(NOTA[[#This Row],[NB NOTA_C_QTY]],[3]!db[NB NOTA_C_QTY+F],0))</f>
        <v/>
      </c>
      <c r="AZ944" s="38" t="str">
        <f ca="1">IF(NOTA[[#This Row],[NB NOTA_C_QTY]]="","",ROW()-2)</f>
        <v/>
      </c>
    </row>
    <row r="945" spans="1:52" ht="20.100000000000001" customHeight="1">
      <c r="A9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5" s="25" t="str">
        <f ca="1">IF(NOTA[[#This Row],[NAMA BARANG]]="","",INDEX(NOTA[ID],MATCH(,INDIRECT(ADDRESS(ROW(NOTA[ID]),COLUMN(NOTA[ID]))&amp;":"&amp;ADDRESS(ROW(),COLUMN(NOTA[ID]))),-1)))</f>
        <v/>
      </c>
      <c r="E945" s="33"/>
      <c r="H945" s="34"/>
      <c r="Q945" s="29"/>
      <c r="R945" s="35"/>
      <c r="S945" s="36"/>
      <c r="V945" s="37"/>
      <c r="W945" s="32"/>
      <c r="X945" s="37" t="str">
        <f>IF(NOTA[[#This Row],[HARGA/ CTN]]="",NOTA[[#This Row],[JUMLAH_H]],NOTA[[#This Row],[HARGA/ CTN]]*IF(NOTA[[#This Row],[C]]="",0,NOTA[[#This Row],[C]]))</f>
        <v/>
      </c>
      <c r="Y945" s="37" t="str">
        <f>IF(NOTA[[#This Row],[JUMLAH]]="","",NOTA[[#This Row],[JUMLAH]]*NOTA[[#This Row],[DISC 1]])</f>
        <v/>
      </c>
      <c r="Z945" s="37" t="str">
        <f>IF(NOTA[[#This Row],[JUMLAH]]="","",(NOTA[[#This Row],[JUMLAH]]-NOTA[[#This Row],[DISC 1-]])*NOTA[[#This Row],[DISC 2]])</f>
        <v/>
      </c>
      <c r="AA945" s="37" t="str">
        <f>IF(NOTA[[#This Row],[JUMLAH]]="","",(NOTA[[#This Row],[JUMLAH]]-NOTA[[#This Row],[DISC 1-]]-NOTA[[#This Row],[DISC 2-]])*NOTA[[#This Row],[DISC 3]])</f>
        <v/>
      </c>
      <c r="AB945" s="37" t="str">
        <f>IF(NOTA[[#This Row],[JUMLAH]]="","",NOTA[[#This Row],[DISC 1-]]+NOTA[[#This Row],[DISC 2-]]+NOTA[[#This Row],[DISC 3-]])</f>
        <v/>
      </c>
      <c r="AC945" s="37" t="str">
        <f>IF(NOTA[[#This Row],[JUMLAH]]="","",NOTA[[#This Row],[JUMLAH]]-NOTA[[#This Row],[DISC]])</f>
        <v/>
      </c>
      <c r="AD945" s="37"/>
      <c r="AE9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5" s="37" t="str">
        <f>IF(OR(NOTA[[#This Row],[QTY]]="",NOTA[[#This Row],[HARGA SATUAN]]="",),"",NOTA[[#This Row],[QTY]]*NOTA[[#This Row],[HARGA SATUAN]])</f>
        <v/>
      </c>
      <c r="AI945" s="26" t="str">
        <f ca="1">IF(NOTA[[#This Row],[ID_H]]="","",INDEX(NOTA[TANGGAL],MATCH(,INDIRECT(ADDRESS(ROW(NOTA[TANGGAL]),COLUMN(NOTA[TANGGAL]))&amp;":"&amp;ADDRESS(ROW(),COLUMN(NOTA[TANGGAL]))),-1)))</f>
        <v/>
      </c>
      <c r="AJ945" s="26" t="str">
        <f ca="1">IF(NOTA[[#This Row],[ID_H]]="","",INDEX(NOTA[TGL.NOTA],MATCH(,INDIRECT(ADDRESS(ROW(NOTA[TGL.NOTA]),COLUMN(NOTA[TGL.NOTA]))&amp;":"&amp;ADDRESS(ROW(),COLUMN(NOTA[TGL.NOTA]))),-1)))</f>
        <v/>
      </c>
      <c r="AK945" s="26" t="str">
        <f ca="1">IF(NOTA[[#This Row],[ID_H]]="","",INDEX(NOTA[NO.NOTA],MATCH(NOTA[[#This Row],[ID_H]],NOTA[ID_H],0)))</f>
        <v/>
      </c>
      <c r="AL945" s="28" t="str">
        <f ca="1">IF(NOTA[[#This Row],[NAMA BARANG]]="","",INDEX(NOTA[SUPPLIER],MATCH(,INDIRECT(ADDRESS(ROW(NOTA[ID]),COLUMN(NOTA[ID]))&amp;":"&amp;ADDRESS(ROW(),COLUMN(NOTA[ID]))),-1)))</f>
        <v/>
      </c>
      <c r="AM945" s="28" t="str">
        <f ca="1">IF(NOTA[[#This Row],[ID_H]]="","",IF(NOTA[[#This Row],[FAKTUR]]="",INDIRECT(ADDRESS(ROW()-1,COLUMN())),NOTA[[#This Row],[FAKTUR]]))</f>
        <v/>
      </c>
      <c r="AN945" s="25" t="str">
        <f ca="1">IF(NOTA[[#This Row],[ID]]="","",COUNTIF(NOTA[ID_H],NOTA[[#This Row],[ID_H]]))</f>
        <v/>
      </c>
      <c r="AO945" s="25" t="str">
        <f ca="1">IF(NOTA[[#This Row],[TGL.NOTA]]="",IF(NOTA[[#This Row],[SUPPLIER_H]]="","",AO944),MONTH(NOTA[[#This Row],[TGL.NOTA]]))</f>
        <v/>
      </c>
      <c r="AP9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5" s="25"/>
      <c r="AU945" s="25" t="str">
        <f>IF(NOTA[[#This Row],[CONCAT1]]="","",MATCH(NOTA[[#This Row],[CONCAT1]],[3]!db[NB NOTA_C],0))</f>
        <v/>
      </c>
      <c r="AV945" s="25" t="str">
        <f>IF(NOTA[[#This Row],[QTY/ CTN]]="","",TRUE)</f>
        <v/>
      </c>
      <c r="AW945" s="25" t="str">
        <f ca="1">IF(NOTA[[#This Row],[ID_H]]="","",IF(NOTA[[#This Row],[Column3]]=TRUE,NOTA[[#This Row],[QTY/ CTN]],INDEX([3]!db[QTY/ CTN],NOTA[[#This Row],[//DB]])))</f>
        <v/>
      </c>
      <c r="AX9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5" s="25" t="str">
        <f ca="1">IF(NOTA[[#This Row],[ID_H]]="","",MATCH(NOTA[[#This Row],[NB NOTA_C_QTY]],[3]!db[NB NOTA_C_QTY+F],0))</f>
        <v/>
      </c>
      <c r="AZ945" s="38" t="str">
        <f ca="1">IF(NOTA[[#This Row],[NB NOTA_C_QTY]]="","",ROW()-2)</f>
        <v/>
      </c>
    </row>
    <row r="946" spans="1:52" ht="20.100000000000001" customHeight="1">
      <c r="A9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6" s="25" t="str">
        <f ca="1">IF(NOTA[[#This Row],[NAMA BARANG]]="","",INDEX(NOTA[ID],MATCH(,INDIRECT(ADDRESS(ROW(NOTA[ID]),COLUMN(NOTA[ID]))&amp;":"&amp;ADDRESS(ROW(),COLUMN(NOTA[ID]))),-1)))</f>
        <v/>
      </c>
      <c r="E946" s="33"/>
      <c r="H946" s="34"/>
      <c r="Q946" s="29"/>
      <c r="R946" s="35"/>
      <c r="S946" s="36"/>
      <c r="V946" s="37"/>
      <c r="W946" s="32"/>
      <c r="X946" s="37" t="str">
        <f>IF(NOTA[[#This Row],[HARGA/ CTN]]="",NOTA[[#This Row],[JUMLAH_H]],NOTA[[#This Row],[HARGA/ CTN]]*IF(NOTA[[#This Row],[C]]="",0,NOTA[[#This Row],[C]]))</f>
        <v/>
      </c>
      <c r="Y946" s="37" t="str">
        <f>IF(NOTA[[#This Row],[JUMLAH]]="","",NOTA[[#This Row],[JUMLAH]]*NOTA[[#This Row],[DISC 1]])</f>
        <v/>
      </c>
      <c r="Z946" s="37" t="str">
        <f>IF(NOTA[[#This Row],[JUMLAH]]="","",(NOTA[[#This Row],[JUMLAH]]-NOTA[[#This Row],[DISC 1-]])*NOTA[[#This Row],[DISC 2]])</f>
        <v/>
      </c>
      <c r="AA946" s="37" t="str">
        <f>IF(NOTA[[#This Row],[JUMLAH]]="","",(NOTA[[#This Row],[JUMLAH]]-NOTA[[#This Row],[DISC 1-]]-NOTA[[#This Row],[DISC 2-]])*NOTA[[#This Row],[DISC 3]])</f>
        <v/>
      </c>
      <c r="AB946" s="37" t="str">
        <f>IF(NOTA[[#This Row],[JUMLAH]]="","",NOTA[[#This Row],[DISC 1-]]+NOTA[[#This Row],[DISC 2-]]+NOTA[[#This Row],[DISC 3-]])</f>
        <v/>
      </c>
      <c r="AC946" s="37" t="str">
        <f>IF(NOTA[[#This Row],[JUMLAH]]="","",NOTA[[#This Row],[JUMLAH]]-NOTA[[#This Row],[DISC]])</f>
        <v/>
      </c>
      <c r="AD946" s="37"/>
      <c r="AE9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6" s="37" t="str">
        <f>IF(OR(NOTA[[#This Row],[QTY]]="",NOTA[[#This Row],[HARGA SATUAN]]="",),"",NOTA[[#This Row],[QTY]]*NOTA[[#This Row],[HARGA SATUAN]])</f>
        <v/>
      </c>
      <c r="AI946" s="26" t="str">
        <f ca="1">IF(NOTA[[#This Row],[ID_H]]="","",INDEX(NOTA[TANGGAL],MATCH(,INDIRECT(ADDRESS(ROW(NOTA[TANGGAL]),COLUMN(NOTA[TANGGAL]))&amp;":"&amp;ADDRESS(ROW(),COLUMN(NOTA[TANGGAL]))),-1)))</f>
        <v/>
      </c>
      <c r="AJ946" s="26" t="str">
        <f ca="1">IF(NOTA[[#This Row],[ID_H]]="","",INDEX(NOTA[TGL.NOTA],MATCH(,INDIRECT(ADDRESS(ROW(NOTA[TGL.NOTA]),COLUMN(NOTA[TGL.NOTA]))&amp;":"&amp;ADDRESS(ROW(),COLUMN(NOTA[TGL.NOTA]))),-1)))</f>
        <v/>
      </c>
      <c r="AK946" s="26" t="str">
        <f ca="1">IF(NOTA[[#This Row],[ID_H]]="","",INDEX(NOTA[NO.NOTA],MATCH(NOTA[[#This Row],[ID_H]],NOTA[ID_H],0)))</f>
        <v/>
      </c>
      <c r="AL946" s="28" t="str">
        <f ca="1">IF(NOTA[[#This Row],[NAMA BARANG]]="","",INDEX(NOTA[SUPPLIER],MATCH(,INDIRECT(ADDRESS(ROW(NOTA[ID]),COLUMN(NOTA[ID]))&amp;":"&amp;ADDRESS(ROW(),COLUMN(NOTA[ID]))),-1)))</f>
        <v/>
      </c>
      <c r="AM946" s="28" t="str">
        <f ca="1">IF(NOTA[[#This Row],[ID_H]]="","",IF(NOTA[[#This Row],[FAKTUR]]="",INDIRECT(ADDRESS(ROW()-1,COLUMN())),NOTA[[#This Row],[FAKTUR]]))</f>
        <v/>
      </c>
      <c r="AN946" s="25" t="str">
        <f ca="1">IF(NOTA[[#This Row],[ID]]="","",COUNTIF(NOTA[ID_H],NOTA[[#This Row],[ID_H]]))</f>
        <v/>
      </c>
      <c r="AO946" s="25" t="str">
        <f ca="1">IF(NOTA[[#This Row],[TGL.NOTA]]="",IF(NOTA[[#This Row],[SUPPLIER_H]]="","",AO945),MONTH(NOTA[[#This Row],[TGL.NOTA]]))</f>
        <v/>
      </c>
      <c r="AP9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6" s="25"/>
      <c r="AU946" s="25" t="str">
        <f>IF(NOTA[[#This Row],[CONCAT1]]="","",MATCH(NOTA[[#This Row],[CONCAT1]],[3]!db[NB NOTA_C],0))</f>
        <v/>
      </c>
      <c r="AV946" s="25" t="str">
        <f>IF(NOTA[[#This Row],[QTY/ CTN]]="","",TRUE)</f>
        <v/>
      </c>
      <c r="AW946" s="25" t="str">
        <f ca="1">IF(NOTA[[#This Row],[ID_H]]="","",IF(NOTA[[#This Row],[Column3]]=TRUE,NOTA[[#This Row],[QTY/ CTN]],INDEX([3]!db[QTY/ CTN],NOTA[[#This Row],[//DB]])))</f>
        <v/>
      </c>
      <c r="AX9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6" s="25" t="str">
        <f ca="1">IF(NOTA[[#This Row],[ID_H]]="","",MATCH(NOTA[[#This Row],[NB NOTA_C_QTY]],[3]!db[NB NOTA_C_QTY+F],0))</f>
        <v/>
      </c>
      <c r="AZ946" s="38" t="str">
        <f ca="1">IF(NOTA[[#This Row],[NB NOTA_C_QTY]]="","",ROW()-2)</f>
        <v/>
      </c>
    </row>
    <row r="947" spans="1:52" ht="20.100000000000001" customHeight="1">
      <c r="A9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7" s="25" t="str">
        <f ca="1">IF(NOTA[[#This Row],[NAMA BARANG]]="","",INDEX(NOTA[ID],MATCH(,INDIRECT(ADDRESS(ROW(NOTA[ID]),COLUMN(NOTA[ID]))&amp;":"&amp;ADDRESS(ROW(),COLUMN(NOTA[ID]))),-1)))</f>
        <v/>
      </c>
      <c r="E947" s="33"/>
      <c r="H947" s="34"/>
      <c r="Q947" s="29"/>
      <c r="R947" s="35"/>
      <c r="S947" s="36"/>
      <c r="V947" s="37"/>
      <c r="W947" s="32"/>
      <c r="X947" s="37" t="str">
        <f>IF(NOTA[[#This Row],[HARGA/ CTN]]="",NOTA[[#This Row],[JUMLAH_H]],NOTA[[#This Row],[HARGA/ CTN]]*IF(NOTA[[#This Row],[C]]="",0,NOTA[[#This Row],[C]]))</f>
        <v/>
      </c>
      <c r="Y947" s="37" t="str">
        <f>IF(NOTA[[#This Row],[JUMLAH]]="","",NOTA[[#This Row],[JUMLAH]]*NOTA[[#This Row],[DISC 1]])</f>
        <v/>
      </c>
      <c r="Z947" s="37" t="str">
        <f>IF(NOTA[[#This Row],[JUMLAH]]="","",(NOTA[[#This Row],[JUMLAH]]-NOTA[[#This Row],[DISC 1-]])*NOTA[[#This Row],[DISC 2]])</f>
        <v/>
      </c>
      <c r="AA947" s="37" t="str">
        <f>IF(NOTA[[#This Row],[JUMLAH]]="","",(NOTA[[#This Row],[JUMLAH]]-NOTA[[#This Row],[DISC 1-]]-NOTA[[#This Row],[DISC 2-]])*NOTA[[#This Row],[DISC 3]])</f>
        <v/>
      </c>
      <c r="AB947" s="37" t="str">
        <f>IF(NOTA[[#This Row],[JUMLAH]]="","",NOTA[[#This Row],[DISC 1-]]+NOTA[[#This Row],[DISC 2-]]+NOTA[[#This Row],[DISC 3-]])</f>
        <v/>
      </c>
      <c r="AC947" s="37" t="str">
        <f>IF(NOTA[[#This Row],[JUMLAH]]="","",NOTA[[#This Row],[JUMLAH]]-NOTA[[#This Row],[DISC]])</f>
        <v/>
      </c>
      <c r="AD947" s="37"/>
      <c r="AE9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7" s="37" t="str">
        <f>IF(OR(NOTA[[#This Row],[QTY]]="",NOTA[[#This Row],[HARGA SATUAN]]="",),"",NOTA[[#This Row],[QTY]]*NOTA[[#This Row],[HARGA SATUAN]])</f>
        <v/>
      </c>
      <c r="AI947" s="26" t="str">
        <f ca="1">IF(NOTA[[#This Row],[ID_H]]="","",INDEX(NOTA[TANGGAL],MATCH(,INDIRECT(ADDRESS(ROW(NOTA[TANGGAL]),COLUMN(NOTA[TANGGAL]))&amp;":"&amp;ADDRESS(ROW(),COLUMN(NOTA[TANGGAL]))),-1)))</f>
        <v/>
      </c>
      <c r="AJ947" s="26" t="str">
        <f ca="1">IF(NOTA[[#This Row],[ID_H]]="","",INDEX(NOTA[TGL.NOTA],MATCH(,INDIRECT(ADDRESS(ROW(NOTA[TGL.NOTA]),COLUMN(NOTA[TGL.NOTA]))&amp;":"&amp;ADDRESS(ROW(),COLUMN(NOTA[TGL.NOTA]))),-1)))</f>
        <v/>
      </c>
      <c r="AK947" s="26" t="str">
        <f ca="1">IF(NOTA[[#This Row],[ID_H]]="","",INDEX(NOTA[NO.NOTA],MATCH(NOTA[[#This Row],[ID_H]],NOTA[ID_H],0)))</f>
        <v/>
      </c>
      <c r="AL947" s="28" t="str">
        <f ca="1">IF(NOTA[[#This Row],[NAMA BARANG]]="","",INDEX(NOTA[SUPPLIER],MATCH(,INDIRECT(ADDRESS(ROW(NOTA[ID]),COLUMN(NOTA[ID]))&amp;":"&amp;ADDRESS(ROW(),COLUMN(NOTA[ID]))),-1)))</f>
        <v/>
      </c>
      <c r="AM947" s="28" t="str">
        <f ca="1">IF(NOTA[[#This Row],[ID_H]]="","",IF(NOTA[[#This Row],[FAKTUR]]="",INDIRECT(ADDRESS(ROW()-1,COLUMN())),NOTA[[#This Row],[FAKTUR]]))</f>
        <v/>
      </c>
      <c r="AN947" s="25" t="str">
        <f ca="1">IF(NOTA[[#This Row],[ID]]="","",COUNTIF(NOTA[ID_H],NOTA[[#This Row],[ID_H]]))</f>
        <v/>
      </c>
      <c r="AO947" s="25" t="str">
        <f ca="1">IF(NOTA[[#This Row],[TGL.NOTA]]="",IF(NOTA[[#This Row],[SUPPLIER_H]]="","",AO946),MONTH(NOTA[[#This Row],[TGL.NOTA]]))</f>
        <v/>
      </c>
      <c r="AP9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7" s="25"/>
      <c r="AU947" s="25" t="str">
        <f>IF(NOTA[[#This Row],[CONCAT1]]="","",MATCH(NOTA[[#This Row],[CONCAT1]],[3]!db[NB NOTA_C],0))</f>
        <v/>
      </c>
      <c r="AV947" s="25" t="str">
        <f>IF(NOTA[[#This Row],[QTY/ CTN]]="","",TRUE)</f>
        <v/>
      </c>
      <c r="AW947" s="25" t="str">
        <f ca="1">IF(NOTA[[#This Row],[ID_H]]="","",IF(NOTA[[#This Row],[Column3]]=TRUE,NOTA[[#This Row],[QTY/ CTN]],INDEX([3]!db[QTY/ CTN],NOTA[[#This Row],[//DB]])))</f>
        <v/>
      </c>
      <c r="AX9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7" s="25" t="str">
        <f ca="1">IF(NOTA[[#This Row],[ID_H]]="","",MATCH(NOTA[[#This Row],[NB NOTA_C_QTY]],[3]!db[NB NOTA_C_QTY+F],0))</f>
        <v/>
      </c>
      <c r="AZ947" s="38" t="str">
        <f ca="1">IF(NOTA[[#This Row],[NB NOTA_C_QTY]]="","",ROW()-2)</f>
        <v/>
      </c>
    </row>
    <row r="948" spans="1:52" ht="20.100000000000001" customHeight="1">
      <c r="A9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8" s="25" t="str">
        <f ca="1">IF(NOTA[[#This Row],[NAMA BARANG]]="","",INDEX(NOTA[ID],MATCH(,INDIRECT(ADDRESS(ROW(NOTA[ID]),COLUMN(NOTA[ID]))&amp;":"&amp;ADDRESS(ROW(),COLUMN(NOTA[ID]))),-1)))</f>
        <v/>
      </c>
      <c r="E948" s="33"/>
      <c r="H948" s="34"/>
      <c r="Q948" s="29"/>
      <c r="R948" s="35"/>
      <c r="S948" s="36"/>
      <c r="V948" s="37"/>
      <c r="W948" s="32"/>
      <c r="X948" s="37" t="str">
        <f>IF(NOTA[[#This Row],[HARGA/ CTN]]="",NOTA[[#This Row],[JUMLAH_H]],NOTA[[#This Row],[HARGA/ CTN]]*IF(NOTA[[#This Row],[C]]="",0,NOTA[[#This Row],[C]]))</f>
        <v/>
      </c>
      <c r="Y948" s="37" t="str">
        <f>IF(NOTA[[#This Row],[JUMLAH]]="","",NOTA[[#This Row],[JUMLAH]]*NOTA[[#This Row],[DISC 1]])</f>
        <v/>
      </c>
      <c r="Z948" s="37" t="str">
        <f>IF(NOTA[[#This Row],[JUMLAH]]="","",(NOTA[[#This Row],[JUMLAH]]-NOTA[[#This Row],[DISC 1-]])*NOTA[[#This Row],[DISC 2]])</f>
        <v/>
      </c>
      <c r="AA948" s="37" t="str">
        <f>IF(NOTA[[#This Row],[JUMLAH]]="","",(NOTA[[#This Row],[JUMLAH]]-NOTA[[#This Row],[DISC 1-]]-NOTA[[#This Row],[DISC 2-]])*NOTA[[#This Row],[DISC 3]])</f>
        <v/>
      </c>
      <c r="AB948" s="37" t="str">
        <f>IF(NOTA[[#This Row],[JUMLAH]]="","",NOTA[[#This Row],[DISC 1-]]+NOTA[[#This Row],[DISC 2-]]+NOTA[[#This Row],[DISC 3-]])</f>
        <v/>
      </c>
      <c r="AC948" s="37" t="str">
        <f>IF(NOTA[[#This Row],[JUMLAH]]="","",NOTA[[#This Row],[JUMLAH]]-NOTA[[#This Row],[DISC]])</f>
        <v/>
      </c>
      <c r="AD948" s="37"/>
      <c r="AE9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8" s="37" t="str">
        <f>IF(OR(NOTA[[#This Row],[QTY]]="",NOTA[[#This Row],[HARGA SATUAN]]="",),"",NOTA[[#This Row],[QTY]]*NOTA[[#This Row],[HARGA SATUAN]])</f>
        <v/>
      </c>
      <c r="AI948" s="26" t="str">
        <f ca="1">IF(NOTA[[#This Row],[ID_H]]="","",INDEX(NOTA[TANGGAL],MATCH(,INDIRECT(ADDRESS(ROW(NOTA[TANGGAL]),COLUMN(NOTA[TANGGAL]))&amp;":"&amp;ADDRESS(ROW(),COLUMN(NOTA[TANGGAL]))),-1)))</f>
        <v/>
      </c>
      <c r="AJ948" s="26" t="str">
        <f ca="1">IF(NOTA[[#This Row],[ID_H]]="","",INDEX(NOTA[TGL.NOTA],MATCH(,INDIRECT(ADDRESS(ROW(NOTA[TGL.NOTA]),COLUMN(NOTA[TGL.NOTA]))&amp;":"&amp;ADDRESS(ROW(),COLUMN(NOTA[TGL.NOTA]))),-1)))</f>
        <v/>
      </c>
      <c r="AK948" s="26" t="str">
        <f ca="1">IF(NOTA[[#This Row],[ID_H]]="","",INDEX(NOTA[NO.NOTA],MATCH(NOTA[[#This Row],[ID_H]],NOTA[ID_H],0)))</f>
        <v/>
      </c>
      <c r="AL948" s="28" t="str">
        <f ca="1">IF(NOTA[[#This Row],[NAMA BARANG]]="","",INDEX(NOTA[SUPPLIER],MATCH(,INDIRECT(ADDRESS(ROW(NOTA[ID]),COLUMN(NOTA[ID]))&amp;":"&amp;ADDRESS(ROW(),COLUMN(NOTA[ID]))),-1)))</f>
        <v/>
      </c>
      <c r="AM948" s="28" t="str">
        <f ca="1">IF(NOTA[[#This Row],[ID_H]]="","",IF(NOTA[[#This Row],[FAKTUR]]="",INDIRECT(ADDRESS(ROW()-1,COLUMN())),NOTA[[#This Row],[FAKTUR]]))</f>
        <v/>
      </c>
      <c r="AN948" s="25" t="str">
        <f ca="1">IF(NOTA[[#This Row],[ID]]="","",COUNTIF(NOTA[ID_H],NOTA[[#This Row],[ID_H]]))</f>
        <v/>
      </c>
      <c r="AO948" s="25" t="str">
        <f ca="1">IF(NOTA[[#This Row],[TGL.NOTA]]="",IF(NOTA[[#This Row],[SUPPLIER_H]]="","",AO947),MONTH(NOTA[[#This Row],[TGL.NOTA]]))</f>
        <v/>
      </c>
      <c r="AP9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8" s="25"/>
      <c r="AU948" s="25" t="str">
        <f>IF(NOTA[[#This Row],[CONCAT1]]="","",MATCH(NOTA[[#This Row],[CONCAT1]],[3]!db[NB NOTA_C],0))</f>
        <v/>
      </c>
      <c r="AV948" s="25" t="str">
        <f>IF(NOTA[[#This Row],[QTY/ CTN]]="","",TRUE)</f>
        <v/>
      </c>
      <c r="AW948" s="25" t="str">
        <f ca="1">IF(NOTA[[#This Row],[ID_H]]="","",IF(NOTA[[#This Row],[Column3]]=TRUE,NOTA[[#This Row],[QTY/ CTN]],INDEX([3]!db[QTY/ CTN],NOTA[[#This Row],[//DB]])))</f>
        <v/>
      </c>
      <c r="AX9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8" s="25" t="str">
        <f ca="1">IF(NOTA[[#This Row],[ID_H]]="","",MATCH(NOTA[[#This Row],[NB NOTA_C_QTY]],[3]!db[NB NOTA_C_QTY+F],0))</f>
        <v/>
      </c>
      <c r="AZ948" s="38" t="str">
        <f ca="1">IF(NOTA[[#This Row],[NB NOTA_C_QTY]]="","",ROW()-2)</f>
        <v/>
      </c>
    </row>
    <row r="949" spans="1:52" ht="20.100000000000001" customHeight="1">
      <c r="A9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9" s="25" t="str">
        <f ca="1">IF(NOTA[[#This Row],[NAMA BARANG]]="","",INDEX(NOTA[ID],MATCH(,INDIRECT(ADDRESS(ROW(NOTA[ID]),COLUMN(NOTA[ID]))&amp;":"&amp;ADDRESS(ROW(),COLUMN(NOTA[ID]))),-1)))</f>
        <v/>
      </c>
      <c r="E949" s="33"/>
      <c r="H949" s="34"/>
      <c r="Q949" s="29"/>
      <c r="R949" s="35"/>
      <c r="S949" s="36"/>
      <c r="V949" s="37"/>
      <c r="W949" s="32"/>
      <c r="X949" s="37" t="str">
        <f>IF(NOTA[[#This Row],[HARGA/ CTN]]="",NOTA[[#This Row],[JUMLAH_H]],NOTA[[#This Row],[HARGA/ CTN]]*IF(NOTA[[#This Row],[C]]="",0,NOTA[[#This Row],[C]]))</f>
        <v/>
      </c>
      <c r="Y949" s="37" t="str">
        <f>IF(NOTA[[#This Row],[JUMLAH]]="","",NOTA[[#This Row],[JUMLAH]]*NOTA[[#This Row],[DISC 1]])</f>
        <v/>
      </c>
      <c r="Z949" s="37" t="str">
        <f>IF(NOTA[[#This Row],[JUMLAH]]="","",(NOTA[[#This Row],[JUMLAH]]-NOTA[[#This Row],[DISC 1-]])*NOTA[[#This Row],[DISC 2]])</f>
        <v/>
      </c>
      <c r="AA949" s="37" t="str">
        <f>IF(NOTA[[#This Row],[JUMLAH]]="","",(NOTA[[#This Row],[JUMLAH]]-NOTA[[#This Row],[DISC 1-]]-NOTA[[#This Row],[DISC 2-]])*NOTA[[#This Row],[DISC 3]])</f>
        <v/>
      </c>
      <c r="AB949" s="37" t="str">
        <f>IF(NOTA[[#This Row],[JUMLAH]]="","",NOTA[[#This Row],[DISC 1-]]+NOTA[[#This Row],[DISC 2-]]+NOTA[[#This Row],[DISC 3-]])</f>
        <v/>
      </c>
      <c r="AC949" s="37" t="str">
        <f>IF(NOTA[[#This Row],[JUMLAH]]="","",NOTA[[#This Row],[JUMLAH]]-NOTA[[#This Row],[DISC]])</f>
        <v/>
      </c>
      <c r="AD949" s="37"/>
      <c r="AE9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9" s="37" t="str">
        <f>IF(OR(NOTA[[#This Row],[QTY]]="",NOTA[[#This Row],[HARGA SATUAN]]="",),"",NOTA[[#This Row],[QTY]]*NOTA[[#This Row],[HARGA SATUAN]])</f>
        <v/>
      </c>
      <c r="AI949" s="26" t="str">
        <f ca="1">IF(NOTA[[#This Row],[ID_H]]="","",INDEX(NOTA[TANGGAL],MATCH(,INDIRECT(ADDRESS(ROW(NOTA[TANGGAL]),COLUMN(NOTA[TANGGAL]))&amp;":"&amp;ADDRESS(ROW(),COLUMN(NOTA[TANGGAL]))),-1)))</f>
        <v/>
      </c>
      <c r="AJ949" s="26" t="str">
        <f ca="1">IF(NOTA[[#This Row],[ID_H]]="","",INDEX(NOTA[TGL.NOTA],MATCH(,INDIRECT(ADDRESS(ROW(NOTA[TGL.NOTA]),COLUMN(NOTA[TGL.NOTA]))&amp;":"&amp;ADDRESS(ROW(),COLUMN(NOTA[TGL.NOTA]))),-1)))</f>
        <v/>
      </c>
      <c r="AK949" s="26" t="str">
        <f ca="1">IF(NOTA[[#This Row],[ID_H]]="","",INDEX(NOTA[NO.NOTA],MATCH(NOTA[[#This Row],[ID_H]],NOTA[ID_H],0)))</f>
        <v/>
      </c>
      <c r="AL949" s="28" t="str">
        <f ca="1">IF(NOTA[[#This Row],[NAMA BARANG]]="","",INDEX(NOTA[SUPPLIER],MATCH(,INDIRECT(ADDRESS(ROW(NOTA[ID]),COLUMN(NOTA[ID]))&amp;":"&amp;ADDRESS(ROW(),COLUMN(NOTA[ID]))),-1)))</f>
        <v/>
      </c>
      <c r="AM949" s="28" t="str">
        <f ca="1">IF(NOTA[[#This Row],[ID_H]]="","",IF(NOTA[[#This Row],[FAKTUR]]="",INDIRECT(ADDRESS(ROW()-1,COLUMN())),NOTA[[#This Row],[FAKTUR]]))</f>
        <v/>
      </c>
      <c r="AN949" s="25" t="str">
        <f ca="1">IF(NOTA[[#This Row],[ID]]="","",COUNTIF(NOTA[ID_H],NOTA[[#This Row],[ID_H]]))</f>
        <v/>
      </c>
      <c r="AO949" s="25" t="str">
        <f ca="1">IF(NOTA[[#This Row],[TGL.NOTA]]="",IF(NOTA[[#This Row],[SUPPLIER_H]]="","",AO948),MONTH(NOTA[[#This Row],[TGL.NOTA]]))</f>
        <v/>
      </c>
      <c r="AP9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9" s="25"/>
      <c r="AU949" s="25" t="str">
        <f>IF(NOTA[[#This Row],[CONCAT1]]="","",MATCH(NOTA[[#This Row],[CONCAT1]],[3]!db[NB NOTA_C],0))</f>
        <v/>
      </c>
      <c r="AV949" s="25" t="str">
        <f>IF(NOTA[[#This Row],[QTY/ CTN]]="","",TRUE)</f>
        <v/>
      </c>
      <c r="AW949" s="25" t="str">
        <f ca="1">IF(NOTA[[#This Row],[ID_H]]="","",IF(NOTA[[#This Row],[Column3]]=TRUE,NOTA[[#This Row],[QTY/ CTN]],INDEX([3]!db[QTY/ CTN],NOTA[[#This Row],[//DB]])))</f>
        <v/>
      </c>
      <c r="AX9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9" s="25" t="str">
        <f ca="1">IF(NOTA[[#This Row],[ID_H]]="","",MATCH(NOTA[[#This Row],[NB NOTA_C_QTY]],[3]!db[NB NOTA_C_QTY+F],0))</f>
        <v/>
      </c>
      <c r="AZ949" s="38" t="str">
        <f ca="1">IF(NOTA[[#This Row],[NB NOTA_C_QTY]]="","",ROW()-2)</f>
        <v/>
      </c>
    </row>
    <row r="950" spans="1:52" ht="20.100000000000001" customHeight="1">
      <c r="A9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0" s="25" t="str">
        <f ca="1">IF(NOTA[[#This Row],[NAMA BARANG]]="","",INDEX(NOTA[ID],MATCH(,INDIRECT(ADDRESS(ROW(NOTA[ID]),COLUMN(NOTA[ID]))&amp;":"&amp;ADDRESS(ROW(),COLUMN(NOTA[ID]))),-1)))</f>
        <v/>
      </c>
      <c r="E950" s="33"/>
      <c r="H950" s="34"/>
      <c r="Q950" s="29"/>
      <c r="R950" s="35"/>
      <c r="S950" s="36"/>
      <c r="V950" s="37"/>
      <c r="W950" s="32"/>
      <c r="X950" s="37" t="str">
        <f>IF(NOTA[[#This Row],[HARGA/ CTN]]="",NOTA[[#This Row],[JUMLAH_H]],NOTA[[#This Row],[HARGA/ CTN]]*IF(NOTA[[#This Row],[C]]="",0,NOTA[[#This Row],[C]]))</f>
        <v/>
      </c>
      <c r="Y950" s="37" t="str">
        <f>IF(NOTA[[#This Row],[JUMLAH]]="","",NOTA[[#This Row],[JUMLAH]]*NOTA[[#This Row],[DISC 1]])</f>
        <v/>
      </c>
      <c r="Z950" s="37" t="str">
        <f>IF(NOTA[[#This Row],[JUMLAH]]="","",(NOTA[[#This Row],[JUMLAH]]-NOTA[[#This Row],[DISC 1-]])*NOTA[[#This Row],[DISC 2]])</f>
        <v/>
      </c>
      <c r="AA950" s="37" t="str">
        <f>IF(NOTA[[#This Row],[JUMLAH]]="","",(NOTA[[#This Row],[JUMLAH]]-NOTA[[#This Row],[DISC 1-]]-NOTA[[#This Row],[DISC 2-]])*NOTA[[#This Row],[DISC 3]])</f>
        <v/>
      </c>
      <c r="AB950" s="37" t="str">
        <f>IF(NOTA[[#This Row],[JUMLAH]]="","",NOTA[[#This Row],[DISC 1-]]+NOTA[[#This Row],[DISC 2-]]+NOTA[[#This Row],[DISC 3-]])</f>
        <v/>
      </c>
      <c r="AC950" s="37" t="str">
        <f>IF(NOTA[[#This Row],[JUMLAH]]="","",NOTA[[#This Row],[JUMLAH]]-NOTA[[#This Row],[DISC]])</f>
        <v/>
      </c>
      <c r="AD950" s="37"/>
      <c r="AE9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0" s="37" t="str">
        <f>IF(OR(NOTA[[#This Row],[QTY]]="",NOTA[[#This Row],[HARGA SATUAN]]="",),"",NOTA[[#This Row],[QTY]]*NOTA[[#This Row],[HARGA SATUAN]])</f>
        <v/>
      </c>
      <c r="AI950" s="26" t="str">
        <f ca="1">IF(NOTA[[#This Row],[ID_H]]="","",INDEX(NOTA[TANGGAL],MATCH(,INDIRECT(ADDRESS(ROW(NOTA[TANGGAL]),COLUMN(NOTA[TANGGAL]))&amp;":"&amp;ADDRESS(ROW(),COLUMN(NOTA[TANGGAL]))),-1)))</f>
        <v/>
      </c>
      <c r="AJ950" s="26" t="str">
        <f ca="1">IF(NOTA[[#This Row],[ID_H]]="","",INDEX(NOTA[TGL.NOTA],MATCH(,INDIRECT(ADDRESS(ROW(NOTA[TGL.NOTA]),COLUMN(NOTA[TGL.NOTA]))&amp;":"&amp;ADDRESS(ROW(),COLUMN(NOTA[TGL.NOTA]))),-1)))</f>
        <v/>
      </c>
      <c r="AK950" s="26" t="str">
        <f ca="1">IF(NOTA[[#This Row],[ID_H]]="","",INDEX(NOTA[NO.NOTA],MATCH(NOTA[[#This Row],[ID_H]],NOTA[ID_H],0)))</f>
        <v/>
      </c>
      <c r="AL950" s="28" t="str">
        <f ca="1">IF(NOTA[[#This Row],[NAMA BARANG]]="","",INDEX(NOTA[SUPPLIER],MATCH(,INDIRECT(ADDRESS(ROW(NOTA[ID]),COLUMN(NOTA[ID]))&amp;":"&amp;ADDRESS(ROW(),COLUMN(NOTA[ID]))),-1)))</f>
        <v/>
      </c>
      <c r="AM950" s="28" t="str">
        <f ca="1">IF(NOTA[[#This Row],[ID_H]]="","",IF(NOTA[[#This Row],[FAKTUR]]="",INDIRECT(ADDRESS(ROW()-1,COLUMN())),NOTA[[#This Row],[FAKTUR]]))</f>
        <v/>
      </c>
      <c r="AN950" s="25" t="str">
        <f ca="1">IF(NOTA[[#This Row],[ID]]="","",COUNTIF(NOTA[ID_H],NOTA[[#This Row],[ID_H]]))</f>
        <v/>
      </c>
      <c r="AO950" s="25" t="str">
        <f ca="1">IF(NOTA[[#This Row],[TGL.NOTA]]="",IF(NOTA[[#This Row],[SUPPLIER_H]]="","",AO949),MONTH(NOTA[[#This Row],[TGL.NOTA]]))</f>
        <v/>
      </c>
      <c r="AP9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0" s="25"/>
      <c r="AU950" s="25" t="str">
        <f>IF(NOTA[[#This Row],[CONCAT1]]="","",MATCH(NOTA[[#This Row],[CONCAT1]],[3]!db[NB NOTA_C],0))</f>
        <v/>
      </c>
      <c r="AV950" s="25" t="str">
        <f>IF(NOTA[[#This Row],[QTY/ CTN]]="","",TRUE)</f>
        <v/>
      </c>
      <c r="AW950" s="25" t="str">
        <f ca="1">IF(NOTA[[#This Row],[ID_H]]="","",IF(NOTA[[#This Row],[Column3]]=TRUE,NOTA[[#This Row],[QTY/ CTN]],INDEX([3]!db[QTY/ CTN],NOTA[[#This Row],[//DB]])))</f>
        <v/>
      </c>
      <c r="AX9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0" s="25" t="str">
        <f ca="1">IF(NOTA[[#This Row],[ID_H]]="","",MATCH(NOTA[[#This Row],[NB NOTA_C_QTY]],[3]!db[NB NOTA_C_QTY+F],0))</f>
        <v/>
      </c>
      <c r="AZ950" s="38" t="str">
        <f ca="1">IF(NOTA[[#This Row],[NB NOTA_C_QTY]]="","",ROW()-2)</f>
        <v/>
      </c>
    </row>
    <row r="951" spans="1:52" ht="20.100000000000001" customHeight="1">
      <c r="A9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1" s="25" t="str">
        <f ca="1">IF(NOTA[[#This Row],[NAMA BARANG]]="","",INDEX(NOTA[ID],MATCH(,INDIRECT(ADDRESS(ROW(NOTA[ID]),COLUMN(NOTA[ID]))&amp;":"&amp;ADDRESS(ROW(),COLUMN(NOTA[ID]))),-1)))</f>
        <v/>
      </c>
      <c r="E951" s="33"/>
      <c r="H951" s="34"/>
      <c r="Q951" s="29"/>
      <c r="R951" s="35"/>
      <c r="S951" s="36"/>
      <c r="V951" s="37"/>
      <c r="W951" s="32"/>
      <c r="X951" s="37" t="str">
        <f>IF(NOTA[[#This Row],[HARGA/ CTN]]="",NOTA[[#This Row],[JUMLAH_H]],NOTA[[#This Row],[HARGA/ CTN]]*IF(NOTA[[#This Row],[C]]="",0,NOTA[[#This Row],[C]]))</f>
        <v/>
      </c>
      <c r="Y951" s="37" t="str">
        <f>IF(NOTA[[#This Row],[JUMLAH]]="","",NOTA[[#This Row],[JUMLAH]]*NOTA[[#This Row],[DISC 1]])</f>
        <v/>
      </c>
      <c r="Z951" s="37" t="str">
        <f>IF(NOTA[[#This Row],[JUMLAH]]="","",(NOTA[[#This Row],[JUMLAH]]-NOTA[[#This Row],[DISC 1-]])*NOTA[[#This Row],[DISC 2]])</f>
        <v/>
      </c>
      <c r="AA951" s="37" t="str">
        <f>IF(NOTA[[#This Row],[JUMLAH]]="","",(NOTA[[#This Row],[JUMLAH]]-NOTA[[#This Row],[DISC 1-]]-NOTA[[#This Row],[DISC 2-]])*NOTA[[#This Row],[DISC 3]])</f>
        <v/>
      </c>
      <c r="AB951" s="37" t="str">
        <f>IF(NOTA[[#This Row],[JUMLAH]]="","",NOTA[[#This Row],[DISC 1-]]+NOTA[[#This Row],[DISC 2-]]+NOTA[[#This Row],[DISC 3-]])</f>
        <v/>
      </c>
      <c r="AC951" s="37" t="str">
        <f>IF(NOTA[[#This Row],[JUMLAH]]="","",NOTA[[#This Row],[JUMLAH]]-NOTA[[#This Row],[DISC]])</f>
        <v/>
      </c>
      <c r="AD951" s="37"/>
      <c r="AE9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1" s="37" t="str">
        <f>IF(OR(NOTA[[#This Row],[QTY]]="",NOTA[[#This Row],[HARGA SATUAN]]="",),"",NOTA[[#This Row],[QTY]]*NOTA[[#This Row],[HARGA SATUAN]])</f>
        <v/>
      </c>
      <c r="AI951" s="26" t="str">
        <f ca="1">IF(NOTA[[#This Row],[ID_H]]="","",INDEX(NOTA[TANGGAL],MATCH(,INDIRECT(ADDRESS(ROW(NOTA[TANGGAL]),COLUMN(NOTA[TANGGAL]))&amp;":"&amp;ADDRESS(ROW(),COLUMN(NOTA[TANGGAL]))),-1)))</f>
        <v/>
      </c>
      <c r="AJ951" s="26" t="str">
        <f ca="1">IF(NOTA[[#This Row],[ID_H]]="","",INDEX(NOTA[TGL.NOTA],MATCH(,INDIRECT(ADDRESS(ROW(NOTA[TGL.NOTA]),COLUMN(NOTA[TGL.NOTA]))&amp;":"&amp;ADDRESS(ROW(),COLUMN(NOTA[TGL.NOTA]))),-1)))</f>
        <v/>
      </c>
      <c r="AK951" s="26" t="str">
        <f ca="1">IF(NOTA[[#This Row],[ID_H]]="","",INDEX(NOTA[NO.NOTA],MATCH(NOTA[[#This Row],[ID_H]],NOTA[ID_H],0)))</f>
        <v/>
      </c>
      <c r="AL951" s="28" t="str">
        <f ca="1">IF(NOTA[[#This Row],[NAMA BARANG]]="","",INDEX(NOTA[SUPPLIER],MATCH(,INDIRECT(ADDRESS(ROW(NOTA[ID]),COLUMN(NOTA[ID]))&amp;":"&amp;ADDRESS(ROW(),COLUMN(NOTA[ID]))),-1)))</f>
        <v/>
      </c>
      <c r="AM951" s="28" t="str">
        <f ca="1">IF(NOTA[[#This Row],[ID_H]]="","",IF(NOTA[[#This Row],[FAKTUR]]="",INDIRECT(ADDRESS(ROW()-1,COLUMN())),NOTA[[#This Row],[FAKTUR]]))</f>
        <v/>
      </c>
      <c r="AN951" s="25" t="str">
        <f ca="1">IF(NOTA[[#This Row],[ID]]="","",COUNTIF(NOTA[ID_H],NOTA[[#This Row],[ID_H]]))</f>
        <v/>
      </c>
      <c r="AO951" s="25" t="str">
        <f ca="1">IF(NOTA[[#This Row],[TGL.NOTA]]="",IF(NOTA[[#This Row],[SUPPLIER_H]]="","",AO950),MONTH(NOTA[[#This Row],[TGL.NOTA]]))</f>
        <v/>
      </c>
      <c r="AP9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1" s="25"/>
      <c r="AU951" s="25" t="str">
        <f>IF(NOTA[[#This Row],[CONCAT1]]="","",MATCH(NOTA[[#This Row],[CONCAT1]],[3]!db[NB NOTA_C],0))</f>
        <v/>
      </c>
      <c r="AV951" s="25" t="str">
        <f>IF(NOTA[[#This Row],[QTY/ CTN]]="","",TRUE)</f>
        <v/>
      </c>
      <c r="AW951" s="25" t="str">
        <f ca="1">IF(NOTA[[#This Row],[ID_H]]="","",IF(NOTA[[#This Row],[Column3]]=TRUE,NOTA[[#This Row],[QTY/ CTN]],INDEX([3]!db[QTY/ CTN],NOTA[[#This Row],[//DB]])))</f>
        <v/>
      </c>
      <c r="AX9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1" s="25" t="str">
        <f ca="1">IF(NOTA[[#This Row],[ID_H]]="","",MATCH(NOTA[[#This Row],[NB NOTA_C_QTY]],[3]!db[NB NOTA_C_QTY+F],0))</f>
        <v/>
      </c>
      <c r="AZ951" s="38" t="str">
        <f ca="1">IF(NOTA[[#This Row],[NB NOTA_C_QTY]]="","",ROW()-2)</f>
        <v/>
      </c>
    </row>
    <row r="952" spans="1:52" ht="20.100000000000001" customHeight="1">
      <c r="A9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2" s="25" t="str">
        <f ca="1">IF(NOTA[[#This Row],[NAMA BARANG]]="","",INDEX(NOTA[ID],MATCH(,INDIRECT(ADDRESS(ROW(NOTA[ID]),COLUMN(NOTA[ID]))&amp;":"&amp;ADDRESS(ROW(),COLUMN(NOTA[ID]))),-1)))</f>
        <v/>
      </c>
      <c r="E952" s="33"/>
      <c r="H952" s="34"/>
      <c r="Q952" s="29"/>
      <c r="R952" s="35"/>
      <c r="S952" s="36"/>
      <c r="V952" s="37"/>
      <c r="W952" s="32"/>
      <c r="X952" s="37" t="str">
        <f>IF(NOTA[[#This Row],[HARGA/ CTN]]="",NOTA[[#This Row],[JUMLAH_H]],NOTA[[#This Row],[HARGA/ CTN]]*IF(NOTA[[#This Row],[C]]="",0,NOTA[[#This Row],[C]]))</f>
        <v/>
      </c>
      <c r="Y952" s="37" t="str">
        <f>IF(NOTA[[#This Row],[JUMLAH]]="","",NOTA[[#This Row],[JUMLAH]]*NOTA[[#This Row],[DISC 1]])</f>
        <v/>
      </c>
      <c r="Z952" s="37" t="str">
        <f>IF(NOTA[[#This Row],[JUMLAH]]="","",(NOTA[[#This Row],[JUMLAH]]-NOTA[[#This Row],[DISC 1-]])*NOTA[[#This Row],[DISC 2]])</f>
        <v/>
      </c>
      <c r="AA952" s="37" t="str">
        <f>IF(NOTA[[#This Row],[JUMLAH]]="","",(NOTA[[#This Row],[JUMLAH]]-NOTA[[#This Row],[DISC 1-]]-NOTA[[#This Row],[DISC 2-]])*NOTA[[#This Row],[DISC 3]])</f>
        <v/>
      </c>
      <c r="AB952" s="37" t="str">
        <f>IF(NOTA[[#This Row],[JUMLAH]]="","",NOTA[[#This Row],[DISC 1-]]+NOTA[[#This Row],[DISC 2-]]+NOTA[[#This Row],[DISC 3-]])</f>
        <v/>
      </c>
      <c r="AC952" s="37" t="str">
        <f>IF(NOTA[[#This Row],[JUMLAH]]="","",NOTA[[#This Row],[JUMLAH]]-NOTA[[#This Row],[DISC]])</f>
        <v/>
      </c>
      <c r="AD952" s="37"/>
      <c r="AE9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2" s="37" t="str">
        <f>IF(OR(NOTA[[#This Row],[QTY]]="",NOTA[[#This Row],[HARGA SATUAN]]="",),"",NOTA[[#This Row],[QTY]]*NOTA[[#This Row],[HARGA SATUAN]])</f>
        <v/>
      </c>
      <c r="AI952" s="26" t="str">
        <f ca="1">IF(NOTA[[#This Row],[ID_H]]="","",INDEX(NOTA[TANGGAL],MATCH(,INDIRECT(ADDRESS(ROW(NOTA[TANGGAL]),COLUMN(NOTA[TANGGAL]))&amp;":"&amp;ADDRESS(ROW(),COLUMN(NOTA[TANGGAL]))),-1)))</f>
        <v/>
      </c>
      <c r="AJ952" s="26" t="str">
        <f ca="1">IF(NOTA[[#This Row],[ID_H]]="","",INDEX(NOTA[TGL.NOTA],MATCH(,INDIRECT(ADDRESS(ROW(NOTA[TGL.NOTA]),COLUMN(NOTA[TGL.NOTA]))&amp;":"&amp;ADDRESS(ROW(),COLUMN(NOTA[TGL.NOTA]))),-1)))</f>
        <v/>
      </c>
      <c r="AK952" s="26" t="str">
        <f ca="1">IF(NOTA[[#This Row],[ID_H]]="","",INDEX(NOTA[NO.NOTA],MATCH(NOTA[[#This Row],[ID_H]],NOTA[ID_H],0)))</f>
        <v/>
      </c>
      <c r="AL952" s="28" t="str">
        <f ca="1">IF(NOTA[[#This Row],[NAMA BARANG]]="","",INDEX(NOTA[SUPPLIER],MATCH(,INDIRECT(ADDRESS(ROW(NOTA[ID]),COLUMN(NOTA[ID]))&amp;":"&amp;ADDRESS(ROW(),COLUMN(NOTA[ID]))),-1)))</f>
        <v/>
      </c>
      <c r="AM952" s="28" t="str">
        <f ca="1">IF(NOTA[[#This Row],[ID_H]]="","",IF(NOTA[[#This Row],[FAKTUR]]="",INDIRECT(ADDRESS(ROW()-1,COLUMN())),NOTA[[#This Row],[FAKTUR]]))</f>
        <v/>
      </c>
      <c r="AN952" s="25" t="str">
        <f ca="1">IF(NOTA[[#This Row],[ID]]="","",COUNTIF(NOTA[ID_H],NOTA[[#This Row],[ID_H]]))</f>
        <v/>
      </c>
      <c r="AO952" s="25" t="str">
        <f ca="1">IF(NOTA[[#This Row],[TGL.NOTA]]="",IF(NOTA[[#This Row],[SUPPLIER_H]]="","",AO951),MONTH(NOTA[[#This Row],[TGL.NOTA]]))</f>
        <v/>
      </c>
      <c r="AP9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2" s="25"/>
      <c r="AU952" s="25" t="str">
        <f>IF(NOTA[[#This Row],[CONCAT1]]="","",MATCH(NOTA[[#This Row],[CONCAT1]],[3]!db[NB NOTA_C],0))</f>
        <v/>
      </c>
      <c r="AV952" s="25" t="str">
        <f>IF(NOTA[[#This Row],[QTY/ CTN]]="","",TRUE)</f>
        <v/>
      </c>
      <c r="AW952" s="25" t="str">
        <f ca="1">IF(NOTA[[#This Row],[ID_H]]="","",IF(NOTA[[#This Row],[Column3]]=TRUE,NOTA[[#This Row],[QTY/ CTN]],INDEX([3]!db[QTY/ CTN],NOTA[[#This Row],[//DB]])))</f>
        <v/>
      </c>
      <c r="AX9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2" s="25" t="str">
        <f ca="1">IF(NOTA[[#This Row],[ID_H]]="","",MATCH(NOTA[[#This Row],[NB NOTA_C_QTY]],[3]!db[NB NOTA_C_QTY+F],0))</f>
        <v/>
      </c>
      <c r="AZ952" s="38" t="str">
        <f ca="1">IF(NOTA[[#This Row],[NB NOTA_C_QTY]]="","",ROW()-2)</f>
        <v/>
      </c>
    </row>
    <row r="953" spans="1:52" ht="20.100000000000001" customHeight="1">
      <c r="A9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3" s="25" t="str">
        <f ca="1">IF(NOTA[[#This Row],[NAMA BARANG]]="","",INDEX(NOTA[ID],MATCH(,INDIRECT(ADDRESS(ROW(NOTA[ID]),COLUMN(NOTA[ID]))&amp;":"&amp;ADDRESS(ROW(),COLUMN(NOTA[ID]))),-1)))</f>
        <v/>
      </c>
      <c r="E953" s="33"/>
      <c r="H953" s="34"/>
      <c r="Q953" s="29"/>
      <c r="R953" s="35"/>
      <c r="S953" s="36"/>
      <c r="V953" s="37"/>
      <c r="W953" s="32"/>
      <c r="X953" s="37" t="str">
        <f>IF(NOTA[[#This Row],[HARGA/ CTN]]="",NOTA[[#This Row],[JUMLAH_H]],NOTA[[#This Row],[HARGA/ CTN]]*IF(NOTA[[#This Row],[C]]="",0,NOTA[[#This Row],[C]]))</f>
        <v/>
      </c>
      <c r="Y953" s="37" t="str">
        <f>IF(NOTA[[#This Row],[JUMLAH]]="","",NOTA[[#This Row],[JUMLAH]]*NOTA[[#This Row],[DISC 1]])</f>
        <v/>
      </c>
      <c r="Z953" s="37" t="str">
        <f>IF(NOTA[[#This Row],[JUMLAH]]="","",(NOTA[[#This Row],[JUMLAH]]-NOTA[[#This Row],[DISC 1-]])*NOTA[[#This Row],[DISC 2]])</f>
        <v/>
      </c>
      <c r="AA953" s="37" t="str">
        <f>IF(NOTA[[#This Row],[JUMLAH]]="","",(NOTA[[#This Row],[JUMLAH]]-NOTA[[#This Row],[DISC 1-]]-NOTA[[#This Row],[DISC 2-]])*NOTA[[#This Row],[DISC 3]])</f>
        <v/>
      </c>
      <c r="AB953" s="37" t="str">
        <f>IF(NOTA[[#This Row],[JUMLAH]]="","",NOTA[[#This Row],[DISC 1-]]+NOTA[[#This Row],[DISC 2-]]+NOTA[[#This Row],[DISC 3-]])</f>
        <v/>
      </c>
      <c r="AC953" s="37" t="str">
        <f>IF(NOTA[[#This Row],[JUMLAH]]="","",NOTA[[#This Row],[JUMLAH]]-NOTA[[#This Row],[DISC]])</f>
        <v/>
      </c>
      <c r="AD953" s="37"/>
      <c r="AE9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3" s="37" t="str">
        <f>IF(OR(NOTA[[#This Row],[QTY]]="",NOTA[[#This Row],[HARGA SATUAN]]="",),"",NOTA[[#This Row],[QTY]]*NOTA[[#This Row],[HARGA SATUAN]])</f>
        <v/>
      </c>
      <c r="AI953" s="26" t="str">
        <f ca="1">IF(NOTA[[#This Row],[ID_H]]="","",INDEX(NOTA[TANGGAL],MATCH(,INDIRECT(ADDRESS(ROW(NOTA[TANGGAL]),COLUMN(NOTA[TANGGAL]))&amp;":"&amp;ADDRESS(ROW(),COLUMN(NOTA[TANGGAL]))),-1)))</f>
        <v/>
      </c>
      <c r="AJ953" s="26" t="str">
        <f ca="1">IF(NOTA[[#This Row],[ID_H]]="","",INDEX(NOTA[TGL.NOTA],MATCH(,INDIRECT(ADDRESS(ROW(NOTA[TGL.NOTA]),COLUMN(NOTA[TGL.NOTA]))&amp;":"&amp;ADDRESS(ROW(),COLUMN(NOTA[TGL.NOTA]))),-1)))</f>
        <v/>
      </c>
      <c r="AK953" s="26" t="str">
        <f ca="1">IF(NOTA[[#This Row],[ID_H]]="","",INDEX(NOTA[NO.NOTA],MATCH(NOTA[[#This Row],[ID_H]],NOTA[ID_H],0)))</f>
        <v/>
      </c>
      <c r="AL953" s="28" t="str">
        <f ca="1">IF(NOTA[[#This Row],[NAMA BARANG]]="","",INDEX(NOTA[SUPPLIER],MATCH(,INDIRECT(ADDRESS(ROW(NOTA[ID]),COLUMN(NOTA[ID]))&amp;":"&amp;ADDRESS(ROW(),COLUMN(NOTA[ID]))),-1)))</f>
        <v/>
      </c>
      <c r="AM953" s="28" t="str">
        <f ca="1">IF(NOTA[[#This Row],[ID_H]]="","",IF(NOTA[[#This Row],[FAKTUR]]="",INDIRECT(ADDRESS(ROW()-1,COLUMN())),NOTA[[#This Row],[FAKTUR]]))</f>
        <v/>
      </c>
      <c r="AN953" s="25" t="str">
        <f ca="1">IF(NOTA[[#This Row],[ID]]="","",COUNTIF(NOTA[ID_H],NOTA[[#This Row],[ID_H]]))</f>
        <v/>
      </c>
      <c r="AO953" s="25" t="str">
        <f ca="1">IF(NOTA[[#This Row],[TGL.NOTA]]="",IF(NOTA[[#This Row],[SUPPLIER_H]]="","",AO952),MONTH(NOTA[[#This Row],[TGL.NOTA]]))</f>
        <v/>
      </c>
      <c r="AP9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3" s="25"/>
      <c r="AU953" s="25" t="str">
        <f>IF(NOTA[[#This Row],[CONCAT1]]="","",MATCH(NOTA[[#This Row],[CONCAT1]],[3]!db[NB NOTA_C],0))</f>
        <v/>
      </c>
      <c r="AV953" s="25" t="str">
        <f>IF(NOTA[[#This Row],[QTY/ CTN]]="","",TRUE)</f>
        <v/>
      </c>
      <c r="AW953" s="25" t="str">
        <f ca="1">IF(NOTA[[#This Row],[ID_H]]="","",IF(NOTA[[#This Row],[Column3]]=TRUE,NOTA[[#This Row],[QTY/ CTN]],INDEX([3]!db[QTY/ CTN],NOTA[[#This Row],[//DB]])))</f>
        <v/>
      </c>
      <c r="AX9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3" s="25" t="str">
        <f ca="1">IF(NOTA[[#This Row],[ID_H]]="","",MATCH(NOTA[[#This Row],[NB NOTA_C_QTY]],[3]!db[NB NOTA_C_QTY+F],0))</f>
        <v/>
      </c>
      <c r="AZ953" s="38" t="str">
        <f ca="1">IF(NOTA[[#This Row],[NB NOTA_C_QTY]]="","",ROW()-2)</f>
        <v/>
      </c>
    </row>
    <row r="954" spans="1:52" ht="20.100000000000001" customHeight="1">
      <c r="A9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4" s="25" t="str">
        <f ca="1">IF(NOTA[[#This Row],[NAMA BARANG]]="","",INDEX(NOTA[ID],MATCH(,INDIRECT(ADDRESS(ROW(NOTA[ID]),COLUMN(NOTA[ID]))&amp;":"&amp;ADDRESS(ROW(),COLUMN(NOTA[ID]))),-1)))</f>
        <v/>
      </c>
      <c r="E954" s="33"/>
      <c r="H954" s="34"/>
      <c r="Q954" s="29"/>
      <c r="R954" s="35"/>
      <c r="S954" s="36"/>
      <c r="V954" s="37"/>
      <c r="W954" s="32"/>
      <c r="X954" s="37" t="str">
        <f>IF(NOTA[[#This Row],[HARGA/ CTN]]="",NOTA[[#This Row],[JUMLAH_H]],NOTA[[#This Row],[HARGA/ CTN]]*IF(NOTA[[#This Row],[C]]="",0,NOTA[[#This Row],[C]]))</f>
        <v/>
      </c>
      <c r="Y954" s="37" t="str">
        <f>IF(NOTA[[#This Row],[JUMLAH]]="","",NOTA[[#This Row],[JUMLAH]]*NOTA[[#This Row],[DISC 1]])</f>
        <v/>
      </c>
      <c r="Z954" s="37" t="str">
        <f>IF(NOTA[[#This Row],[JUMLAH]]="","",(NOTA[[#This Row],[JUMLAH]]-NOTA[[#This Row],[DISC 1-]])*NOTA[[#This Row],[DISC 2]])</f>
        <v/>
      </c>
      <c r="AA954" s="37" t="str">
        <f>IF(NOTA[[#This Row],[JUMLAH]]="","",(NOTA[[#This Row],[JUMLAH]]-NOTA[[#This Row],[DISC 1-]]-NOTA[[#This Row],[DISC 2-]])*NOTA[[#This Row],[DISC 3]])</f>
        <v/>
      </c>
      <c r="AB954" s="37" t="str">
        <f>IF(NOTA[[#This Row],[JUMLAH]]="","",NOTA[[#This Row],[DISC 1-]]+NOTA[[#This Row],[DISC 2-]]+NOTA[[#This Row],[DISC 3-]])</f>
        <v/>
      </c>
      <c r="AC954" s="37" t="str">
        <f>IF(NOTA[[#This Row],[JUMLAH]]="","",NOTA[[#This Row],[JUMLAH]]-NOTA[[#This Row],[DISC]])</f>
        <v/>
      </c>
      <c r="AD954" s="37"/>
      <c r="AE9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4" s="37" t="str">
        <f>IF(OR(NOTA[[#This Row],[QTY]]="",NOTA[[#This Row],[HARGA SATUAN]]="",),"",NOTA[[#This Row],[QTY]]*NOTA[[#This Row],[HARGA SATUAN]])</f>
        <v/>
      </c>
      <c r="AI954" s="26" t="str">
        <f ca="1">IF(NOTA[[#This Row],[ID_H]]="","",INDEX(NOTA[TANGGAL],MATCH(,INDIRECT(ADDRESS(ROW(NOTA[TANGGAL]),COLUMN(NOTA[TANGGAL]))&amp;":"&amp;ADDRESS(ROW(),COLUMN(NOTA[TANGGAL]))),-1)))</f>
        <v/>
      </c>
      <c r="AJ954" s="26" t="str">
        <f ca="1">IF(NOTA[[#This Row],[ID_H]]="","",INDEX(NOTA[TGL.NOTA],MATCH(,INDIRECT(ADDRESS(ROW(NOTA[TGL.NOTA]),COLUMN(NOTA[TGL.NOTA]))&amp;":"&amp;ADDRESS(ROW(),COLUMN(NOTA[TGL.NOTA]))),-1)))</f>
        <v/>
      </c>
      <c r="AK954" s="26" t="str">
        <f ca="1">IF(NOTA[[#This Row],[ID_H]]="","",INDEX(NOTA[NO.NOTA],MATCH(NOTA[[#This Row],[ID_H]],NOTA[ID_H],0)))</f>
        <v/>
      </c>
      <c r="AL954" s="28" t="str">
        <f ca="1">IF(NOTA[[#This Row],[NAMA BARANG]]="","",INDEX(NOTA[SUPPLIER],MATCH(,INDIRECT(ADDRESS(ROW(NOTA[ID]),COLUMN(NOTA[ID]))&amp;":"&amp;ADDRESS(ROW(),COLUMN(NOTA[ID]))),-1)))</f>
        <v/>
      </c>
      <c r="AM954" s="28" t="str">
        <f ca="1">IF(NOTA[[#This Row],[ID_H]]="","",IF(NOTA[[#This Row],[FAKTUR]]="",INDIRECT(ADDRESS(ROW()-1,COLUMN())),NOTA[[#This Row],[FAKTUR]]))</f>
        <v/>
      </c>
      <c r="AN954" s="25" t="str">
        <f ca="1">IF(NOTA[[#This Row],[ID]]="","",COUNTIF(NOTA[ID_H],NOTA[[#This Row],[ID_H]]))</f>
        <v/>
      </c>
      <c r="AO954" s="25" t="str">
        <f ca="1">IF(NOTA[[#This Row],[TGL.NOTA]]="",IF(NOTA[[#This Row],[SUPPLIER_H]]="","",AO953),MONTH(NOTA[[#This Row],[TGL.NOTA]]))</f>
        <v/>
      </c>
      <c r="AP9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4" s="25"/>
      <c r="AU954" s="25" t="str">
        <f>IF(NOTA[[#This Row],[CONCAT1]]="","",MATCH(NOTA[[#This Row],[CONCAT1]],[3]!db[NB NOTA_C],0))</f>
        <v/>
      </c>
      <c r="AV954" s="25" t="str">
        <f>IF(NOTA[[#This Row],[QTY/ CTN]]="","",TRUE)</f>
        <v/>
      </c>
      <c r="AW954" s="25" t="str">
        <f ca="1">IF(NOTA[[#This Row],[ID_H]]="","",IF(NOTA[[#This Row],[Column3]]=TRUE,NOTA[[#This Row],[QTY/ CTN]],INDEX([3]!db[QTY/ CTN],NOTA[[#This Row],[//DB]])))</f>
        <v/>
      </c>
      <c r="AX9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4" s="25" t="str">
        <f ca="1">IF(NOTA[[#This Row],[ID_H]]="","",MATCH(NOTA[[#This Row],[NB NOTA_C_QTY]],[3]!db[NB NOTA_C_QTY+F],0))</f>
        <v/>
      </c>
      <c r="AZ954" s="38" t="str">
        <f ca="1">IF(NOTA[[#This Row],[NB NOTA_C_QTY]]="","",ROW()-2)</f>
        <v/>
      </c>
    </row>
    <row r="955" spans="1:52" ht="20.100000000000001" customHeight="1">
      <c r="A9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5" s="25" t="str">
        <f ca="1">IF(NOTA[[#This Row],[NAMA BARANG]]="","",INDEX(NOTA[ID],MATCH(,INDIRECT(ADDRESS(ROW(NOTA[ID]),COLUMN(NOTA[ID]))&amp;":"&amp;ADDRESS(ROW(),COLUMN(NOTA[ID]))),-1)))</f>
        <v/>
      </c>
      <c r="E955" s="33"/>
      <c r="H955" s="34"/>
      <c r="Q955" s="29"/>
      <c r="R955" s="35"/>
      <c r="S955" s="36"/>
      <c r="V955" s="37"/>
      <c r="W955" s="32"/>
      <c r="X955" s="37" t="str">
        <f>IF(NOTA[[#This Row],[HARGA/ CTN]]="",NOTA[[#This Row],[JUMLAH_H]],NOTA[[#This Row],[HARGA/ CTN]]*IF(NOTA[[#This Row],[C]]="",0,NOTA[[#This Row],[C]]))</f>
        <v/>
      </c>
      <c r="Y955" s="37" t="str">
        <f>IF(NOTA[[#This Row],[JUMLAH]]="","",NOTA[[#This Row],[JUMLAH]]*NOTA[[#This Row],[DISC 1]])</f>
        <v/>
      </c>
      <c r="Z955" s="37" t="str">
        <f>IF(NOTA[[#This Row],[JUMLAH]]="","",(NOTA[[#This Row],[JUMLAH]]-NOTA[[#This Row],[DISC 1-]])*NOTA[[#This Row],[DISC 2]])</f>
        <v/>
      </c>
      <c r="AA955" s="37" t="str">
        <f>IF(NOTA[[#This Row],[JUMLAH]]="","",(NOTA[[#This Row],[JUMLAH]]-NOTA[[#This Row],[DISC 1-]]-NOTA[[#This Row],[DISC 2-]])*NOTA[[#This Row],[DISC 3]])</f>
        <v/>
      </c>
      <c r="AB955" s="37" t="str">
        <f>IF(NOTA[[#This Row],[JUMLAH]]="","",NOTA[[#This Row],[DISC 1-]]+NOTA[[#This Row],[DISC 2-]]+NOTA[[#This Row],[DISC 3-]])</f>
        <v/>
      </c>
      <c r="AC955" s="37" t="str">
        <f>IF(NOTA[[#This Row],[JUMLAH]]="","",NOTA[[#This Row],[JUMLAH]]-NOTA[[#This Row],[DISC]])</f>
        <v/>
      </c>
      <c r="AD955" s="37"/>
      <c r="AE9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5" s="37" t="str">
        <f>IF(OR(NOTA[[#This Row],[QTY]]="",NOTA[[#This Row],[HARGA SATUAN]]="",),"",NOTA[[#This Row],[QTY]]*NOTA[[#This Row],[HARGA SATUAN]])</f>
        <v/>
      </c>
      <c r="AI955" s="26" t="str">
        <f ca="1">IF(NOTA[[#This Row],[ID_H]]="","",INDEX(NOTA[TANGGAL],MATCH(,INDIRECT(ADDRESS(ROW(NOTA[TANGGAL]),COLUMN(NOTA[TANGGAL]))&amp;":"&amp;ADDRESS(ROW(),COLUMN(NOTA[TANGGAL]))),-1)))</f>
        <v/>
      </c>
      <c r="AJ955" s="26" t="str">
        <f ca="1">IF(NOTA[[#This Row],[ID_H]]="","",INDEX(NOTA[TGL.NOTA],MATCH(,INDIRECT(ADDRESS(ROW(NOTA[TGL.NOTA]),COLUMN(NOTA[TGL.NOTA]))&amp;":"&amp;ADDRESS(ROW(),COLUMN(NOTA[TGL.NOTA]))),-1)))</f>
        <v/>
      </c>
      <c r="AK955" s="26" t="str">
        <f ca="1">IF(NOTA[[#This Row],[ID_H]]="","",INDEX(NOTA[NO.NOTA],MATCH(NOTA[[#This Row],[ID_H]],NOTA[ID_H],0)))</f>
        <v/>
      </c>
      <c r="AL955" s="28" t="str">
        <f ca="1">IF(NOTA[[#This Row],[NAMA BARANG]]="","",INDEX(NOTA[SUPPLIER],MATCH(,INDIRECT(ADDRESS(ROW(NOTA[ID]),COLUMN(NOTA[ID]))&amp;":"&amp;ADDRESS(ROW(),COLUMN(NOTA[ID]))),-1)))</f>
        <v/>
      </c>
      <c r="AM955" s="28" t="str">
        <f ca="1">IF(NOTA[[#This Row],[ID_H]]="","",IF(NOTA[[#This Row],[FAKTUR]]="",INDIRECT(ADDRESS(ROW()-1,COLUMN())),NOTA[[#This Row],[FAKTUR]]))</f>
        <v/>
      </c>
      <c r="AN955" s="25" t="str">
        <f ca="1">IF(NOTA[[#This Row],[ID]]="","",COUNTIF(NOTA[ID_H],NOTA[[#This Row],[ID_H]]))</f>
        <v/>
      </c>
      <c r="AO955" s="25" t="str">
        <f ca="1">IF(NOTA[[#This Row],[TGL.NOTA]]="",IF(NOTA[[#This Row],[SUPPLIER_H]]="","",AO954),MONTH(NOTA[[#This Row],[TGL.NOTA]]))</f>
        <v/>
      </c>
      <c r="AP9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5" s="25"/>
      <c r="AU955" s="25" t="str">
        <f>IF(NOTA[[#This Row],[CONCAT1]]="","",MATCH(NOTA[[#This Row],[CONCAT1]],[3]!db[NB NOTA_C],0))</f>
        <v/>
      </c>
      <c r="AV955" s="25" t="str">
        <f>IF(NOTA[[#This Row],[QTY/ CTN]]="","",TRUE)</f>
        <v/>
      </c>
      <c r="AW955" s="25" t="str">
        <f ca="1">IF(NOTA[[#This Row],[ID_H]]="","",IF(NOTA[[#This Row],[Column3]]=TRUE,NOTA[[#This Row],[QTY/ CTN]],INDEX([3]!db[QTY/ CTN],NOTA[[#This Row],[//DB]])))</f>
        <v/>
      </c>
      <c r="AX9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5" s="25" t="str">
        <f ca="1">IF(NOTA[[#This Row],[ID_H]]="","",MATCH(NOTA[[#This Row],[NB NOTA_C_QTY]],[3]!db[NB NOTA_C_QTY+F],0))</f>
        <v/>
      </c>
      <c r="AZ955" s="38" t="str">
        <f ca="1">IF(NOTA[[#This Row],[NB NOTA_C_QTY]]="","",ROW()-2)</f>
        <v/>
      </c>
    </row>
    <row r="956" spans="1:52" ht="20.100000000000001" customHeight="1">
      <c r="A9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6" s="25" t="str">
        <f ca="1">IF(NOTA[[#This Row],[NAMA BARANG]]="","",INDEX(NOTA[ID],MATCH(,INDIRECT(ADDRESS(ROW(NOTA[ID]),COLUMN(NOTA[ID]))&amp;":"&amp;ADDRESS(ROW(),COLUMN(NOTA[ID]))),-1)))</f>
        <v/>
      </c>
      <c r="E956" s="33"/>
      <c r="H956" s="34"/>
      <c r="Q956" s="29"/>
      <c r="R956" s="35"/>
      <c r="S956" s="36"/>
      <c r="V956" s="37"/>
      <c r="W956" s="32"/>
      <c r="X956" s="37" t="str">
        <f>IF(NOTA[[#This Row],[HARGA/ CTN]]="",NOTA[[#This Row],[JUMLAH_H]],NOTA[[#This Row],[HARGA/ CTN]]*IF(NOTA[[#This Row],[C]]="",0,NOTA[[#This Row],[C]]))</f>
        <v/>
      </c>
      <c r="Y956" s="37" t="str">
        <f>IF(NOTA[[#This Row],[JUMLAH]]="","",NOTA[[#This Row],[JUMLAH]]*NOTA[[#This Row],[DISC 1]])</f>
        <v/>
      </c>
      <c r="Z956" s="37" t="str">
        <f>IF(NOTA[[#This Row],[JUMLAH]]="","",(NOTA[[#This Row],[JUMLAH]]-NOTA[[#This Row],[DISC 1-]])*NOTA[[#This Row],[DISC 2]])</f>
        <v/>
      </c>
      <c r="AA956" s="37" t="str">
        <f>IF(NOTA[[#This Row],[JUMLAH]]="","",(NOTA[[#This Row],[JUMLAH]]-NOTA[[#This Row],[DISC 1-]]-NOTA[[#This Row],[DISC 2-]])*NOTA[[#This Row],[DISC 3]])</f>
        <v/>
      </c>
      <c r="AB956" s="37" t="str">
        <f>IF(NOTA[[#This Row],[JUMLAH]]="","",NOTA[[#This Row],[DISC 1-]]+NOTA[[#This Row],[DISC 2-]]+NOTA[[#This Row],[DISC 3-]])</f>
        <v/>
      </c>
      <c r="AC956" s="37" t="str">
        <f>IF(NOTA[[#This Row],[JUMLAH]]="","",NOTA[[#This Row],[JUMLAH]]-NOTA[[#This Row],[DISC]])</f>
        <v/>
      </c>
      <c r="AD956" s="37"/>
      <c r="AE9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6" s="37" t="str">
        <f>IF(OR(NOTA[[#This Row],[QTY]]="",NOTA[[#This Row],[HARGA SATUAN]]="",),"",NOTA[[#This Row],[QTY]]*NOTA[[#This Row],[HARGA SATUAN]])</f>
        <v/>
      </c>
      <c r="AI956" s="26" t="str">
        <f ca="1">IF(NOTA[[#This Row],[ID_H]]="","",INDEX(NOTA[TANGGAL],MATCH(,INDIRECT(ADDRESS(ROW(NOTA[TANGGAL]),COLUMN(NOTA[TANGGAL]))&amp;":"&amp;ADDRESS(ROW(),COLUMN(NOTA[TANGGAL]))),-1)))</f>
        <v/>
      </c>
      <c r="AJ956" s="26" t="str">
        <f ca="1">IF(NOTA[[#This Row],[ID_H]]="","",INDEX(NOTA[TGL.NOTA],MATCH(,INDIRECT(ADDRESS(ROW(NOTA[TGL.NOTA]),COLUMN(NOTA[TGL.NOTA]))&amp;":"&amp;ADDRESS(ROW(),COLUMN(NOTA[TGL.NOTA]))),-1)))</f>
        <v/>
      </c>
      <c r="AK956" s="26" t="str">
        <f ca="1">IF(NOTA[[#This Row],[ID_H]]="","",INDEX(NOTA[NO.NOTA],MATCH(NOTA[[#This Row],[ID_H]],NOTA[ID_H],0)))</f>
        <v/>
      </c>
      <c r="AL956" s="28" t="str">
        <f ca="1">IF(NOTA[[#This Row],[NAMA BARANG]]="","",INDEX(NOTA[SUPPLIER],MATCH(,INDIRECT(ADDRESS(ROW(NOTA[ID]),COLUMN(NOTA[ID]))&amp;":"&amp;ADDRESS(ROW(),COLUMN(NOTA[ID]))),-1)))</f>
        <v/>
      </c>
      <c r="AM956" s="28" t="str">
        <f ca="1">IF(NOTA[[#This Row],[ID_H]]="","",IF(NOTA[[#This Row],[FAKTUR]]="",INDIRECT(ADDRESS(ROW()-1,COLUMN())),NOTA[[#This Row],[FAKTUR]]))</f>
        <v/>
      </c>
      <c r="AN956" s="25" t="str">
        <f ca="1">IF(NOTA[[#This Row],[ID]]="","",COUNTIF(NOTA[ID_H],NOTA[[#This Row],[ID_H]]))</f>
        <v/>
      </c>
      <c r="AO956" s="25" t="str">
        <f ca="1">IF(NOTA[[#This Row],[TGL.NOTA]]="",IF(NOTA[[#This Row],[SUPPLIER_H]]="","",AO955),MONTH(NOTA[[#This Row],[TGL.NOTA]]))</f>
        <v/>
      </c>
      <c r="AP9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6" s="25"/>
      <c r="AU956" s="25" t="str">
        <f>IF(NOTA[[#This Row],[CONCAT1]]="","",MATCH(NOTA[[#This Row],[CONCAT1]],[3]!db[NB NOTA_C],0))</f>
        <v/>
      </c>
      <c r="AV956" s="25" t="str">
        <f>IF(NOTA[[#This Row],[QTY/ CTN]]="","",TRUE)</f>
        <v/>
      </c>
      <c r="AW956" s="25" t="str">
        <f ca="1">IF(NOTA[[#This Row],[ID_H]]="","",IF(NOTA[[#This Row],[Column3]]=TRUE,NOTA[[#This Row],[QTY/ CTN]],INDEX([3]!db[QTY/ CTN],NOTA[[#This Row],[//DB]])))</f>
        <v/>
      </c>
      <c r="AX9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6" s="25" t="str">
        <f ca="1">IF(NOTA[[#This Row],[ID_H]]="","",MATCH(NOTA[[#This Row],[NB NOTA_C_QTY]],[3]!db[NB NOTA_C_QTY+F],0))</f>
        <v/>
      </c>
      <c r="AZ956" s="38" t="str">
        <f ca="1">IF(NOTA[[#This Row],[NB NOTA_C_QTY]]="","",ROW()-2)</f>
        <v/>
      </c>
    </row>
    <row r="957" spans="1:52" ht="20.100000000000001" customHeight="1">
      <c r="A9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7" s="25" t="str">
        <f ca="1">IF(NOTA[[#This Row],[NAMA BARANG]]="","",INDEX(NOTA[ID],MATCH(,INDIRECT(ADDRESS(ROW(NOTA[ID]),COLUMN(NOTA[ID]))&amp;":"&amp;ADDRESS(ROW(),COLUMN(NOTA[ID]))),-1)))</f>
        <v/>
      </c>
      <c r="E957" s="33"/>
      <c r="H957" s="34"/>
      <c r="Q957" s="29"/>
      <c r="R957" s="35"/>
      <c r="S957" s="36"/>
      <c r="V957" s="37"/>
      <c r="W957" s="32"/>
      <c r="X957" s="37" t="str">
        <f>IF(NOTA[[#This Row],[HARGA/ CTN]]="",NOTA[[#This Row],[JUMLAH_H]],NOTA[[#This Row],[HARGA/ CTN]]*IF(NOTA[[#This Row],[C]]="",0,NOTA[[#This Row],[C]]))</f>
        <v/>
      </c>
      <c r="Y957" s="37" t="str">
        <f>IF(NOTA[[#This Row],[JUMLAH]]="","",NOTA[[#This Row],[JUMLAH]]*NOTA[[#This Row],[DISC 1]])</f>
        <v/>
      </c>
      <c r="Z957" s="37" t="str">
        <f>IF(NOTA[[#This Row],[JUMLAH]]="","",(NOTA[[#This Row],[JUMLAH]]-NOTA[[#This Row],[DISC 1-]])*NOTA[[#This Row],[DISC 2]])</f>
        <v/>
      </c>
      <c r="AA957" s="37" t="str">
        <f>IF(NOTA[[#This Row],[JUMLAH]]="","",(NOTA[[#This Row],[JUMLAH]]-NOTA[[#This Row],[DISC 1-]]-NOTA[[#This Row],[DISC 2-]])*NOTA[[#This Row],[DISC 3]])</f>
        <v/>
      </c>
      <c r="AB957" s="37" t="str">
        <f>IF(NOTA[[#This Row],[JUMLAH]]="","",NOTA[[#This Row],[DISC 1-]]+NOTA[[#This Row],[DISC 2-]]+NOTA[[#This Row],[DISC 3-]])</f>
        <v/>
      </c>
      <c r="AC957" s="37" t="str">
        <f>IF(NOTA[[#This Row],[JUMLAH]]="","",NOTA[[#This Row],[JUMLAH]]-NOTA[[#This Row],[DISC]])</f>
        <v/>
      </c>
      <c r="AD957" s="37"/>
      <c r="AE9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7" s="37" t="str">
        <f>IF(OR(NOTA[[#This Row],[QTY]]="",NOTA[[#This Row],[HARGA SATUAN]]="",),"",NOTA[[#This Row],[QTY]]*NOTA[[#This Row],[HARGA SATUAN]])</f>
        <v/>
      </c>
      <c r="AI957" s="26" t="str">
        <f ca="1">IF(NOTA[[#This Row],[ID_H]]="","",INDEX(NOTA[TANGGAL],MATCH(,INDIRECT(ADDRESS(ROW(NOTA[TANGGAL]),COLUMN(NOTA[TANGGAL]))&amp;":"&amp;ADDRESS(ROW(),COLUMN(NOTA[TANGGAL]))),-1)))</f>
        <v/>
      </c>
      <c r="AJ957" s="26" t="str">
        <f ca="1">IF(NOTA[[#This Row],[ID_H]]="","",INDEX(NOTA[TGL.NOTA],MATCH(,INDIRECT(ADDRESS(ROW(NOTA[TGL.NOTA]),COLUMN(NOTA[TGL.NOTA]))&amp;":"&amp;ADDRESS(ROW(),COLUMN(NOTA[TGL.NOTA]))),-1)))</f>
        <v/>
      </c>
      <c r="AK957" s="26" t="str">
        <f ca="1">IF(NOTA[[#This Row],[ID_H]]="","",INDEX(NOTA[NO.NOTA],MATCH(NOTA[[#This Row],[ID_H]],NOTA[ID_H],0)))</f>
        <v/>
      </c>
      <c r="AL957" s="28" t="str">
        <f ca="1">IF(NOTA[[#This Row],[NAMA BARANG]]="","",INDEX(NOTA[SUPPLIER],MATCH(,INDIRECT(ADDRESS(ROW(NOTA[ID]),COLUMN(NOTA[ID]))&amp;":"&amp;ADDRESS(ROW(),COLUMN(NOTA[ID]))),-1)))</f>
        <v/>
      </c>
      <c r="AM957" s="28" t="str">
        <f ca="1">IF(NOTA[[#This Row],[ID_H]]="","",IF(NOTA[[#This Row],[FAKTUR]]="",INDIRECT(ADDRESS(ROW()-1,COLUMN())),NOTA[[#This Row],[FAKTUR]]))</f>
        <v/>
      </c>
      <c r="AN957" s="25" t="str">
        <f ca="1">IF(NOTA[[#This Row],[ID]]="","",COUNTIF(NOTA[ID_H],NOTA[[#This Row],[ID_H]]))</f>
        <v/>
      </c>
      <c r="AO957" s="25" t="str">
        <f ca="1">IF(NOTA[[#This Row],[TGL.NOTA]]="",IF(NOTA[[#This Row],[SUPPLIER_H]]="","",AO956),MONTH(NOTA[[#This Row],[TGL.NOTA]]))</f>
        <v/>
      </c>
      <c r="AP9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7" s="25"/>
      <c r="AU957" s="25" t="str">
        <f>IF(NOTA[[#This Row],[CONCAT1]]="","",MATCH(NOTA[[#This Row],[CONCAT1]],[3]!db[NB NOTA_C],0))</f>
        <v/>
      </c>
      <c r="AV957" s="25" t="str">
        <f>IF(NOTA[[#This Row],[QTY/ CTN]]="","",TRUE)</f>
        <v/>
      </c>
      <c r="AW957" s="25" t="str">
        <f ca="1">IF(NOTA[[#This Row],[ID_H]]="","",IF(NOTA[[#This Row],[Column3]]=TRUE,NOTA[[#This Row],[QTY/ CTN]],INDEX([3]!db[QTY/ CTN],NOTA[[#This Row],[//DB]])))</f>
        <v/>
      </c>
      <c r="AX9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7" s="25" t="str">
        <f ca="1">IF(NOTA[[#This Row],[ID_H]]="","",MATCH(NOTA[[#This Row],[NB NOTA_C_QTY]],[3]!db[NB NOTA_C_QTY+F],0))</f>
        <v/>
      </c>
      <c r="AZ957" s="38" t="str">
        <f ca="1">IF(NOTA[[#This Row],[NB NOTA_C_QTY]]="","",ROW()-2)</f>
        <v/>
      </c>
    </row>
    <row r="958" spans="1:52" ht="20.100000000000001" customHeight="1">
      <c r="A9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8" s="25" t="str">
        <f ca="1">IF(NOTA[[#This Row],[NAMA BARANG]]="","",INDEX(NOTA[ID],MATCH(,INDIRECT(ADDRESS(ROW(NOTA[ID]),COLUMN(NOTA[ID]))&amp;":"&amp;ADDRESS(ROW(),COLUMN(NOTA[ID]))),-1)))</f>
        <v/>
      </c>
      <c r="E958" s="33"/>
      <c r="H958" s="34"/>
      <c r="Q958" s="29"/>
      <c r="R958" s="35"/>
      <c r="S958" s="36"/>
      <c r="V958" s="37"/>
      <c r="W958" s="32"/>
      <c r="X958" s="37" t="str">
        <f>IF(NOTA[[#This Row],[HARGA/ CTN]]="",NOTA[[#This Row],[JUMLAH_H]],NOTA[[#This Row],[HARGA/ CTN]]*IF(NOTA[[#This Row],[C]]="",0,NOTA[[#This Row],[C]]))</f>
        <v/>
      </c>
      <c r="Y958" s="37" t="str">
        <f>IF(NOTA[[#This Row],[JUMLAH]]="","",NOTA[[#This Row],[JUMLAH]]*NOTA[[#This Row],[DISC 1]])</f>
        <v/>
      </c>
      <c r="Z958" s="37" t="str">
        <f>IF(NOTA[[#This Row],[JUMLAH]]="","",(NOTA[[#This Row],[JUMLAH]]-NOTA[[#This Row],[DISC 1-]])*NOTA[[#This Row],[DISC 2]])</f>
        <v/>
      </c>
      <c r="AA958" s="37" t="str">
        <f>IF(NOTA[[#This Row],[JUMLAH]]="","",(NOTA[[#This Row],[JUMLAH]]-NOTA[[#This Row],[DISC 1-]]-NOTA[[#This Row],[DISC 2-]])*NOTA[[#This Row],[DISC 3]])</f>
        <v/>
      </c>
      <c r="AB958" s="37" t="str">
        <f>IF(NOTA[[#This Row],[JUMLAH]]="","",NOTA[[#This Row],[DISC 1-]]+NOTA[[#This Row],[DISC 2-]]+NOTA[[#This Row],[DISC 3-]])</f>
        <v/>
      </c>
      <c r="AC958" s="37" t="str">
        <f>IF(NOTA[[#This Row],[JUMLAH]]="","",NOTA[[#This Row],[JUMLAH]]-NOTA[[#This Row],[DISC]])</f>
        <v/>
      </c>
      <c r="AD958" s="37"/>
      <c r="AE9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8" s="37" t="str">
        <f>IF(OR(NOTA[[#This Row],[QTY]]="",NOTA[[#This Row],[HARGA SATUAN]]="",),"",NOTA[[#This Row],[QTY]]*NOTA[[#This Row],[HARGA SATUAN]])</f>
        <v/>
      </c>
      <c r="AI958" s="26" t="str">
        <f ca="1">IF(NOTA[[#This Row],[ID_H]]="","",INDEX(NOTA[TANGGAL],MATCH(,INDIRECT(ADDRESS(ROW(NOTA[TANGGAL]),COLUMN(NOTA[TANGGAL]))&amp;":"&amp;ADDRESS(ROW(),COLUMN(NOTA[TANGGAL]))),-1)))</f>
        <v/>
      </c>
      <c r="AJ958" s="26" t="str">
        <f ca="1">IF(NOTA[[#This Row],[ID_H]]="","",INDEX(NOTA[TGL.NOTA],MATCH(,INDIRECT(ADDRESS(ROW(NOTA[TGL.NOTA]),COLUMN(NOTA[TGL.NOTA]))&amp;":"&amp;ADDRESS(ROW(),COLUMN(NOTA[TGL.NOTA]))),-1)))</f>
        <v/>
      </c>
      <c r="AK958" s="26" t="str">
        <f ca="1">IF(NOTA[[#This Row],[ID_H]]="","",INDEX(NOTA[NO.NOTA],MATCH(NOTA[[#This Row],[ID_H]],NOTA[ID_H],0)))</f>
        <v/>
      </c>
      <c r="AL958" s="28" t="str">
        <f ca="1">IF(NOTA[[#This Row],[NAMA BARANG]]="","",INDEX(NOTA[SUPPLIER],MATCH(,INDIRECT(ADDRESS(ROW(NOTA[ID]),COLUMN(NOTA[ID]))&amp;":"&amp;ADDRESS(ROW(),COLUMN(NOTA[ID]))),-1)))</f>
        <v/>
      </c>
      <c r="AM958" s="28" t="str">
        <f ca="1">IF(NOTA[[#This Row],[ID_H]]="","",IF(NOTA[[#This Row],[FAKTUR]]="",INDIRECT(ADDRESS(ROW()-1,COLUMN())),NOTA[[#This Row],[FAKTUR]]))</f>
        <v/>
      </c>
      <c r="AN958" s="25" t="str">
        <f ca="1">IF(NOTA[[#This Row],[ID]]="","",COUNTIF(NOTA[ID_H],NOTA[[#This Row],[ID_H]]))</f>
        <v/>
      </c>
      <c r="AO958" s="25" t="str">
        <f ca="1">IF(NOTA[[#This Row],[TGL.NOTA]]="",IF(NOTA[[#This Row],[SUPPLIER_H]]="","",AO957),MONTH(NOTA[[#This Row],[TGL.NOTA]]))</f>
        <v/>
      </c>
      <c r="AP9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8" s="25"/>
      <c r="AU958" s="25" t="str">
        <f>IF(NOTA[[#This Row],[CONCAT1]]="","",MATCH(NOTA[[#This Row],[CONCAT1]],[3]!db[NB NOTA_C],0))</f>
        <v/>
      </c>
      <c r="AV958" s="25" t="str">
        <f>IF(NOTA[[#This Row],[QTY/ CTN]]="","",TRUE)</f>
        <v/>
      </c>
      <c r="AW958" s="25" t="str">
        <f ca="1">IF(NOTA[[#This Row],[ID_H]]="","",IF(NOTA[[#This Row],[Column3]]=TRUE,NOTA[[#This Row],[QTY/ CTN]],INDEX([3]!db[QTY/ CTN],NOTA[[#This Row],[//DB]])))</f>
        <v/>
      </c>
      <c r="AX9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8" s="25" t="str">
        <f ca="1">IF(NOTA[[#This Row],[ID_H]]="","",MATCH(NOTA[[#This Row],[NB NOTA_C_QTY]],[3]!db[NB NOTA_C_QTY+F],0))</f>
        <v/>
      </c>
      <c r="AZ958" s="38" t="str">
        <f ca="1">IF(NOTA[[#This Row],[NB NOTA_C_QTY]]="","",ROW()-2)</f>
        <v/>
      </c>
    </row>
    <row r="959" spans="1:52" ht="20.100000000000001" customHeight="1">
      <c r="A9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9" s="25" t="str">
        <f ca="1">IF(NOTA[[#This Row],[NAMA BARANG]]="","",INDEX(NOTA[ID],MATCH(,INDIRECT(ADDRESS(ROW(NOTA[ID]),COLUMN(NOTA[ID]))&amp;":"&amp;ADDRESS(ROW(),COLUMN(NOTA[ID]))),-1)))</f>
        <v/>
      </c>
      <c r="E959" s="33"/>
      <c r="H959" s="34"/>
      <c r="Q959" s="29"/>
      <c r="R959" s="35"/>
      <c r="S959" s="36"/>
      <c r="V959" s="37"/>
      <c r="W959" s="32"/>
      <c r="X959" s="37" t="str">
        <f>IF(NOTA[[#This Row],[HARGA/ CTN]]="",NOTA[[#This Row],[JUMLAH_H]],NOTA[[#This Row],[HARGA/ CTN]]*IF(NOTA[[#This Row],[C]]="",0,NOTA[[#This Row],[C]]))</f>
        <v/>
      </c>
      <c r="Y959" s="37" t="str">
        <f>IF(NOTA[[#This Row],[JUMLAH]]="","",NOTA[[#This Row],[JUMLAH]]*NOTA[[#This Row],[DISC 1]])</f>
        <v/>
      </c>
      <c r="Z959" s="37" t="str">
        <f>IF(NOTA[[#This Row],[JUMLAH]]="","",(NOTA[[#This Row],[JUMLAH]]-NOTA[[#This Row],[DISC 1-]])*NOTA[[#This Row],[DISC 2]])</f>
        <v/>
      </c>
      <c r="AA959" s="37" t="str">
        <f>IF(NOTA[[#This Row],[JUMLAH]]="","",(NOTA[[#This Row],[JUMLAH]]-NOTA[[#This Row],[DISC 1-]]-NOTA[[#This Row],[DISC 2-]])*NOTA[[#This Row],[DISC 3]])</f>
        <v/>
      </c>
      <c r="AB959" s="37" t="str">
        <f>IF(NOTA[[#This Row],[JUMLAH]]="","",NOTA[[#This Row],[DISC 1-]]+NOTA[[#This Row],[DISC 2-]]+NOTA[[#This Row],[DISC 3-]])</f>
        <v/>
      </c>
      <c r="AC959" s="37" t="str">
        <f>IF(NOTA[[#This Row],[JUMLAH]]="","",NOTA[[#This Row],[JUMLAH]]-NOTA[[#This Row],[DISC]])</f>
        <v/>
      </c>
      <c r="AD959" s="37"/>
      <c r="AE9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9" s="37" t="str">
        <f>IF(OR(NOTA[[#This Row],[QTY]]="",NOTA[[#This Row],[HARGA SATUAN]]="",),"",NOTA[[#This Row],[QTY]]*NOTA[[#This Row],[HARGA SATUAN]])</f>
        <v/>
      </c>
      <c r="AI959" s="26" t="str">
        <f ca="1">IF(NOTA[[#This Row],[ID_H]]="","",INDEX(NOTA[TANGGAL],MATCH(,INDIRECT(ADDRESS(ROW(NOTA[TANGGAL]),COLUMN(NOTA[TANGGAL]))&amp;":"&amp;ADDRESS(ROW(),COLUMN(NOTA[TANGGAL]))),-1)))</f>
        <v/>
      </c>
      <c r="AJ959" s="26" t="str">
        <f ca="1">IF(NOTA[[#This Row],[ID_H]]="","",INDEX(NOTA[TGL.NOTA],MATCH(,INDIRECT(ADDRESS(ROW(NOTA[TGL.NOTA]),COLUMN(NOTA[TGL.NOTA]))&amp;":"&amp;ADDRESS(ROW(),COLUMN(NOTA[TGL.NOTA]))),-1)))</f>
        <v/>
      </c>
      <c r="AK959" s="26" t="str">
        <f ca="1">IF(NOTA[[#This Row],[ID_H]]="","",INDEX(NOTA[NO.NOTA],MATCH(NOTA[[#This Row],[ID_H]],NOTA[ID_H],0)))</f>
        <v/>
      </c>
      <c r="AL959" s="28" t="str">
        <f ca="1">IF(NOTA[[#This Row],[NAMA BARANG]]="","",INDEX(NOTA[SUPPLIER],MATCH(,INDIRECT(ADDRESS(ROW(NOTA[ID]),COLUMN(NOTA[ID]))&amp;":"&amp;ADDRESS(ROW(),COLUMN(NOTA[ID]))),-1)))</f>
        <v/>
      </c>
      <c r="AM959" s="28" t="str">
        <f ca="1">IF(NOTA[[#This Row],[ID_H]]="","",IF(NOTA[[#This Row],[FAKTUR]]="",INDIRECT(ADDRESS(ROW()-1,COLUMN())),NOTA[[#This Row],[FAKTUR]]))</f>
        <v/>
      </c>
      <c r="AN959" s="25" t="str">
        <f ca="1">IF(NOTA[[#This Row],[ID]]="","",COUNTIF(NOTA[ID_H],NOTA[[#This Row],[ID_H]]))</f>
        <v/>
      </c>
      <c r="AO959" s="25" t="str">
        <f ca="1">IF(NOTA[[#This Row],[TGL.NOTA]]="",IF(NOTA[[#This Row],[SUPPLIER_H]]="","",AO958),MONTH(NOTA[[#This Row],[TGL.NOTA]]))</f>
        <v/>
      </c>
      <c r="AP9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9" s="25"/>
      <c r="AU959" s="25" t="str">
        <f>IF(NOTA[[#This Row],[CONCAT1]]="","",MATCH(NOTA[[#This Row],[CONCAT1]],[3]!db[NB NOTA_C],0))</f>
        <v/>
      </c>
      <c r="AV959" s="25" t="str">
        <f>IF(NOTA[[#This Row],[QTY/ CTN]]="","",TRUE)</f>
        <v/>
      </c>
      <c r="AW959" s="25" t="str">
        <f ca="1">IF(NOTA[[#This Row],[ID_H]]="","",IF(NOTA[[#This Row],[Column3]]=TRUE,NOTA[[#This Row],[QTY/ CTN]],INDEX([3]!db[QTY/ CTN],NOTA[[#This Row],[//DB]])))</f>
        <v/>
      </c>
      <c r="AX9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9" s="25" t="str">
        <f ca="1">IF(NOTA[[#This Row],[ID_H]]="","",MATCH(NOTA[[#This Row],[NB NOTA_C_QTY]],[3]!db[NB NOTA_C_QTY+F],0))</f>
        <v/>
      </c>
      <c r="AZ959" s="38" t="str">
        <f ca="1">IF(NOTA[[#This Row],[NB NOTA_C_QTY]]="","",ROW()-2)</f>
        <v/>
      </c>
    </row>
    <row r="960" spans="1:52" ht="20.100000000000001" customHeight="1">
      <c r="A9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0" s="25" t="str">
        <f ca="1">IF(NOTA[[#This Row],[NAMA BARANG]]="","",INDEX(NOTA[ID],MATCH(,INDIRECT(ADDRESS(ROW(NOTA[ID]),COLUMN(NOTA[ID]))&amp;":"&amp;ADDRESS(ROW(),COLUMN(NOTA[ID]))),-1)))</f>
        <v/>
      </c>
      <c r="E960" s="33"/>
      <c r="H960" s="34"/>
      <c r="Q960" s="29"/>
      <c r="R960" s="35"/>
      <c r="S960" s="36"/>
      <c r="V960" s="37"/>
      <c r="W960" s="32"/>
      <c r="X960" s="37" t="str">
        <f>IF(NOTA[[#This Row],[HARGA/ CTN]]="",NOTA[[#This Row],[JUMLAH_H]],NOTA[[#This Row],[HARGA/ CTN]]*IF(NOTA[[#This Row],[C]]="",0,NOTA[[#This Row],[C]]))</f>
        <v/>
      </c>
      <c r="Y960" s="37" t="str">
        <f>IF(NOTA[[#This Row],[JUMLAH]]="","",NOTA[[#This Row],[JUMLAH]]*NOTA[[#This Row],[DISC 1]])</f>
        <v/>
      </c>
      <c r="Z960" s="37" t="str">
        <f>IF(NOTA[[#This Row],[JUMLAH]]="","",(NOTA[[#This Row],[JUMLAH]]-NOTA[[#This Row],[DISC 1-]])*NOTA[[#This Row],[DISC 2]])</f>
        <v/>
      </c>
      <c r="AA960" s="37" t="str">
        <f>IF(NOTA[[#This Row],[JUMLAH]]="","",(NOTA[[#This Row],[JUMLAH]]-NOTA[[#This Row],[DISC 1-]]-NOTA[[#This Row],[DISC 2-]])*NOTA[[#This Row],[DISC 3]])</f>
        <v/>
      </c>
      <c r="AB960" s="37" t="str">
        <f>IF(NOTA[[#This Row],[JUMLAH]]="","",NOTA[[#This Row],[DISC 1-]]+NOTA[[#This Row],[DISC 2-]]+NOTA[[#This Row],[DISC 3-]])</f>
        <v/>
      </c>
      <c r="AC960" s="37" t="str">
        <f>IF(NOTA[[#This Row],[JUMLAH]]="","",NOTA[[#This Row],[JUMLAH]]-NOTA[[#This Row],[DISC]])</f>
        <v/>
      </c>
      <c r="AD960" s="37"/>
      <c r="AE9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0" s="37" t="str">
        <f>IF(OR(NOTA[[#This Row],[QTY]]="",NOTA[[#This Row],[HARGA SATUAN]]="",),"",NOTA[[#This Row],[QTY]]*NOTA[[#This Row],[HARGA SATUAN]])</f>
        <v/>
      </c>
      <c r="AI960" s="26" t="str">
        <f ca="1">IF(NOTA[[#This Row],[ID_H]]="","",INDEX(NOTA[TANGGAL],MATCH(,INDIRECT(ADDRESS(ROW(NOTA[TANGGAL]),COLUMN(NOTA[TANGGAL]))&amp;":"&amp;ADDRESS(ROW(),COLUMN(NOTA[TANGGAL]))),-1)))</f>
        <v/>
      </c>
      <c r="AJ960" s="26" t="str">
        <f ca="1">IF(NOTA[[#This Row],[ID_H]]="","",INDEX(NOTA[TGL.NOTA],MATCH(,INDIRECT(ADDRESS(ROW(NOTA[TGL.NOTA]),COLUMN(NOTA[TGL.NOTA]))&amp;":"&amp;ADDRESS(ROW(),COLUMN(NOTA[TGL.NOTA]))),-1)))</f>
        <v/>
      </c>
      <c r="AK960" s="26" t="str">
        <f ca="1">IF(NOTA[[#This Row],[ID_H]]="","",INDEX(NOTA[NO.NOTA],MATCH(NOTA[[#This Row],[ID_H]],NOTA[ID_H],0)))</f>
        <v/>
      </c>
      <c r="AL960" s="28" t="str">
        <f ca="1">IF(NOTA[[#This Row],[NAMA BARANG]]="","",INDEX(NOTA[SUPPLIER],MATCH(,INDIRECT(ADDRESS(ROW(NOTA[ID]),COLUMN(NOTA[ID]))&amp;":"&amp;ADDRESS(ROW(),COLUMN(NOTA[ID]))),-1)))</f>
        <v/>
      </c>
      <c r="AM960" s="28" t="str">
        <f ca="1">IF(NOTA[[#This Row],[ID_H]]="","",IF(NOTA[[#This Row],[FAKTUR]]="",INDIRECT(ADDRESS(ROW()-1,COLUMN())),NOTA[[#This Row],[FAKTUR]]))</f>
        <v/>
      </c>
      <c r="AN960" s="25" t="str">
        <f ca="1">IF(NOTA[[#This Row],[ID]]="","",COUNTIF(NOTA[ID_H],NOTA[[#This Row],[ID_H]]))</f>
        <v/>
      </c>
      <c r="AO960" s="25" t="str">
        <f ca="1">IF(NOTA[[#This Row],[TGL.NOTA]]="",IF(NOTA[[#This Row],[SUPPLIER_H]]="","",AO959),MONTH(NOTA[[#This Row],[TGL.NOTA]]))</f>
        <v/>
      </c>
      <c r="AP9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0" s="25"/>
      <c r="AU960" s="25" t="str">
        <f>IF(NOTA[[#This Row],[CONCAT1]]="","",MATCH(NOTA[[#This Row],[CONCAT1]],[3]!db[NB NOTA_C],0))</f>
        <v/>
      </c>
      <c r="AV960" s="25" t="str">
        <f>IF(NOTA[[#This Row],[QTY/ CTN]]="","",TRUE)</f>
        <v/>
      </c>
      <c r="AW960" s="25" t="str">
        <f ca="1">IF(NOTA[[#This Row],[ID_H]]="","",IF(NOTA[[#This Row],[Column3]]=TRUE,NOTA[[#This Row],[QTY/ CTN]],INDEX([3]!db[QTY/ CTN],NOTA[[#This Row],[//DB]])))</f>
        <v/>
      </c>
      <c r="AX9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0" s="25" t="str">
        <f ca="1">IF(NOTA[[#This Row],[ID_H]]="","",MATCH(NOTA[[#This Row],[NB NOTA_C_QTY]],[3]!db[NB NOTA_C_QTY+F],0))</f>
        <v/>
      </c>
      <c r="AZ960" s="38" t="str">
        <f ca="1">IF(NOTA[[#This Row],[NB NOTA_C_QTY]]="","",ROW()-2)</f>
        <v/>
      </c>
    </row>
    <row r="961" spans="1:52" ht="20.100000000000001" customHeight="1">
      <c r="A9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1" s="25" t="str">
        <f ca="1">IF(NOTA[[#This Row],[NAMA BARANG]]="","",INDEX(NOTA[ID],MATCH(,INDIRECT(ADDRESS(ROW(NOTA[ID]),COLUMN(NOTA[ID]))&amp;":"&amp;ADDRESS(ROW(),COLUMN(NOTA[ID]))),-1)))</f>
        <v/>
      </c>
      <c r="E961" s="33"/>
      <c r="H961" s="34"/>
      <c r="Q961" s="29"/>
      <c r="R961" s="35"/>
      <c r="S961" s="36"/>
      <c r="V961" s="37"/>
      <c r="W961" s="32"/>
      <c r="X961" s="37" t="str">
        <f>IF(NOTA[[#This Row],[HARGA/ CTN]]="",NOTA[[#This Row],[JUMLAH_H]],NOTA[[#This Row],[HARGA/ CTN]]*IF(NOTA[[#This Row],[C]]="",0,NOTA[[#This Row],[C]]))</f>
        <v/>
      </c>
      <c r="Y961" s="37" t="str">
        <f>IF(NOTA[[#This Row],[JUMLAH]]="","",NOTA[[#This Row],[JUMLAH]]*NOTA[[#This Row],[DISC 1]])</f>
        <v/>
      </c>
      <c r="Z961" s="37" t="str">
        <f>IF(NOTA[[#This Row],[JUMLAH]]="","",(NOTA[[#This Row],[JUMLAH]]-NOTA[[#This Row],[DISC 1-]])*NOTA[[#This Row],[DISC 2]])</f>
        <v/>
      </c>
      <c r="AA961" s="37" t="str">
        <f>IF(NOTA[[#This Row],[JUMLAH]]="","",(NOTA[[#This Row],[JUMLAH]]-NOTA[[#This Row],[DISC 1-]]-NOTA[[#This Row],[DISC 2-]])*NOTA[[#This Row],[DISC 3]])</f>
        <v/>
      </c>
      <c r="AB961" s="37" t="str">
        <f>IF(NOTA[[#This Row],[JUMLAH]]="","",NOTA[[#This Row],[DISC 1-]]+NOTA[[#This Row],[DISC 2-]]+NOTA[[#This Row],[DISC 3-]])</f>
        <v/>
      </c>
      <c r="AC961" s="37" t="str">
        <f>IF(NOTA[[#This Row],[JUMLAH]]="","",NOTA[[#This Row],[JUMLAH]]-NOTA[[#This Row],[DISC]])</f>
        <v/>
      </c>
      <c r="AD961" s="37"/>
      <c r="AE9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1" s="37" t="str">
        <f>IF(OR(NOTA[[#This Row],[QTY]]="",NOTA[[#This Row],[HARGA SATUAN]]="",),"",NOTA[[#This Row],[QTY]]*NOTA[[#This Row],[HARGA SATUAN]])</f>
        <v/>
      </c>
      <c r="AI961" s="26" t="str">
        <f ca="1">IF(NOTA[[#This Row],[ID_H]]="","",INDEX(NOTA[TANGGAL],MATCH(,INDIRECT(ADDRESS(ROW(NOTA[TANGGAL]),COLUMN(NOTA[TANGGAL]))&amp;":"&amp;ADDRESS(ROW(),COLUMN(NOTA[TANGGAL]))),-1)))</f>
        <v/>
      </c>
      <c r="AJ961" s="26" t="str">
        <f ca="1">IF(NOTA[[#This Row],[ID_H]]="","",INDEX(NOTA[TGL.NOTA],MATCH(,INDIRECT(ADDRESS(ROW(NOTA[TGL.NOTA]),COLUMN(NOTA[TGL.NOTA]))&amp;":"&amp;ADDRESS(ROW(),COLUMN(NOTA[TGL.NOTA]))),-1)))</f>
        <v/>
      </c>
      <c r="AK961" s="26" t="str">
        <f ca="1">IF(NOTA[[#This Row],[ID_H]]="","",INDEX(NOTA[NO.NOTA],MATCH(NOTA[[#This Row],[ID_H]],NOTA[ID_H],0)))</f>
        <v/>
      </c>
      <c r="AL961" s="28" t="str">
        <f ca="1">IF(NOTA[[#This Row],[NAMA BARANG]]="","",INDEX(NOTA[SUPPLIER],MATCH(,INDIRECT(ADDRESS(ROW(NOTA[ID]),COLUMN(NOTA[ID]))&amp;":"&amp;ADDRESS(ROW(),COLUMN(NOTA[ID]))),-1)))</f>
        <v/>
      </c>
      <c r="AM961" s="28" t="str">
        <f ca="1">IF(NOTA[[#This Row],[ID_H]]="","",IF(NOTA[[#This Row],[FAKTUR]]="",INDIRECT(ADDRESS(ROW()-1,COLUMN())),NOTA[[#This Row],[FAKTUR]]))</f>
        <v/>
      </c>
      <c r="AN961" s="25" t="str">
        <f ca="1">IF(NOTA[[#This Row],[ID]]="","",COUNTIF(NOTA[ID_H],NOTA[[#This Row],[ID_H]]))</f>
        <v/>
      </c>
      <c r="AO961" s="25" t="str">
        <f ca="1">IF(NOTA[[#This Row],[TGL.NOTA]]="",IF(NOTA[[#This Row],[SUPPLIER_H]]="","",AO960),MONTH(NOTA[[#This Row],[TGL.NOTA]]))</f>
        <v/>
      </c>
      <c r="AP9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1" s="25"/>
      <c r="AU961" s="25" t="str">
        <f>IF(NOTA[[#This Row],[CONCAT1]]="","",MATCH(NOTA[[#This Row],[CONCAT1]],[3]!db[NB NOTA_C],0))</f>
        <v/>
      </c>
      <c r="AV961" s="25" t="str">
        <f>IF(NOTA[[#This Row],[QTY/ CTN]]="","",TRUE)</f>
        <v/>
      </c>
      <c r="AW961" s="25" t="str">
        <f ca="1">IF(NOTA[[#This Row],[ID_H]]="","",IF(NOTA[[#This Row],[Column3]]=TRUE,NOTA[[#This Row],[QTY/ CTN]],INDEX([3]!db[QTY/ CTN],NOTA[[#This Row],[//DB]])))</f>
        <v/>
      </c>
      <c r="AX9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1" s="25" t="str">
        <f ca="1">IF(NOTA[[#This Row],[ID_H]]="","",MATCH(NOTA[[#This Row],[NB NOTA_C_QTY]],[3]!db[NB NOTA_C_QTY+F],0))</f>
        <v/>
      </c>
      <c r="AZ961" s="38" t="str">
        <f ca="1">IF(NOTA[[#This Row],[NB NOTA_C_QTY]]="","",ROW()-2)</f>
        <v/>
      </c>
    </row>
    <row r="962" spans="1:52" ht="20.100000000000001" customHeight="1">
      <c r="A9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2" s="25" t="str">
        <f ca="1">IF(NOTA[[#This Row],[NAMA BARANG]]="","",INDEX(NOTA[ID],MATCH(,INDIRECT(ADDRESS(ROW(NOTA[ID]),COLUMN(NOTA[ID]))&amp;":"&amp;ADDRESS(ROW(),COLUMN(NOTA[ID]))),-1)))</f>
        <v/>
      </c>
      <c r="E962" s="33"/>
      <c r="H962" s="34"/>
      <c r="Q962" s="29"/>
      <c r="R962" s="35"/>
      <c r="S962" s="36"/>
      <c r="V962" s="37"/>
      <c r="W962" s="32"/>
      <c r="X962" s="37" t="str">
        <f>IF(NOTA[[#This Row],[HARGA/ CTN]]="",NOTA[[#This Row],[JUMLAH_H]],NOTA[[#This Row],[HARGA/ CTN]]*IF(NOTA[[#This Row],[C]]="",0,NOTA[[#This Row],[C]]))</f>
        <v/>
      </c>
      <c r="Y962" s="37" t="str">
        <f>IF(NOTA[[#This Row],[JUMLAH]]="","",NOTA[[#This Row],[JUMLAH]]*NOTA[[#This Row],[DISC 1]])</f>
        <v/>
      </c>
      <c r="Z962" s="37" t="str">
        <f>IF(NOTA[[#This Row],[JUMLAH]]="","",(NOTA[[#This Row],[JUMLAH]]-NOTA[[#This Row],[DISC 1-]])*NOTA[[#This Row],[DISC 2]])</f>
        <v/>
      </c>
      <c r="AA962" s="37" t="str">
        <f>IF(NOTA[[#This Row],[JUMLAH]]="","",(NOTA[[#This Row],[JUMLAH]]-NOTA[[#This Row],[DISC 1-]]-NOTA[[#This Row],[DISC 2-]])*NOTA[[#This Row],[DISC 3]])</f>
        <v/>
      </c>
      <c r="AB962" s="37" t="str">
        <f>IF(NOTA[[#This Row],[JUMLAH]]="","",NOTA[[#This Row],[DISC 1-]]+NOTA[[#This Row],[DISC 2-]]+NOTA[[#This Row],[DISC 3-]])</f>
        <v/>
      </c>
      <c r="AC962" s="37" t="str">
        <f>IF(NOTA[[#This Row],[JUMLAH]]="","",NOTA[[#This Row],[JUMLAH]]-NOTA[[#This Row],[DISC]])</f>
        <v/>
      </c>
      <c r="AD962" s="37"/>
      <c r="AE9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2" s="37" t="str">
        <f>IF(OR(NOTA[[#This Row],[QTY]]="",NOTA[[#This Row],[HARGA SATUAN]]="",),"",NOTA[[#This Row],[QTY]]*NOTA[[#This Row],[HARGA SATUAN]])</f>
        <v/>
      </c>
      <c r="AI962" s="26" t="str">
        <f ca="1">IF(NOTA[[#This Row],[ID_H]]="","",INDEX(NOTA[TANGGAL],MATCH(,INDIRECT(ADDRESS(ROW(NOTA[TANGGAL]),COLUMN(NOTA[TANGGAL]))&amp;":"&amp;ADDRESS(ROW(),COLUMN(NOTA[TANGGAL]))),-1)))</f>
        <v/>
      </c>
      <c r="AJ962" s="26" t="str">
        <f ca="1">IF(NOTA[[#This Row],[ID_H]]="","",INDEX(NOTA[TGL.NOTA],MATCH(,INDIRECT(ADDRESS(ROW(NOTA[TGL.NOTA]),COLUMN(NOTA[TGL.NOTA]))&amp;":"&amp;ADDRESS(ROW(),COLUMN(NOTA[TGL.NOTA]))),-1)))</f>
        <v/>
      </c>
      <c r="AK962" s="26" t="str">
        <f ca="1">IF(NOTA[[#This Row],[ID_H]]="","",INDEX(NOTA[NO.NOTA],MATCH(NOTA[[#This Row],[ID_H]],NOTA[ID_H],0)))</f>
        <v/>
      </c>
      <c r="AL962" s="28" t="str">
        <f ca="1">IF(NOTA[[#This Row],[NAMA BARANG]]="","",INDEX(NOTA[SUPPLIER],MATCH(,INDIRECT(ADDRESS(ROW(NOTA[ID]),COLUMN(NOTA[ID]))&amp;":"&amp;ADDRESS(ROW(),COLUMN(NOTA[ID]))),-1)))</f>
        <v/>
      </c>
      <c r="AM962" s="28" t="str">
        <f ca="1">IF(NOTA[[#This Row],[ID_H]]="","",IF(NOTA[[#This Row],[FAKTUR]]="",INDIRECT(ADDRESS(ROW()-1,COLUMN())),NOTA[[#This Row],[FAKTUR]]))</f>
        <v/>
      </c>
      <c r="AN962" s="25" t="str">
        <f ca="1">IF(NOTA[[#This Row],[ID]]="","",COUNTIF(NOTA[ID_H],NOTA[[#This Row],[ID_H]]))</f>
        <v/>
      </c>
      <c r="AO962" s="25" t="str">
        <f ca="1">IF(NOTA[[#This Row],[TGL.NOTA]]="",IF(NOTA[[#This Row],[SUPPLIER_H]]="","",AO961),MONTH(NOTA[[#This Row],[TGL.NOTA]]))</f>
        <v/>
      </c>
      <c r="AP9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2" s="25"/>
      <c r="AU962" s="25" t="str">
        <f>IF(NOTA[[#This Row],[CONCAT1]]="","",MATCH(NOTA[[#This Row],[CONCAT1]],[3]!db[NB NOTA_C],0))</f>
        <v/>
      </c>
      <c r="AV962" s="25" t="str">
        <f>IF(NOTA[[#This Row],[QTY/ CTN]]="","",TRUE)</f>
        <v/>
      </c>
      <c r="AW962" s="25" t="str">
        <f ca="1">IF(NOTA[[#This Row],[ID_H]]="","",IF(NOTA[[#This Row],[Column3]]=TRUE,NOTA[[#This Row],[QTY/ CTN]],INDEX([3]!db[QTY/ CTN],NOTA[[#This Row],[//DB]])))</f>
        <v/>
      </c>
      <c r="AX9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2" s="25" t="str">
        <f ca="1">IF(NOTA[[#This Row],[ID_H]]="","",MATCH(NOTA[[#This Row],[NB NOTA_C_QTY]],[3]!db[NB NOTA_C_QTY+F],0))</f>
        <v/>
      </c>
      <c r="AZ962" s="38" t="str">
        <f ca="1">IF(NOTA[[#This Row],[NB NOTA_C_QTY]]="","",ROW()-2)</f>
        <v/>
      </c>
    </row>
    <row r="963" spans="1:52" ht="20.100000000000001" customHeight="1">
      <c r="A9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3" s="25" t="str">
        <f ca="1">IF(NOTA[[#This Row],[NAMA BARANG]]="","",INDEX(NOTA[ID],MATCH(,INDIRECT(ADDRESS(ROW(NOTA[ID]),COLUMN(NOTA[ID]))&amp;":"&amp;ADDRESS(ROW(),COLUMN(NOTA[ID]))),-1)))</f>
        <v/>
      </c>
      <c r="E963" s="33"/>
      <c r="H963" s="34"/>
      <c r="Q963" s="29"/>
      <c r="R963" s="35"/>
      <c r="S963" s="36"/>
      <c r="V963" s="37"/>
      <c r="W963" s="32"/>
      <c r="X963" s="37" t="str">
        <f>IF(NOTA[[#This Row],[HARGA/ CTN]]="",NOTA[[#This Row],[JUMLAH_H]],NOTA[[#This Row],[HARGA/ CTN]]*IF(NOTA[[#This Row],[C]]="",0,NOTA[[#This Row],[C]]))</f>
        <v/>
      </c>
      <c r="Y963" s="37" t="str">
        <f>IF(NOTA[[#This Row],[JUMLAH]]="","",NOTA[[#This Row],[JUMLAH]]*NOTA[[#This Row],[DISC 1]])</f>
        <v/>
      </c>
      <c r="Z963" s="37" t="str">
        <f>IF(NOTA[[#This Row],[JUMLAH]]="","",(NOTA[[#This Row],[JUMLAH]]-NOTA[[#This Row],[DISC 1-]])*NOTA[[#This Row],[DISC 2]])</f>
        <v/>
      </c>
      <c r="AA963" s="37" t="str">
        <f>IF(NOTA[[#This Row],[JUMLAH]]="","",(NOTA[[#This Row],[JUMLAH]]-NOTA[[#This Row],[DISC 1-]]-NOTA[[#This Row],[DISC 2-]])*NOTA[[#This Row],[DISC 3]])</f>
        <v/>
      </c>
      <c r="AB963" s="37" t="str">
        <f>IF(NOTA[[#This Row],[JUMLAH]]="","",NOTA[[#This Row],[DISC 1-]]+NOTA[[#This Row],[DISC 2-]]+NOTA[[#This Row],[DISC 3-]])</f>
        <v/>
      </c>
      <c r="AC963" s="37" t="str">
        <f>IF(NOTA[[#This Row],[JUMLAH]]="","",NOTA[[#This Row],[JUMLAH]]-NOTA[[#This Row],[DISC]])</f>
        <v/>
      </c>
      <c r="AD963" s="37"/>
      <c r="AE9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3" s="37" t="str">
        <f>IF(OR(NOTA[[#This Row],[QTY]]="",NOTA[[#This Row],[HARGA SATUAN]]="",),"",NOTA[[#This Row],[QTY]]*NOTA[[#This Row],[HARGA SATUAN]])</f>
        <v/>
      </c>
      <c r="AI963" s="26" t="str">
        <f ca="1">IF(NOTA[[#This Row],[ID_H]]="","",INDEX(NOTA[TANGGAL],MATCH(,INDIRECT(ADDRESS(ROW(NOTA[TANGGAL]),COLUMN(NOTA[TANGGAL]))&amp;":"&amp;ADDRESS(ROW(),COLUMN(NOTA[TANGGAL]))),-1)))</f>
        <v/>
      </c>
      <c r="AJ963" s="26" t="str">
        <f ca="1">IF(NOTA[[#This Row],[ID_H]]="","",INDEX(NOTA[TGL.NOTA],MATCH(,INDIRECT(ADDRESS(ROW(NOTA[TGL.NOTA]),COLUMN(NOTA[TGL.NOTA]))&amp;":"&amp;ADDRESS(ROW(),COLUMN(NOTA[TGL.NOTA]))),-1)))</f>
        <v/>
      </c>
      <c r="AK963" s="26" t="str">
        <f ca="1">IF(NOTA[[#This Row],[ID_H]]="","",INDEX(NOTA[NO.NOTA],MATCH(NOTA[[#This Row],[ID_H]],NOTA[ID_H],0)))</f>
        <v/>
      </c>
      <c r="AL963" s="28" t="str">
        <f ca="1">IF(NOTA[[#This Row],[NAMA BARANG]]="","",INDEX(NOTA[SUPPLIER],MATCH(,INDIRECT(ADDRESS(ROW(NOTA[ID]),COLUMN(NOTA[ID]))&amp;":"&amp;ADDRESS(ROW(),COLUMN(NOTA[ID]))),-1)))</f>
        <v/>
      </c>
      <c r="AM963" s="28" t="str">
        <f ca="1">IF(NOTA[[#This Row],[ID_H]]="","",IF(NOTA[[#This Row],[FAKTUR]]="",INDIRECT(ADDRESS(ROW()-1,COLUMN())),NOTA[[#This Row],[FAKTUR]]))</f>
        <v/>
      </c>
      <c r="AN963" s="25" t="str">
        <f ca="1">IF(NOTA[[#This Row],[ID]]="","",COUNTIF(NOTA[ID_H],NOTA[[#This Row],[ID_H]]))</f>
        <v/>
      </c>
      <c r="AO963" s="25" t="str">
        <f ca="1">IF(NOTA[[#This Row],[TGL.NOTA]]="",IF(NOTA[[#This Row],[SUPPLIER_H]]="","",AO962),MONTH(NOTA[[#This Row],[TGL.NOTA]]))</f>
        <v/>
      </c>
      <c r="AP9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3" s="25"/>
      <c r="AU963" s="25" t="str">
        <f>IF(NOTA[[#This Row],[CONCAT1]]="","",MATCH(NOTA[[#This Row],[CONCAT1]],[3]!db[NB NOTA_C],0))</f>
        <v/>
      </c>
      <c r="AV963" s="25" t="str">
        <f>IF(NOTA[[#This Row],[QTY/ CTN]]="","",TRUE)</f>
        <v/>
      </c>
      <c r="AW963" s="25" t="str">
        <f ca="1">IF(NOTA[[#This Row],[ID_H]]="","",IF(NOTA[[#This Row],[Column3]]=TRUE,NOTA[[#This Row],[QTY/ CTN]],INDEX([3]!db[QTY/ CTN],NOTA[[#This Row],[//DB]])))</f>
        <v/>
      </c>
      <c r="AX9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3" s="25" t="str">
        <f ca="1">IF(NOTA[[#This Row],[ID_H]]="","",MATCH(NOTA[[#This Row],[NB NOTA_C_QTY]],[3]!db[NB NOTA_C_QTY+F],0))</f>
        <v/>
      </c>
      <c r="AZ963" s="38" t="str">
        <f ca="1">IF(NOTA[[#This Row],[NB NOTA_C_QTY]]="","",ROW()-2)</f>
        <v/>
      </c>
    </row>
    <row r="964" spans="1:52" ht="20.100000000000001" customHeight="1">
      <c r="A9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4" s="25" t="str">
        <f ca="1">IF(NOTA[[#This Row],[NAMA BARANG]]="","",INDEX(NOTA[ID],MATCH(,INDIRECT(ADDRESS(ROW(NOTA[ID]),COLUMN(NOTA[ID]))&amp;":"&amp;ADDRESS(ROW(),COLUMN(NOTA[ID]))),-1)))</f>
        <v/>
      </c>
      <c r="E964" s="33"/>
      <c r="H964" s="34"/>
      <c r="Q964" s="29"/>
      <c r="R964" s="35"/>
      <c r="S964" s="36"/>
      <c r="V964" s="37"/>
      <c r="W964" s="32"/>
      <c r="X964" s="37" t="str">
        <f>IF(NOTA[[#This Row],[HARGA/ CTN]]="",NOTA[[#This Row],[JUMLAH_H]],NOTA[[#This Row],[HARGA/ CTN]]*IF(NOTA[[#This Row],[C]]="",0,NOTA[[#This Row],[C]]))</f>
        <v/>
      </c>
      <c r="Y964" s="37" t="str">
        <f>IF(NOTA[[#This Row],[JUMLAH]]="","",NOTA[[#This Row],[JUMLAH]]*NOTA[[#This Row],[DISC 1]])</f>
        <v/>
      </c>
      <c r="Z964" s="37" t="str">
        <f>IF(NOTA[[#This Row],[JUMLAH]]="","",(NOTA[[#This Row],[JUMLAH]]-NOTA[[#This Row],[DISC 1-]])*NOTA[[#This Row],[DISC 2]])</f>
        <v/>
      </c>
      <c r="AA964" s="37" t="str">
        <f>IF(NOTA[[#This Row],[JUMLAH]]="","",(NOTA[[#This Row],[JUMLAH]]-NOTA[[#This Row],[DISC 1-]]-NOTA[[#This Row],[DISC 2-]])*NOTA[[#This Row],[DISC 3]])</f>
        <v/>
      </c>
      <c r="AB964" s="37" t="str">
        <f>IF(NOTA[[#This Row],[JUMLAH]]="","",NOTA[[#This Row],[DISC 1-]]+NOTA[[#This Row],[DISC 2-]]+NOTA[[#This Row],[DISC 3-]])</f>
        <v/>
      </c>
      <c r="AC964" s="37" t="str">
        <f>IF(NOTA[[#This Row],[JUMLAH]]="","",NOTA[[#This Row],[JUMLAH]]-NOTA[[#This Row],[DISC]])</f>
        <v/>
      </c>
      <c r="AD964" s="37"/>
      <c r="AE9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4" s="37" t="str">
        <f>IF(OR(NOTA[[#This Row],[QTY]]="",NOTA[[#This Row],[HARGA SATUAN]]="",),"",NOTA[[#This Row],[QTY]]*NOTA[[#This Row],[HARGA SATUAN]])</f>
        <v/>
      </c>
      <c r="AI964" s="26" t="str">
        <f ca="1">IF(NOTA[[#This Row],[ID_H]]="","",INDEX(NOTA[TANGGAL],MATCH(,INDIRECT(ADDRESS(ROW(NOTA[TANGGAL]),COLUMN(NOTA[TANGGAL]))&amp;":"&amp;ADDRESS(ROW(),COLUMN(NOTA[TANGGAL]))),-1)))</f>
        <v/>
      </c>
      <c r="AJ964" s="26" t="str">
        <f ca="1">IF(NOTA[[#This Row],[ID_H]]="","",INDEX(NOTA[TGL.NOTA],MATCH(,INDIRECT(ADDRESS(ROW(NOTA[TGL.NOTA]),COLUMN(NOTA[TGL.NOTA]))&amp;":"&amp;ADDRESS(ROW(),COLUMN(NOTA[TGL.NOTA]))),-1)))</f>
        <v/>
      </c>
      <c r="AK964" s="26" t="str">
        <f ca="1">IF(NOTA[[#This Row],[ID_H]]="","",INDEX(NOTA[NO.NOTA],MATCH(NOTA[[#This Row],[ID_H]],NOTA[ID_H],0)))</f>
        <v/>
      </c>
      <c r="AL964" s="28" t="str">
        <f ca="1">IF(NOTA[[#This Row],[NAMA BARANG]]="","",INDEX(NOTA[SUPPLIER],MATCH(,INDIRECT(ADDRESS(ROW(NOTA[ID]),COLUMN(NOTA[ID]))&amp;":"&amp;ADDRESS(ROW(),COLUMN(NOTA[ID]))),-1)))</f>
        <v/>
      </c>
      <c r="AM964" s="28" t="str">
        <f ca="1">IF(NOTA[[#This Row],[ID_H]]="","",IF(NOTA[[#This Row],[FAKTUR]]="",INDIRECT(ADDRESS(ROW()-1,COLUMN())),NOTA[[#This Row],[FAKTUR]]))</f>
        <v/>
      </c>
      <c r="AN964" s="25" t="str">
        <f ca="1">IF(NOTA[[#This Row],[ID]]="","",COUNTIF(NOTA[ID_H],NOTA[[#This Row],[ID_H]]))</f>
        <v/>
      </c>
      <c r="AO964" s="25" t="str">
        <f ca="1">IF(NOTA[[#This Row],[TGL.NOTA]]="",IF(NOTA[[#This Row],[SUPPLIER_H]]="","",AO963),MONTH(NOTA[[#This Row],[TGL.NOTA]]))</f>
        <v/>
      </c>
      <c r="AP9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4" s="25"/>
      <c r="AU964" s="25" t="str">
        <f>IF(NOTA[[#This Row],[CONCAT1]]="","",MATCH(NOTA[[#This Row],[CONCAT1]],[3]!db[NB NOTA_C],0))</f>
        <v/>
      </c>
      <c r="AV964" s="25" t="str">
        <f>IF(NOTA[[#This Row],[QTY/ CTN]]="","",TRUE)</f>
        <v/>
      </c>
      <c r="AW964" s="25" t="str">
        <f ca="1">IF(NOTA[[#This Row],[ID_H]]="","",IF(NOTA[[#This Row],[Column3]]=TRUE,NOTA[[#This Row],[QTY/ CTN]],INDEX([3]!db[QTY/ CTN],NOTA[[#This Row],[//DB]])))</f>
        <v/>
      </c>
      <c r="AX9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4" s="25" t="str">
        <f ca="1">IF(NOTA[[#This Row],[ID_H]]="","",MATCH(NOTA[[#This Row],[NB NOTA_C_QTY]],[3]!db[NB NOTA_C_QTY+F],0))</f>
        <v/>
      </c>
      <c r="AZ964" s="38" t="str">
        <f ca="1">IF(NOTA[[#This Row],[NB NOTA_C_QTY]]="","",ROW()-2)</f>
        <v/>
      </c>
    </row>
    <row r="965" spans="1:52" ht="20.100000000000001" customHeight="1">
      <c r="A9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5" s="25" t="str">
        <f ca="1">IF(NOTA[[#This Row],[NAMA BARANG]]="","",INDEX(NOTA[ID],MATCH(,INDIRECT(ADDRESS(ROW(NOTA[ID]),COLUMN(NOTA[ID]))&amp;":"&amp;ADDRESS(ROW(),COLUMN(NOTA[ID]))),-1)))</f>
        <v/>
      </c>
      <c r="E965" s="33"/>
      <c r="H965" s="34"/>
      <c r="Q965" s="29"/>
      <c r="R965" s="35"/>
      <c r="S965" s="36"/>
      <c r="V965" s="37"/>
      <c r="W965" s="32"/>
      <c r="X965" s="37" t="str">
        <f>IF(NOTA[[#This Row],[HARGA/ CTN]]="",NOTA[[#This Row],[JUMLAH_H]],NOTA[[#This Row],[HARGA/ CTN]]*IF(NOTA[[#This Row],[C]]="",0,NOTA[[#This Row],[C]]))</f>
        <v/>
      </c>
      <c r="Y965" s="37" t="str">
        <f>IF(NOTA[[#This Row],[JUMLAH]]="","",NOTA[[#This Row],[JUMLAH]]*NOTA[[#This Row],[DISC 1]])</f>
        <v/>
      </c>
      <c r="Z965" s="37" t="str">
        <f>IF(NOTA[[#This Row],[JUMLAH]]="","",(NOTA[[#This Row],[JUMLAH]]-NOTA[[#This Row],[DISC 1-]])*NOTA[[#This Row],[DISC 2]])</f>
        <v/>
      </c>
      <c r="AA965" s="37" t="str">
        <f>IF(NOTA[[#This Row],[JUMLAH]]="","",(NOTA[[#This Row],[JUMLAH]]-NOTA[[#This Row],[DISC 1-]]-NOTA[[#This Row],[DISC 2-]])*NOTA[[#This Row],[DISC 3]])</f>
        <v/>
      </c>
      <c r="AB965" s="37" t="str">
        <f>IF(NOTA[[#This Row],[JUMLAH]]="","",NOTA[[#This Row],[DISC 1-]]+NOTA[[#This Row],[DISC 2-]]+NOTA[[#This Row],[DISC 3-]])</f>
        <v/>
      </c>
      <c r="AC965" s="37" t="str">
        <f>IF(NOTA[[#This Row],[JUMLAH]]="","",NOTA[[#This Row],[JUMLAH]]-NOTA[[#This Row],[DISC]])</f>
        <v/>
      </c>
      <c r="AD965" s="37"/>
      <c r="AE9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5" s="37" t="str">
        <f>IF(OR(NOTA[[#This Row],[QTY]]="",NOTA[[#This Row],[HARGA SATUAN]]="",),"",NOTA[[#This Row],[QTY]]*NOTA[[#This Row],[HARGA SATUAN]])</f>
        <v/>
      </c>
      <c r="AI965" s="26" t="str">
        <f ca="1">IF(NOTA[[#This Row],[ID_H]]="","",INDEX(NOTA[TANGGAL],MATCH(,INDIRECT(ADDRESS(ROW(NOTA[TANGGAL]),COLUMN(NOTA[TANGGAL]))&amp;":"&amp;ADDRESS(ROW(),COLUMN(NOTA[TANGGAL]))),-1)))</f>
        <v/>
      </c>
      <c r="AJ965" s="26" t="str">
        <f ca="1">IF(NOTA[[#This Row],[ID_H]]="","",INDEX(NOTA[TGL.NOTA],MATCH(,INDIRECT(ADDRESS(ROW(NOTA[TGL.NOTA]),COLUMN(NOTA[TGL.NOTA]))&amp;":"&amp;ADDRESS(ROW(),COLUMN(NOTA[TGL.NOTA]))),-1)))</f>
        <v/>
      </c>
      <c r="AK965" s="26" t="str">
        <f ca="1">IF(NOTA[[#This Row],[ID_H]]="","",INDEX(NOTA[NO.NOTA],MATCH(NOTA[[#This Row],[ID_H]],NOTA[ID_H],0)))</f>
        <v/>
      </c>
      <c r="AL965" s="28" t="str">
        <f ca="1">IF(NOTA[[#This Row],[NAMA BARANG]]="","",INDEX(NOTA[SUPPLIER],MATCH(,INDIRECT(ADDRESS(ROW(NOTA[ID]),COLUMN(NOTA[ID]))&amp;":"&amp;ADDRESS(ROW(),COLUMN(NOTA[ID]))),-1)))</f>
        <v/>
      </c>
      <c r="AM965" s="28" t="str">
        <f ca="1">IF(NOTA[[#This Row],[ID_H]]="","",IF(NOTA[[#This Row],[FAKTUR]]="",INDIRECT(ADDRESS(ROW()-1,COLUMN())),NOTA[[#This Row],[FAKTUR]]))</f>
        <v/>
      </c>
      <c r="AN965" s="25" t="str">
        <f ca="1">IF(NOTA[[#This Row],[ID]]="","",COUNTIF(NOTA[ID_H],NOTA[[#This Row],[ID_H]]))</f>
        <v/>
      </c>
      <c r="AO965" s="25" t="str">
        <f ca="1">IF(NOTA[[#This Row],[TGL.NOTA]]="",IF(NOTA[[#This Row],[SUPPLIER_H]]="","",AO964),MONTH(NOTA[[#This Row],[TGL.NOTA]]))</f>
        <v/>
      </c>
      <c r="AP9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5" s="25"/>
      <c r="AU965" s="25" t="str">
        <f>IF(NOTA[[#This Row],[CONCAT1]]="","",MATCH(NOTA[[#This Row],[CONCAT1]],[3]!db[NB NOTA_C],0))</f>
        <v/>
      </c>
      <c r="AV965" s="25" t="str">
        <f>IF(NOTA[[#This Row],[QTY/ CTN]]="","",TRUE)</f>
        <v/>
      </c>
      <c r="AW965" s="25" t="str">
        <f ca="1">IF(NOTA[[#This Row],[ID_H]]="","",IF(NOTA[[#This Row],[Column3]]=TRUE,NOTA[[#This Row],[QTY/ CTN]],INDEX([3]!db[QTY/ CTN],NOTA[[#This Row],[//DB]])))</f>
        <v/>
      </c>
      <c r="AX9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5" s="25" t="str">
        <f ca="1">IF(NOTA[[#This Row],[ID_H]]="","",MATCH(NOTA[[#This Row],[NB NOTA_C_QTY]],[3]!db[NB NOTA_C_QTY+F],0))</f>
        <v/>
      </c>
      <c r="AZ965" s="38" t="str">
        <f ca="1">IF(NOTA[[#This Row],[NB NOTA_C_QTY]]="","",ROW()-2)</f>
        <v/>
      </c>
    </row>
    <row r="966" spans="1:52" ht="20.100000000000001" customHeight="1">
      <c r="A9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6" s="25" t="str">
        <f ca="1">IF(NOTA[[#This Row],[NAMA BARANG]]="","",INDEX(NOTA[ID],MATCH(,INDIRECT(ADDRESS(ROW(NOTA[ID]),COLUMN(NOTA[ID]))&amp;":"&amp;ADDRESS(ROW(),COLUMN(NOTA[ID]))),-1)))</f>
        <v/>
      </c>
      <c r="E966" s="33"/>
      <c r="H966" s="34"/>
      <c r="Q966" s="29"/>
      <c r="R966" s="35"/>
      <c r="S966" s="36"/>
      <c r="V966" s="37"/>
      <c r="W966" s="32"/>
      <c r="X966" s="37" t="str">
        <f>IF(NOTA[[#This Row],[HARGA/ CTN]]="",NOTA[[#This Row],[JUMLAH_H]],NOTA[[#This Row],[HARGA/ CTN]]*IF(NOTA[[#This Row],[C]]="",0,NOTA[[#This Row],[C]]))</f>
        <v/>
      </c>
      <c r="Y966" s="37" t="str">
        <f>IF(NOTA[[#This Row],[JUMLAH]]="","",NOTA[[#This Row],[JUMLAH]]*NOTA[[#This Row],[DISC 1]])</f>
        <v/>
      </c>
      <c r="Z966" s="37" t="str">
        <f>IF(NOTA[[#This Row],[JUMLAH]]="","",(NOTA[[#This Row],[JUMLAH]]-NOTA[[#This Row],[DISC 1-]])*NOTA[[#This Row],[DISC 2]])</f>
        <v/>
      </c>
      <c r="AA966" s="37" t="str">
        <f>IF(NOTA[[#This Row],[JUMLAH]]="","",(NOTA[[#This Row],[JUMLAH]]-NOTA[[#This Row],[DISC 1-]]-NOTA[[#This Row],[DISC 2-]])*NOTA[[#This Row],[DISC 3]])</f>
        <v/>
      </c>
      <c r="AB966" s="37" t="str">
        <f>IF(NOTA[[#This Row],[JUMLAH]]="","",NOTA[[#This Row],[DISC 1-]]+NOTA[[#This Row],[DISC 2-]]+NOTA[[#This Row],[DISC 3-]])</f>
        <v/>
      </c>
      <c r="AC966" s="37" t="str">
        <f>IF(NOTA[[#This Row],[JUMLAH]]="","",NOTA[[#This Row],[JUMLAH]]-NOTA[[#This Row],[DISC]])</f>
        <v/>
      </c>
      <c r="AD966" s="37"/>
      <c r="AE9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6" s="37" t="str">
        <f>IF(OR(NOTA[[#This Row],[QTY]]="",NOTA[[#This Row],[HARGA SATUAN]]="",),"",NOTA[[#This Row],[QTY]]*NOTA[[#This Row],[HARGA SATUAN]])</f>
        <v/>
      </c>
      <c r="AI966" s="26" t="str">
        <f ca="1">IF(NOTA[[#This Row],[ID_H]]="","",INDEX(NOTA[TANGGAL],MATCH(,INDIRECT(ADDRESS(ROW(NOTA[TANGGAL]),COLUMN(NOTA[TANGGAL]))&amp;":"&amp;ADDRESS(ROW(),COLUMN(NOTA[TANGGAL]))),-1)))</f>
        <v/>
      </c>
      <c r="AJ966" s="26" t="str">
        <f ca="1">IF(NOTA[[#This Row],[ID_H]]="","",INDEX(NOTA[TGL.NOTA],MATCH(,INDIRECT(ADDRESS(ROW(NOTA[TGL.NOTA]),COLUMN(NOTA[TGL.NOTA]))&amp;":"&amp;ADDRESS(ROW(),COLUMN(NOTA[TGL.NOTA]))),-1)))</f>
        <v/>
      </c>
      <c r="AK966" s="26" t="str">
        <f ca="1">IF(NOTA[[#This Row],[ID_H]]="","",INDEX(NOTA[NO.NOTA],MATCH(NOTA[[#This Row],[ID_H]],NOTA[ID_H],0)))</f>
        <v/>
      </c>
      <c r="AL966" s="28" t="str">
        <f ca="1">IF(NOTA[[#This Row],[NAMA BARANG]]="","",INDEX(NOTA[SUPPLIER],MATCH(,INDIRECT(ADDRESS(ROW(NOTA[ID]),COLUMN(NOTA[ID]))&amp;":"&amp;ADDRESS(ROW(),COLUMN(NOTA[ID]))),-1)))</f>
        <v/>
      </c>
      <c r="AM966" s="28" t="str">
        <f ca="1">IF(NOTA[[#This Row],[ID_H]]="","",IF(NOTA[[#This Row],[FAKTUR]]="",INDIRECT(ADDRESS(ROW()-1,COLUMN())),NOTA[[#This Row],[FAKTUR]]))</f>
        <v/>
      </c>
      <c r="AN966" s="25" t="str">
        <f ca="1">IF(NOTA[[#This Row],[ID]]="","",COUNTIF(NOTA[ID_H],NOTA[[#This Row],[ID_H]]))</f>
        <v/>
      </c>
      <c r="AO966" s="25" t="str">
        <f ca="1">IF(NOTA[[#This Row],[TGL.NOTA]]="",IF(NOTA[[#This Row],[SUPPLIER_H]]="","",AO965),MONTH(NOTA[[#This Row],[TGL.NOTA]]))</f>
        <v/>
      </c>
      <c r="AP9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6" s="25"/>
      <c r="AU966" s="25" t="str">
        <f>IF(NOTA[[#This Row],[CONCAT1]]="","",MATCH(NOTA[[#This Row],[CONCAT1]],[3]!db[NB NOTA_C],0))</f>
        <v/>
      </c>
      <c r="AV966" s="25" t="str">
        <f>IF(NOTA[[#This Row],[QTY/ CTN]]="","",TRUE)</f>
        <v/>
      </c>
      <c r="AW966" s="25" t="str">
        <f ca="1">IF(NOTA[[#This Row],[ID_H]]="","",IF(NOTA[[#This Row],[Column3]]=TRUE,NOTA[[#This Row],[QTY/ CTN]],INDEX([3]!db[QTY/ CTN],NOTA[[#This Row],[//DB]])))</f>
        <v/>
      </c>
      <c r="AX9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6" s="25" t="str">
        <f ca="1">IF(NOTA[[#This Row],[ID_H]]="","",MATCH(NOTA[[#This Row],[NB NOTA_C_QTY]],[3]!db[NB NOTA_C_QTY+F],0))</f>
        <v/>
      </c>
      <c r="AZ966" s="38" t="str">
        <f ca="1">IF(NOTA[[#This Row],[NB NOTA_C_QTY]]="","",ROW()-2)</f>
        <v/>
      </c>
    </row>
    <row r="967" spans="1:52" ht="20.100000000000001" customHeight="1">
      <c r="A9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7" s="25" t="str">
        <f ca="1">IF(NOTA[[#This Row],[NAMA BARANG]]="","",INDEX(NOTA[ID],MATCH(,INDIRECT(ADDRESS(ROW(NOTA[ID]),COLUMN(NOTA[ID]))&amp;":"&amp;ADDRESS(ROW(),COLUMN(NOTA[ID]))),-1)))</f>
        <v/>
      </c>
      <c r="E967" s="33"/>
      <c r="H967" s="34"/>
      <c r="Q967" s="29"/>
      <c r="R967" s="35"/>
      <c r="S967" s="36"/>
      <c r="V967" s="37"/>
      <c r="W967" s="32"/>
      <c r="X967" s="37" t="str">
        <f>IF(NOTA[[#This Row],[HARGA/ CTN]]="",NOTA[[#This Row],[JUMLAH_H]],NOTA[[#This Row],[HARGA/ CTN]]*IF(NOTA[[#This Row],[C]]="",0,NOTA[[#This Row],[C]]))</f>
        <v/>
      </c>
      <c r="Y967" s="37" t="str">
        <f>IF(NOTA[[#This Row],[JUMLAH]]="","",NOTA[[#This Row],[JUMLAH]]*NOTA[[#This Row],[DISC 1]])</f>
        <v/>
      </c>
      <c r="Z967" s="37" t="str">
        <f>IF(NOTA[[#This Row],[JUMLAH]]="","",(NOTA[[#This Row],[JUMLAH]]-NOTA[[#This Row],[DISC 1-]])*NOTA[[#This Row],[DISC 2]])</f>
        <v/>
      </c>
      <c r="AA967" s="37" t="str">
        <f>IF(NOTA[[#This Row],[JUMLAH]]="","",(NOTA[[#This Row],[JUMLAH]]-NOTA[[#This Row],[DISC 1-]]-NOTA[[#This Row],[DISC 2-]])*NOTA[[#This Row],[DISC 3]])</f>
        <v/>
      </c>
      <c r="AB967" s="37" t="str">
        <f>IF(NOTA[[#This Row],[JUMLAH]]="","",NOTA[[#This Row],[DISC 1-]]+NOTA[[#This Row],[DISC 2-]]+NOTA[[#This Row],[DISC 3-]])</f>
        <v/>
      </c>
      <c r="AC967" s="37" t="str">
        <f>IF(NOTA[[#This Row],[JUMLAH]]="","",NOTA[[#This Row],[JUMLAH]]-NOTA[[#This Row],[DISC]])</f>
        <v/>
      </c>
      <c r="AD967" s="37"/>
      <c r="AE9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7" s="37" t="str">
        <f>IF(OR(NOTA[[#This Row],[QTY]]="",NOTA[[#This Row],[HARGA SATUAN]]="",),"",NOTA[[#This Row],[QTY]]*NOTA[[#This Row],[HARGA SATUAN]])</f>
        <v/>
      </c>
      <c r="AI967" s="26" t="str">
        <f ca="1">IF(NOTA[[#This Row],[ID_H]]="","",INDEX(NOTA[TANGGAL],MATCH(,INDIRECT(ADDRESS(ROW(NOTA[TANGGAL]),COLUMN(NOTA[TANGGAL]))&amp;":"&amp;ADDRESS(ROW(),COLUMN(NOTA[TANGGAL]))),-1)))</f>
        <v/>
      </c>
      <c r="AJ967" s="26" t="str">
        <f ca="1">IF(NOTA[[#This Row],[ID_H]]="","",INDEX(NOTA[TGL.NOTA],MATCH(,INDIRECT(ADDRESS(ROW(NOTA[TGL.NOTA]),COLUMN(NOTA[TGL.NOTA]))&amp;":"&amp;ADDRESS(ROW(),COLUMN(NOTA[TGL.NOTA]))),-1)))</f>
        <v/>
      </c>
      <c r="AK967" s="26" t="str">
        <f ca="1">IF(NOTA[[#This Row],[ID_H]]="","",INDEX(NOTA[NO.NOTA],MATCH(NOTA[[#This Row],[ID_H]],NOTA[ID_H],0)))</f>
        <v/>
      </c>
      <c r="AL967" s="28" t="str">
        <f ca="1">IF(NOTA[[#This Row],[NAMA BARANG]]="","",INDEX(NOTA[SUPPLIER],MATCH(,INDIRECT(ADDRESS(ROW(NOTA[ID]),COLUMN(NOTA[ID]))&amp;":"&amp;ADDRESS(ROW(),COLUMN(NOTA[ID]))),-1)))</f>
        <v/>
      </c>
      <c r="AM967" s="28" t="str">
        <f ca="1">IF(NOTA[[#This Row],[ID_H]]="","",IF(NOTA[[#This Row],[FAKTUR]]="",INDIRECT(ADDRESS(ROW()-1,COLUMN())),NOTA[[#This Row],[FAKTUR]]))</f>
        <v/>
      </c>
      <c r="AN967" s="25" t="str">
        <f ca="1">IF(NOTA[[#This Row],[ID]]="","",COUNTIF(NOTA[ID_H],NOTA[[#This Row],[ID_H]]))</f>
        <v/>
      </c>
      <c r="AO967" s="25" t="str">
        <f ca="1">IF(NOTA[[#This Row],[TGL.NOTA]]="",IF(NOTA[[#This Row],[SUPPLIER_H]]="","",AO966),MONTH(NOTA[[#This Row],[TGL.NOTA]]))</f>
        <v/>
      </c>
      <c r="AP9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7" s="25"/>
      <c r="AU967" s="25" t="str">
        <f>IF(NOTA[[#This Row],[CONCAT1]]="","",MATCH(NOTA[[#This Row],[CONCAT1]],[3]!db[NB NOTA_C],0))</f>
        <v/>
      </c>
      <c r="AV967" s="25" t="str">
        <f>IF(NOTA[[#This Row],[QTY/ CTN]]="","",TRUE)</f>
        <v/>
      </c>
      <c r="AW967" s="25" t="str">
        <f ca="1">IF(NOTA[[#This Row],[ID_H]]="","",IF(NOTA[[#This Row],[Column3]]=TRUE,NOTA[[#This Row],[QTY/ CTN]],INDEX([3]!db[QTY/ CTN],NOTA[[#This Row],[//DB]])))</f>
        <v/>
      </c>
      <c r="AX9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7" s="25" t="str">
        <f ca="1">IF(NOTA[[#This Row],[ID_H]]="","",MATCH(NOTA[[#This Row],[NB NOTA_C_QTY]],[3]!db[NB NOTA_C_QTY+F],0))</f>
        <v/>
      </c>
      <c r="AZ967" s="38" t="str">
        <f ca="1">IF(NOTA[[#This Row],[NB NOTA_C_QTY]]="","",ROW()-2)</f>
        <v/>
      </c>
    </row>
    <row r="968" spans="1:52" ht="20.100000000000001" customHeight="1">
      <c r="A9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8" s="25" t="str">
        <f ca="1">IF(NOTA[[#This Row],[NAMA BARANG]]="","",INDEX(NOTA[ID],MATCH(,INDIRECT(ADDRESS(ROW(NOTA[ID]),COLUMN(NOTA[ID]))&amp;":"&amp;ADDRESS(ROW(),COLUMN(NOTA[ID]))),-1)))</f>
        <v/>
      </c>
      <c r="E968" s="33"/>
      <c r="H968" s="34"/>
      <c r="Q968" s="29"/>
      <c r="R968" s="35"/>
      <c r="S968" s="36"/>
      <c r="V968" s="37"/>
      <c r="W968" s="32"/>
      <c r="X968" s="37" t="str">
        <f>IF(NOTA[[#This Row],[HARGA/ CTN]]="",NOTA[[#This Row],[JUMLAH_H]],NOTA[[#This Row],[HARGA/ CTN]]*IF(NOTA[[#This Row],[C]]="",0,NOTA[[#This Row],[C]]))</f>
        <v/>
      </c>
      <c r="Y968" s="37" t="str">
        <f>IF(NOTA[[#This Row],[JUMLAH]]="","",NOTA[[#This Row],[JUMLAH]]*NOTA[[#This Row],[DISC 1]])</f>
        <v/>
      </c>
      <c r="Z968" s="37" t="str">
        <f>IF(NOTA[[#This Row],[JUMLAH]]="","",(NOTA[[#This Row],[JUMLAH]]-NOTA[[#This Row],[DISC 1-]])*NOTA[[#This Row],[DISC 2]])</f>
        <v/>
      </c>
      <c r="AA968" s="37" t="str">
        <f>IF(NOTA[[#This Row],[JUMLAH]]="","",(NOTA[[#This Row],[JUMLAH]]-NOTA[[#This Row],[DISC 1-]]-NOTA[[#This Row],[DISC 2-]])*NOTA[[#This Row],[DISC 3]])</f>
        <v/>
      </c>
      <c r="AB968" s="37" t="str">
        <f>IF(NOTA[[#This Row],[JUMLAH]]="","",NOTA[[#This Row],[DISC 1-]]+NOTA[[#This Row],[DISC 2-]]+NOTA[[#This Row],[DISC 3-]])</f>
        <v/>
      </c>
      <c r="AC968" s="37" t="str">
        <f>IF(NOTA[[#This Row],[JUMLAH]]="","",NOTA[[#This Row],[JUMLAH]]-NOTA[[#This Row],[DISC]])</f>
        <v/>
      </c>
      <c r="AD968" s="37"/>
      <c r="AE9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8" s="37" t="str">
        <f>IF(OR(NOTA[[#This Row],[QTY]]="",NOTA[[#This Row],[HARGA SATUAN]]="",),"",NOTA[[#This Row],[QTY]]*NOTA[[#This Row],[HARGA SATUAN]])</f>
        <v/>
      </c>
      <c r="AI968" s="26" t="str">
        <f ca="1">IF(NOTA[[#This Row],[ID_H]]="","",INDEX(NOTA[TANGGAL],MATCH(,INDIRECT(ADDRESS(ROW(NOTA[TANGGAL]),COLUMN(NOTA[TANGGAL]))&amp;":"&amp;ADDRESS(ROW(),COLUMN(NOTA[TANGGAL]))),-1)))</f>
        <v/>
      </c>
      <c r="AJ968" s="26" t="str">
        <f ca="1">IF(NOTA[[#This Row],[ID_H]]="","",INDEX(NOTA[TGL.NOTA],MATCH(,INDIRECT(ADDRESS(ROW(NOTA[TGL.NOTA]),COLUMN(NOTA[TGL.NOTA]))&amp;":"&amp;ADDRESS(ROW(),COLUMN(NOTA[TGL.NOTA]))),-1)))</f>
        <v/>
      </c>
      <c r="AK968" s="26" t="str">
        <f ca="1">IF(NOTA[[#This Row],[ID_H]]="","",INDEX(NOTA[NO.NOTA],MATCH(NOTA[[#This Row],[ID_H]],NOTA[ID_H],0)))</f>
        <v/>
      </c>
      <c r="AL968" s="28" t="str">
        <f ca="1">IF(NOTA[[#This Row],[NAMA BARANG]]="","",INDEX(NOTA[SUPPLIER],MATCH(,INDIRECT(ADDRESS(ROW(NOTA[ID]),COLUMN(NOTA[ID]))&amp;":"&amp;ADDRESS(ROW(),COLUMN(NOTA[ID]))),-1)))</f>
        <v/>
      </c>
      <c r="AM968" s="28" t="str">
        <f ca="1">IF(NOTA[[#This Row],[ID_H]]="","",IF(NOTA[[#This Row],[FAKTUR]]="",INDIRECT(ADDRESS(ROW()-1,COLUMN())),NOTA[[#This Row],[FAKTUR]]))</f>
        <v/>
      </c>
      <c r="AN968" s="25" t="str">
        <f ca="1">IF(NOTA[[#This Row],[ID]]="","",COUNTIF(NOTA[ID_H],NOTA[[#This Row],[ID_H]]))</f>
        <v/>
      </c>
      <c r="AO968" s="25" t="str">
        <f ca="1">IF(NOTA[[#This Row],[TGL.NOTA]]="",IF(NOTA[[#This Row],[SUPPLIER_H]]="","",AO967),MONTH(NOTA[[#This Row],[TGL.NOTA]]))</f>
        <v/>
      </c>
      <c r="AP9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8" s="25"/>
      <c r="AU968" s="25" t="str">
        <f>IF(NOTA[[#This Row],[CONCAT1]]="","",MATCH(NOTA[[#This Row],[CONCAT1]],[3]!db[NB NOTA_C],0))</f>
        <v/>
      </c>
      <c r="AV968" s="25" t="str">
        <f>IF(NOTA[[#This Row],[QTY/ CTN]]="","",TRUE)</f>
        <v/>
      </c>
      <c r="AW968" s="25" t="str">
        <f ca="1">IF(NOTA[[#This Row],[ID_H]]="","",IF(NOTA[[#This Row],[Column3]]=TRUE,NOTA[[#This Row],[QTY/ CTN]],INDEX([3]!db[QTY/ CTN],NOTA[[#This Row],[//DB]])))</f>
        <v/>
      </c>
      <c r="AX9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8" s="25" t="str">
        <f ca="1">IF(NOTA[[#This Row],[ID_H]]="","",MATCH(NOTA[[#This Row],[NB NOTA_C_QTY]],[3]!db[NB NOTA_C_QTY+F],0))</f>
        <v/>
      </c>
      <c r="AZ968" s="38" t="str">
        <f ca="1">IF(NOTA[[#This Row],[NB NOTA_C_QTY]]="","",ROW()-2)</f>
        <v/>
      </c>
    </row>
    <row r="969" spans="1:52" ht="20.100000000000001" customHeight="1">
      <c r="A9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9" s="25" t="str">
        <f ca="1">IF(NOTA[[#This Row],[NAMA BARANG]]="","",INDEX(NOTA[ID],MATCH(,INDIRECT(ADDRESS(ROW(NOTA[ID]),COLUMN(NOTA[ID]))&amp;":"&amp;ADDRESS(ROW(),COLUMN(NOTA[ID]))),-1)))</f>
        <v/>
      </c>
      <c r="E969" s="33"/>
      <c r="H969" s="34"/>
      <c r="Q969" s="29"/>
      <c r="R969" s="35"/>
      <c r="S969" s="36"/>
      <c r="V969" s="37"/>
      <c r="W969" s="32"/>
      <c r="X969" s="37" t="str">
        <f>IF(NOTA[[#This Row],[HARGA/ CTN]]="",NOTA[[#This Row],[JUMLAH_H]],NOTA[[#This Row],[HARGA/ CTN]]*IF(NOTA[[#This Row],[C]]="",0,NOTA[[#This Row],[C]]))</f>
        <v/>
      </c>
      <c r="Y969" s="37" t="str">
        <f>IF(NOTA[[#This Row],[JUMLAH]]="","",NOTA[[#This Row],[JUMLAH]]*NOTA[[#This Row],[DISC 1]])</f>
        <v/>
      </c>
      <c r="Z969" s="37" t="str">
        <f>IF(NOTA[[#This Row],[JUMLAH]]="","",(NOTA[[#This Row],[JUMLAH]]-NOTA[[#This Row],[DISC 1-]])*NOTA[[#This Row],[DISC 2]])</f>
        <v/>
      </c>
      <c r="AA969" s="37" t="str">
        <f>IF(NOTA[[#This Row],[JUMLAH]]="","",(NOTA[[#This Row],[JUMLAH]]-NOTA[[#This Row],[DISC 1-]]-NOTA[[#This Row],[DISC 2-]])*NOTA[[#This Row],[DISC 3]])</f>
        <v/>
      </c>
      <c r="AB969" s="37" t="str">
        <f>IF(NOTA[[#This Row],[JUMLAH]]="","",NOTA[[#This Row],[DISC 1-]]+NOTA[[#This Row],[DISC 2-]]+NOTA[[#This Row],[DISC 3-]])</f>
        <v/>
      </c>
      <c r="AC969" s="37" t="str">
        <f>IF(NOTA[[#This Row],[JUMLAH]]="","",NOTA[[#This Row],[JUMLAH]]-NOTA[[#This Row],[DISC]])</f>
        <v/>
      </c>
      <c r="AD969" s="37"/>
      <c r="AE9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9" s="37" t="str">
        <f>IF(OR(NOTA[[#This Row],[QTY]]="",NOTA[[#This Row],[HARGA SATUAN]]="",),"",NOTA[[#This Row],[QTY]]*NOTA[[#This Row],[HARGA SATUAN]])</f>
        <v/>
      </c>
      <c r="AI969" s="26" t="str">
        <f ca="1">IF(NOTA[[#This Row],[ID_H]]="","",INDEX(NOTA[TANGGAL],MATCH(,INDIRECT(ADDRESS(ROW(NOTA[TANGGAL]),COLUMN(NOTA[TANGGAL]))&amp;":"&amp;ADDRESS(ROW(),COLUMN(NOTA[TANGGAL]))),-1)))</f>
        <v/>
      </c>
      <c r="AJ969" s="26" t="str">
        <f ca="1">IF(NOTA[[#This Row],[ID_H]]="","",INDEX(NOTA[TGL.NOTA],MATCH(,INDIRECT(ADDRESS(ROW(NOTA[TGL.NOTA]),COLUMN(NOTA[TGL.NOTA]))&amp;":"&amp;ADDRESS(ROW(),COLUMN(NOTA[TGL.NOTA]))),-1)))</f>
        <v/>
      </c>
      <c r="AK969" s="26" t="str">
        <f ca="1">IF(NOTA[[#This Row],[ID_H]]="","",INDEX(NOTA[NO.NOTA],MATCH(NOTA[[#This Row],[ID_H]],NOTA[ID_H],0)))</f>
        <v/>
      </c>
      <c r="AL969" s="28" t="str">
        <f ca="1">IF(NOTA[[#This Row],[NAMA BARANG]]="","",INDEX(NOTA[SUPPLIER],MATCH(,INDIRECT(ADDRESS(ROW(NOTA[ID]),COLUMN(NOTA[ID]))&amp;":"&amp;ADDRESS(ROW(),COLUMN(NOTA[ID]))),-1)))</f>
        <v/>
      </c>
      <c r="AM969" s="28" t="str">
        <f ca="1">IF(NOTA[[#This Row],[ID_H]]="","",IF(NOTA[[#This Row],[FAKTUR]]="",INDIRECT(ADDRESS(ROW()-1,COLUMN())),NOTA[[#This Row],[FAKTUR]]))</f>
        <v/>
      </c>
      <c r="AN969" s="25" t="str">
        <f ca="1">IF(NOTA[[#This Row],[ID]]="","",COUNTIF(NOTA[ID_H],NOTA[[#This Row],[ID_H]]))</f>
        <v/>
      </c>
      <c r="AO969" s="25" t="str">
        <f ca="1">IF(NOTA[[#This Row],[TGL.NOTA]]="",IF(NOTA[[#This Row],[SUPPLIER_H]]="","",AO968),MONTH(NOTA[[#This Row],[TGL.NOTA]]))</f>
        <v/>
      </c>
      <c r="AP9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9" s="25"/>
      <c r="AU969" s="25" t="str">
        <f>IF(NOTA[[#This Row],[CONCAT1]]="","",MATCH(NOTA[[#This Row],[CONCAT1]],[3]!db[NB NOTA_C],0))</f>
        <v/>
      </c>
      <c r="AV969" s="25" t="str">
        <f>IF(NOTA[[#This Row],[QTY/ CTN]]="","",TRUE)</f>
        <v/>
      </c>
      <c r="AW969" s="25" t="str">
        <f ca="1">IF(NOTA[[#This Row],[ID_H]]="","",IF(NOTA[[#This Row],[Column3]]=TRUE,NOTA[[#This Row],[QTY/ CTN]],INDEX([3]!db[QTY/ CTN],NOTA[[#This Row],[//DB]])))</f>
        <v/>
      </c>
      <c r="AX9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9" s="25" t="str">
        <f ca="1">IF(NOTA[[#This Row],[ID_H]]="","",MATCH(NOTA[[#This Row],[NB NOTA_C_QTY]],[3]!db[NB NOTA_C_QTY+F],0))</f>
        <v/>
      </c>
      <c r="AZ969" s="38" t="str">
        <f ca="1">IF(NOTA[[#This Row],[NB NOTA_C_QTY]]="","",ROW()-2)</f>
        <v/>
      </c>
    </row>
    <row r="970" spans="1:52" ht="20.100000000000001" customHeight="1">
      <c r="A9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0" s="25" t="str">
        <f ca="1">IF(NOTA[[#This Row],[NAMA BARANG]]="","",INDEX(NOTA[ID],MATCH(,INDIRECT(ADDRESS(ROW(NOTA[ID]),COLUMN(NOTA[ID]))&amp;":"&amp;ADDRESS(ROW(),COLUMN(NOTA[ID]))),-1)))</f>
        <v/>
      </c>
      <c r="E970" s="33"/>
      <c r="H970" s="34"/>
      <c r="Q970" s="29"/>
      <c r="R970" s="35"/>
      <c r="S970" s="36"/>
      <c r="V970" s="37"/>
      <c r="W970" s="32"/>
      <c r="X970" s="37" t="str">
        <f>IF(NOTA[[#This Row],[HARGA/ CTN]]="",NOTA[[#This Row],[JUMLAH_H]],NOTA[[#This Row],[HARGA/ CTN]]*IF(NOTA[[#This Row],[C]]="",0,NOTA[[#This Row],[C]]))</f>
        <v/>
      </c>
      <c r="Y970" s="37" t="str">
        <f>IF(NOTA[[#This Row],[JUMLAH]]="","",NOTA[[#This Row],[JUMLAH]]*NOTA[[#This Row],[DISC 1]])</f>
        <v/>
      </c>
      <c r="Z970" s="37" t="str">
        <f>IF(NOTA[[#This Row],[JUMLAH]]="","",(NOTA[[#This Row],[JUMLAH]]-NOTA[[#This Row],[DISC 1-]])*NOTA[[#This Row],[DISC 2]])</f>
        <v/>
      </c>
      <c r="AA970" s="37" t="str">
        <f>IF(NOTA[[#This Row],[JUMLAH]]="","",(NOTA[[#This Row],[JUMLAH]]-NOTA[[#This Row],[DISC 1-]]-NOTA[[#This Row],[DISC 2-]])*NOTA[[#This Row],[DISC 3]])</f>
        <v/>
      </c>
      <c r="AB970" s="37" t="str">
        <f>IF(NOTA[[#This Row],[JUMLAH]]="","",NOTA[[#This Row],[DISC 1-]]+NOTA[[#This Row],[DISC 2-]]+NOTA[[#This Row],[DISC 3-]])</f>
        <v/>
      </c>
      <c r="AC970" s="37" t="str">
        <f>IF(NOTA[[#This Row],[JUMLAH]]="","",NOTA[[#This Row],[JUMLAH]]-NOTA[[#This Row],[DISC]])</f>
        <v/>
      </c>
      <c r="AD970" s="37"/>
      <c r="AE9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0" s="37" t="str">
        <f>IF(OR(NOTA[[#This Row],[QTY]]="",NOTA[[#This Row],[HARGA SATUAN]]="",),"",NOTA[[#This Row],[QTY]]*NOTA[[#This Row],[HARGA SATUAN]])</f>
        <v/>
      </c>
      <c r="AI970" s="26" t="str">
        <f ca="1">IF(NOTA[[#This Row],[ID_H]]="","",INDEX(NOTA[TANGGAL],MATCH(,INDIRECT(ADDRESS(ROW(NOTA[TANGGAL]),COLUMN(NOTA[TANGGAL]))&amp;":"&amp;ADDRESS(ROW(),COLUMN(NOTA[TANGGAL]))),-1)))</f>
        <v/>
      </c>
      <c r="AJ970" s="26" t="str">
        <f ca="1">IF(NOTA[[#This Row],[ID_H]]="","",INDEX(NOTA[TGL.NOTA],MATCH(,INDIRECT(ADDRESS(ROW(NOTA[TGL.NOTA]),COLUMN(NOTA[TGL.NOTA]))&amp;":"&amp;ADDRESS(ROW(),COLUMN(NOTA[TGL.NOTA]))),-1)))</f>
        <v/>
      </c>
      <c r="AK970" s="26" t="str">
        <f ca="1">IF(NOTA[[#This Row],[ID_H]]="","",INDEX(NOTA[NO.NOTA],MATCH(NOTA[[#This Row],[ID_H]],NOTA[ID_H],0)))</f>
        <v/>
      </c>
      <c r="AL970" s="28" t="str">
        <f ca="1">IF(NOTA[[#This Row],[NAMA BARANG]]="","",INDEX(NOTA[SUPPLIER],MATCH(,INDIRECT(ADDRESS(ROW(NOTA[ID]),COLUMN(NOTA[ID]))&amp;":"&amp;ADDRESS(ROW(),COLUMN(NOTA[ID]))),-1)))</f>
        <v/>
      </c>
      <c r="AM970" s="28" t="str">
        <f ca="1">IF(NOTA[[#This Row],[ID_H]]="","",IF(NOTA[[#This Row],[FAKTUR]]="",INDIRECT(ADDRESS(ROW()-1,COLUMN())),NOTA[[#This Row],[FAKTUR]]))</f>
        <v/>
      </c>
      <c r="AN970" s="25" t="str">
        <f ca="1">IF(NOTA[[#This Row],[ID]]="","",COUNTIF(NOTA[ID_H],NOTA[[#This Row],[ID_H]]))</f>
        <v/>
      </c>
      <c r="AO970" s="25" t="str">
        <f ca="1">IF(NOTA[[#This Row],[TGL.NOTA]]="",IF(NOTA[[#This Row],[SUPPLIER_H]]="","",AO969),MONTH(NOTA[[#This Row],[TGL.NOTA]]))</f>
        <v/>
      </c>
      <c r="AP9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0" s="25"/>
      <c r="AU970" s="25" t="str">
        <f>IF(NOTA[[#This Row],[CONCAT1]]="","",MATCH(NOTA[[#This Row],[CONCAT1]],[3]!db[NB NOTA_C],0))</f>
        <v/>
      </c>
      <c r="AV970" s="25" t="str">
        <f>IF(NOTA[[#This Row],[QTY/ CTN]]="","",TRUE)</f>
        <v/>
      </c>
      <c r="AW970" s="25" t="str">
        <f ca="1">IF(NOTA[[#This Row],[ID_H]]="","",IF(NOTA[[#This Row],[Column3]]=TRUE,NOTA[[#This Row],[QTY/ CTN]],INDEX([3]!db[QTY/ CTN],NOTA[[#This Row],[//DB]])))</f>
        <v/>
      </c>
      <c r="AX9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0" s="25" t="str">
        <f ca="1">IF(NOTA[[#This Row],[ID_H]]="","",MATCH(NOTA[[#This Row],[NB NOTA_C_QTY]],[3]!db[NB NOTA_C_QTY+F],0))</f>
        <v/>
      </c>
      <c r="AZ970" s="38" t="str">
        <f ca="1">IF(NOTA[[#This Row],[NB NOTA_C_QTY]]="","",ROW()-2)</f>
        <v/>
      </c>
    </row>
    <row r="971" spans="1:52" ht="20.100000000000001" customHeight="1">
      <c r="A9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1" s="25" t="str">
        <f ca="1">IF(NOTA[[#This Row],[NAMA BARANG]]="","",INDEX(NOTA[ID],MATCH(,INDIRECT(ADDRESS(ROW(NOTA[ID]),COLUMN(NOTA[ID]))&amp;":"&amp;ADDRESS(ROW(),COLUMN(NOTA[ID]))),-1)))</f>
        <v/>
      </c>
      <c r="E971" s="33"/>
      <c r="H971" s="34"/>
      <c r="Q971" s="29"/>
      <c r="R971" s="35"/>
      <c r="S971" s="36"/>
      <c r="V971" s="37"/>
      <c r="W971" s="32"/>
      <c r="X971" s="37" t="str">
        <f>IF(NOTA[[#This Row],[HARGA/ CTN]]="",NOTA[[#This Row],[JUMLAH_H]],NOTA[[#This Row],[HARGA/ CTN]]*IF(NOTA[[#This Row],[C]]="",0,NOTA[[#This Row],[C]]))</f>
        <v/>
      </c>
      <c r="Y971" s="37" t="str">
        <f>IF(NOTA[[#This Row],[JUMLAH]]="","",NOTA[[#This Row],[JUMLAH]]*NOTA[[#This Row],[DISC 1]])</f>
        <v/>
      </c>
      <c r="Z971" s="37" t="str">
        <f>IF(NOTA[[#This Row],[JUMLAH]]="","",(NOTA[[#This Row],[JUMLAH]]-NOTA[[#This Row],[DISC 1-]])*NOTA[[#This Row],[DISC 2]])</f>
        <v/>
      </c>
      <c r="AA971" s="37" t="str">
        <f>IF(NOTA[[#This Row],[JUMLAH]]="","",(NOTA[[#This Row],[JUMLAH]]-NOTA[[#This Row],[DISC 1-]]-NOTA[[#This Row],[DISC 2-]])*NOTA[[#This Row],[DISC 3]])</f>
        <v/>
      </c>
      <c r="AB971" s="37" t="str">
        <f>IF(NOTA[[#This Row],[JUMLAH]]="","",NOTA[[#This Row],[DISC 1-]]+NOTA[[#This Row],[DISC 2-]]+NOTA[[#This Row],[DISC 3-]])</f>
        <v/>
      </c>
      <c r="AC971" s="37" t="str">
        <f>IF(NOTA[[#This Row],[JUMLAH]]="","",NOTA[[#This Row],[JUMLAH]]-NOTA[[#This Row],[DISC]])</f>
        <v/>
      </c>
      <c r="AD971" s="37"/>
      <c r="AE9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1" s="37" t="str">
        <f>IF(OR(NOTA[[#This Row],[QTY]]="",NOTA[[#This Row],[HARGA SATUAN]]="",),"",NOTA[[#This Row],[QTY]]*NOTA[[#This Row],[HARGA SATUAN]])</f>
        <v/>
      </c>
      <c r="AI971" s="26" t="str">
        <f ca="1">IF(NOTA[[#This Row],[ID_H]]="","",INDEX(NOTA[TANGGAL],MATCH(,INDIRECT(ADDRESS(ROW(NOTA[TANGGAL]),COLUMN(NOTA[TANGGAL]))&amp;":"&amp;ADDRESS(ROW(),COLUMN(NOTA[TANGGAL]))),-1)))</f>
        <v/>
      </c>
      <c r="AJ971" s="26" t="str">
        <f ca="1">IF(NOTA[[#This Row],[ID_H]]="","",INDEX(NOTA[TGL.NOTA],MATCH(,INDIRECT(ADDRESS(ROW(NOTA[TGL.NOTA]),COLUMN(NOTA[TGL.NOTA]))&amp;":"&amp;ADDRESS(ROW(),COLUMN(NOTA[TGL.NOTA]))),-1)))</f>
        <v/>
      </c>
      <c r="AK971" s="26" t="str">
        <f ca="1">IF(NOTA[[#This Row],[ID_H]]="","",INDEX(NOTA[NO.NOTA],MATCH(NOTA[[#This Row],[ID_H]],NOTA[ID_H],0)))</f>
        <v/>
      </c>
      <c r="AL971" s="28" t="str">
        <f ca="1">IF(NOTA[[#This Row],[NAMA BARANG]]="","",INDEX(NOTA[SUPPLIER],MATCH(,INDIRECT(ADDRESS(ROW(NOTA[ID]),COLUMN(NOTA[ID]))&amp;":"&amp;ADDRESS(ROW(),COLUMN(NOTA[ID]))),-1)))</f>
        <v/>
      </c>
      <c r="AM971" s="28" t="str">
        <f ca="1">IF(NOTA[[#This Row],[ID_H]]="","",IF(NOTA[[#This Row],[FAKTUR]]="",INDIRECT(ADDRESS(ROW()-1,COLUMN())),NOTA[[#This Row],[FAKTUR]]))</f>
        <v/>
      </c>
      <c r="AN971" s="25" t="str">
        <f ca="1">IF(NOTA[[#This Row],[ID]]="","",COUNTIF(NOTA[ID_H],NOTA[[#This Row],[ID_H]]))</f>
        <v/>
      </c>
      <c r="AO971" s="25" t="str">
        <f ca="1">IF(NOTA[[#This Row],[TGL.NOTA]]="",IF(NOTA[[#This Row],[SUPPLIER_H]]="","",AO970),MONTH(NOTA[[#This Row],[TGL.NOTA]]))</f>
        <v/>
      </c>
      <c r="AP9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1" s="25"/>
      <c r="AU971" s="25" t="str">
        <f>IF(NOTA[[#This Row],[CONCAT1]]="","",MATCH(NOTA[[#This Row],[CONCAT1]],[3]!db[NB NOTA_C],0))</f>
        <v/>
      </c>
      <c r="AV971" s="25" t="str">
        <f>IF(NOTA[[#This Row],[QTY/ CTN]]="","",TRUE)</f>
        <v/>
      </c>
      <c r="AW971" s="25" t="str">
        <f ca="1">IF(NOTA[[#This Row],[ID_H]]="","",IF(NOTA[[#This Row],[Column3]]=TRUE,NOTA[[#This Row],[QTY/ CTN]],INDEX([3]!db[QTY/ CTN],NOTA[[#This Row],[//DB]])))</f>
        <v/>
      </c>
      <c r="AX9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1" s="25" t="str">
        <f ca="1">IF(NOTA[[#This Row],[ID_H]]="","",MATCH(NOTA[[#This Row],[NB NOTA_C_QTY]],[3]!db[NB NOTA_C_QTY+F],0))</f>
        <v/>
      </c>
      <c r="AZ971" s="38" t="str">
        <f ca="1">IF(NOTA[[#This Row],[NB NOTA_C_QTY]]="","",ROW()-2)</f>
        <v/>
      </c>
    </row>
    <row r="972" spans="1:52" ht="20.100000000000001" customHeight="1">
      <c r="A9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2" s="25" t="str">
        <f ca="1">IF(NOTA[[#This Row],[NAMA BARANG]]="","",INDEX(NOTA[ID],MATCH(,INDIRECT(ADDRESS(ROW(NOTA[ID]),COLUMN(NOTA[ID]))&amp;":"&amp;ADDRESS(ROW(),COLUMN(NOTA[ID]))),-1)))</f>
        <v/>
      </c>
      <c r="E972" s="33"/>
      <c r="H972" s="34"/>
      <c r="Q972" s="29"/>
      <c r="R972" s="35"/>
      <c r="S972" s="36"/>
      <c r="V972" s="37"/>
      <c r="W972" s="32"/>
      <c r="X972" s="37" t="str">
        <f>IF(NOTA[[#This Row],[HARGA/ CTN]]="",NOTA[[#This Row],[JUMLAH_H]],NOTA[[#This Row],[HARGA/ CTN]]*IF(NOTA[[#This Row],[C]]="",0,NOTA[[#This Row],[C]]))</f>
        <v/>
      </c>
      <c r="Y972" s="37" t="str">
        <f>IF(NOTA[[#This Row],[JUMLAH]]="","",NOTA[[#This Row],[JUMLAH]]*NOTA[[#This Row],[DISC 1]])</f>
        <v/>
      </c>
      <c r="Z972" s="37" t="str">
        <f>IF(NOTA[[#This Row],[JUMLAH]]="","",(NOTA[[#This Row],[JUMLAH]]-NOTA[[#This Row],[DISC 1-]])*NOTA[[#This Row],[DISC 2]])</f>
        <v/>
      </c>
      <c r="AA972" s="37" t="str">
        <f>IF(NOTA[[#This Row],[JUMLAH]]="","",(NOTA[[#This Row],[JUMLAH]]-NOTA[[#This Row],[DISC 1-]]-NOTA[[#This Row],[DISC 2-]])*NOTA[[#This Row],[DISC 3]])</f>
        <v/>
      </c>
      <c r="AB972" s="37" t="str">
        <f>IF(NOTA[[#This Row],[JUMLAH]]="","",NOTA[[#This Row],[DISC 1-]]+NOTA[[#This Row],[DISC 2-]]+NOTA[[#This Row],[DISC 3-]])</f>
        <v/>
      </c>
      <c r="AC972" s="37" t="str">
        <f>IF(NOTA[[#This Row],[JUMLAH]]="","",NOTA[[#This Row],[JUMLAH]]-NOTA[[#This Row],[DISC]])</f>
        <v/>
      </c>
      <c r="AD972" s="37"/>
      <c r="AE9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2" s="37" t="str">
        <f>IF(OR(NOTA[[#This Row],[QTY]]="",NOTA[[#This Row],[HARGA SATUAN]]="",),"",NOTA[[#This Row],[QTY]]*NOTA[[#This Row],[HARGA SATUAN]])</f>
        <v/>
      </c>
      <c r="AI972" s="26" t="str">
        <f ca="1">IF(NOTA[[#This Row],[ID_H]]="","",INDEX(NOTA[TANGGAL],MATCH(,INDIRECT(ADDRESS(ROW(NOTA[TANGGAL]),COLUMN(NOTA[TANGGAL]))&amp;":"&amp;ADDRESS(ROW(),COLUMN(NOTA[TANGGAL]))),-1)))</f>
        <v/>
      </c>
      <c r="AJ972" s="26" t="str">
        <f ca="1">IF(NOTA[[#This Row],[ID_H]]="","",INDEX(NOTA[TGL.NOTA],MATCH(,INDIRECT(ADDRESS(ROW(NOTA[TGL.NOTA]),COLUMN(NOTA[TGL.NOTA]))&amp;":"&amp;ADDRESS(ROW(),COLUMN(NOTA[TGL.NOTA]))),-1)))</f>
        <v/>
      </c>
      <c r="AK972" s="26" t="str">
        <f ca="1">IF(NOTA[[#This Row],[ID_H]]="","",INDEX(NOTA[NO.NOTA],MATCH(NOTA[[#This Row],[ID_H]],NOTA[ID_H],0)))</f>
        <v/>
      </c>
      <c r="AL972" s="28" t="str">
        <f ca="1">IF(NOTA[[#This Row],[NAMA BARANG]]="","",INDEX(NOTA[SUPPLIER],MATCH(,INDIRECT(ADDRESS(ROW(NOTA[ID]),COLUMN(NOTA[ID]))&amp;":"&amp;ADDRESS(ROW(),COLUMN(NOTA[ID]))),-1)))</f>
        <v/>
      </c>
      <c r="AM972" s="28" t="str">
        <f ca="1">IF(NOTA[[#This Row],[ID_H]]="","",IF(NOTA[[#This Row],[FAKTUR]]="",INDIRECT(ADDRESS(ROW()-1,COLUMN())),NOTA[[#This Row],[FAKTUR]]))</f>
        <v/>
      </c>
      <c r="AN972" s="25" t="str">
        <f ca="1">IF(NOTA[[#This Row],[ID]]="","",COUNTIF(NOTA[ID_H],NOTA[[#This Row],[ID_H]]))</f>
        <v/>
      </c>
      <c r="AO972" s="25" t="str">
        <f ca="1">IF(NOTA[[#This Row],[TGL.NOTA]]="",IF(NOTA[[#This Row],[SUPPLIER_H]]="","",AO971),MONTH(NOTA[[#This Row],[TGL.NOTA]]))</f>
        <v/>
      </c>
      <c r="AP9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2" s="25"/>
      <c r="AU972" s="25" t="str">
        <f>IF(NOTA[[#This Row],[CONCAT1]]="","",MATCH(NOTA[[#This Row],[CONCAT1]],[3]!db[NB NOTA_C],0))</f>
        <v/>
      </c>
      <c r="AV972" s="25" t="str">
        <f>IF(NOTA[[#This Row],[QTY/ CTN]]="","",TRUE)</f>
        <v/>
      </c>
      <c r="AW972" s="25" t="str">
        <f ca="1">IF(NOTA[[#This Row],[ID_H]]="","",IF(NOTA[[#This Row],[Column3]]=TRUE,NOTA[[#This Row],[QTY/ CTN]],INDEX([3]!db[QTY/ CTN],NOTA[[#This Row],[//DB]])))</f>
        <v/>
      </c>
      <c r="AX9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2" s="25" t="str">
        <f ca="1">IF(NOTA[[#This Row],[ID_H]]="","",MATCH(NOTA[[#This Row],[NB NOTA_C_QTY]],[3]!db[NB NOTA_C_QTY+F],0))</f>
        <v/>
      </c>
      <c r="AZ972" s="38" t="str">
        <f ca="1">IF(NOTA[[#This Row],[NB NOTA_C_QTY]]="","",ROW()-2)</f>
        <v/>
      </c>
    </row>
    <row r="973" spans="1:52" ht="20.100000000000001" customHeight="1">
      <c r="A9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3" s="25" t="str">
        <f ca="1">IF(NOTA[[#This Row],[NAMA BARANG]]="","",INDEX(NOTA[ID],MATCH(,INDIRECT(ADDRESS(ROW(NOTA[ID]),COLUMN(NOTA[ID]))&amp;":"&amp;ADDRESS(ROW(),COLUMN(NOTA[ID]))),-1)))</f>
        <v/>
      </c>
      <c r="E973" s="33"/>
      <c r="H973" s="34"/>
      <c r="Q973" s="29"/>
      <c r="R973" s="35"/>
      <c r="S973" s="36"/>
      <c r="V973" s="37"/>
      <c r="W973" s="32"/>
      <c r="X973" s="37" t="str">
        <f>IF(NOTA[[#This Row],[HARGA/ CTN]]="",NOTA[[#This Row],[JUMLAH_H]],NOTA[[#This Row],[HARGA/ CTN]]*IF(NOTA[[#This Row],[C]]="",0,NOTA[[#This Row],[C]]))</f>
        <v/>
      </c>
      <c r="Y973" s="37" t="str">
        <f>IF(NOTA[[#This Row],[JUMLAH]]="","",NOTA[[#This Row],[JUMLAH]]*NOTA[[#This Row],[DISC 1]])</f>
        <v/>
      </c>
      <c r="Z973" s="37" t="str">
        <f>IF(NOTA[[#This Row],[JUMLAH]]="","",(NOTA[[#This Row],[JUMLAH]]-NOTA[[#This Row],[DISC 1-]])*NOTA[[#This Row],[DISC 2]])</f>
        <v/>
      </c>
      <c r="AA973" s="37" t="str">
        <f>IF(NOTA[[#This Row],[JUMLAH]]="","",(NOTA[[#This Row],[JUMLAH]]-NOTA[[#This Row],[DISC 1-]]-NOTA[[#This Row],[DISC 2-]])*NOTA[[#This Row],[DISC 3]])</f>
        <v/>
      </c>
      <c r="AB973" s="37" t="str">
        <f>IF(NOTA[[#This Row],[JUMLAH]]="","",NOTA[[#This Row],[DISC 1-]]+NOTA[[#This Row],[DISC 2-]]+NOTA[[#This Row],[DISC 3-]])</f>
        <v/>
      </c>
      <c r="AC973" s="37" t="str">
        <f>IF(NOTA[[#This Row],[JUMLAH]]="","",NOTA[[#This Row],[JUMLAH]]-NOTA[[#This Row],[DISC]])</f>
        <v/>
      </c>
      <c r="AD973" s="37"/>
      <c r="AE9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3" s="37" t="str">
        <f>IF(OR(NOTA[[#This Row],[QTY]]="",NOTA[[#This Row],[HARGA SATUAN]]="",),"",NOTA[[#This Row],[QTY]]*NOTA[[#This Row],[HARGA SATUAN]])</f>
        <v/>
      </c>
      <c r="AI973" s="26" t="str">
        <f ca="1">IF(NOTA[[#This Row],[ID_H]]="","",INDEX(NOTA[TANGGAL],MATCH(,INDIRECT(ADDRESS(ROW(NOTA[TANGGAL]),COLUMN(NOTA[TANGGAL]))&amp;":"&amp;ADDRESS(ROW(),COLUMN(NOTA[TANGGAL]))),-1)))</f>
        <v/>
      </c>
      <c r="AJ973" s="26" t="str">
        <f ca="1">IF(NOTA[[#This Row],[ID_H]]="","",INDEX(NOTA[TGL.NOTA],MATCH(,INDIRECT(ADDRESS(ROW(NOTA[TGL.NOTA]),COLUMN(NOTA[TGL.NOTA]))&amp;":"&amp;ADDRESS(ROW(),COLUMN(NOTA[TGL.NOTA]))),-1)))</f>
        <v/>
      </c>
      <c r="AK973" s="26" t="str">
        <f ca="1">IF(NOTA[[#This Row],[ID_H]]="","",INDEX(NOTA[NO.NOTA],MATCH(NOTA[[#This Row],[ID_H]],NOTA[ID_H],0)))</f>
        <v/>
      </c>
      <c r="AL973" s="28" t="str">
        <f ca="1">IF(NOTA[[#This Row],[NAMA BARANG]]="","",INDEX(NOTA[SUPPLIER],MATCH(,INDIRECT(ADDRESS(ROW(NOTA[ID]),COLUMN(NOTA[ID]))&amp;":"&amp;ADDRESS(ROW(),COLUMN(NOTA[ID]))),-1)))</f>
        <v/>
      </c>
      <c r="AM973" s="28" t="str">
        <f ca="1">IF(NOTA[[#This Row],[ID_H]]="","",IF(NOTA[[#This Row],[FAKTUR]]="",INDIRECT(ADDRESS(ROW()-1,COLUMN())),NOTA[[#This Row],[FAKTUR]]))</f>
        <v/>
      </c>
      <c r="AN973" s="25" t="str">
        <f ca="1">IF(NOTA[[#This Row],[ID]]="","",COUNTIF(NOTA[ID_H],NOTA[[#This Row],[ID_H]]))</f>
        <v/>
      </c>
      <c r="AO973" s="25" t="str">
        <f ca="1">IF(NOTA[[#This Row],[TGL.NOTA]]="",IF(NOTA[[#This Row],[SUPPLIER_H]]="","",AO972),MONTH(NOTA[[#This Row],[TGL.NOTA]]))</f>
        <v/>
      </c>
      <c r="AP9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3" s="25"/>
      <c r="AU973" s="25" t="str">
        <f>IF(NOTA[[#This Row],[CONCAT1]]="","",MATCH(NOTA[[#This Row],[CONCAT1]],[3]!db[NB NOTA_C],0))</f>
        <v/>
      </c>
      <c r="AV973" s="25" t="str">
        <f>IF(NOTA[[#This Row],[QTY/ CTN]]="","",TRUE)</f>
        <v/>
      </c>
      <c r="AW973" s="25" t="str">
        <f ca="1">IF(NOTA[[#This Row],[ID_H]]="","",IF(NOTA[[#This Row],[Column3]]=TRUE,NOTA[[#This Row],[QTY/ CTN]],INDEX([3]!db[QTY/ CTN],NOTA[[#This Row],[//DB]])))</f>
        <v/>
      </c>
      <c r="AX9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3" s="25" t="str">
        <f ca="1">IF(NOTA[[#This Row],[ID_H]]="","",MATCH(NOTA[[#This Row],[NB NOTA_C_QTY]],[3]!db[NB NOTA_C_QTY+F],0))</f>
        <v/>
      </c>
      <c r="AZ973" s="38" t="str">
        <f ca="1">IF(NOTA[[#This Row],[NB NOTA_C_QTY]]="","",ROW()-2)</f>
        <v/>
      </c>
    </row>
    <row r="974" spans="1:52" ht="20.100000000000001" customHeight="1">
      <c r="A9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4" s="25" t="str">
        <f ca="1">IF(NOTA[[#This Row],[NAMA BARANG]]="","",INDEX(NOTA[ID],MATCH(,INDIRECT(ADDRESS(ROW(NOTA[ID]),COLUMN(NOTA[ID]))&amp;":"&amp;ADDRESS(ROW(),COLUMN(NOTA[ID]))),-1)))</f>
        <v/>
      </c>
      <c r="E974" s="33"/>
      <c r="H974" s="34"/>
      <c r="Q974" s="29"/>
      <c r="R974" s="35"/>
      <c r="S974" s="36"/>
      <c r="V974" s="37"/>
      <c r="W974" s="32"/>
      <c r="X974" s="37" t="str">
        <f>IF(NOTA[[#This Row],[HARGA/ CTN]]="",NOTA[[#This Row],[JUMLAH_H]],NOTA[[#This Row],[HARGA/ CTN]]*IF(NOTA[[#This Row],[C]]="",0,NOTA[[#This Row],[C]]))</f>
        <v/>
      </c>
      <c r="Y974" s="37" t="str">
        <f>IF(NOTA[[#This Row],[JUMLAH]]="","",NOTA[[#This Row],[JUMLAH]]*NOTA[[#This Row],[DISC 1]])</f>
        <v/>
      </c>
      <c r="Z974" s="37" t="str">
        <f>IF(NOTA[[#This Row],[JUMLAH]]="","",(NOTA[[#This Row],[JUMLAH]]-NOTA[[#This Row],[DISC 1-]])*NOTA[[#This Row],[DISC 2]])</f>
        <v/>
      </c>
      <c r="AA974" s="37" t="str">
        <f>IF(NOTA[[#This Row],[JUMLAH]]="","",(NOTA[[#This Row],[JUMLAH]]-NOTA[[#This Row],[DISC 1-]]-NOTA[[#This Row],[DISC 2-]])*NOTA[[#This Row],[DISC 3]])</f>
        <v/>
      </c>
      <c r="AB974" s="37" t="str">
        <f>IF(NOTA[[#This Row],[JUMLAH]]="","",NOTA[[#This Row],[DISC 1-]]+NOTA[[#This Row],[DISC 2-]]+NOTA[[#This Row],[DISC 3-]])</f>
        <v/>
      </c>
      <c r="AC974" s="37" t="str">
        <f>IF(NOTA[[#This Row],[JUMLAH]]="","",NOTA[[#This Row],[JUMLAH]]-NOTA[[#This Row],[DISC]])</f>
        <v/>
      </c>
      <c r="AD974" s="37"/>
      <c r="AE9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4" s="37" t="str">
        <f>IF(OR(NOTA[[#This Row],[QTY]]="",NOTA[[#This Row],[HARGA SATUAN]]="",),"",NOTA[[#This Row],[QTY]]*NOTA[[#This Row],[HARGA SATUAN]])</f>
        <v/>
      </c>
      <c r="AI974" s="26" t="str">
        <f ca="1">IF(NOTA[[#This Row],[ID_H]]="","",INDEX(NOTA[TANGGAL],MATCH(,INDIRECT(ADDRESS(ROW(NOTA[TANGGAL]),COLUMN(NOTA[TANGGAL]))&amp;":"&amp;ADDRESS(ROW(),COLUMN(NOTA[TANGGAL]))),-1)))</f>
        <v/>
      </c>
      <c r="AJ974" s="26" t="str">
        <f ca="1">IF(NOTA[[#This Row],[ID_H]]="","",INDEX(NOTA[TGL.NOTA],MATCH(,INDIRECT(ADDRESS(ROW(NOTA[TGL.NOTA]),COLUMN(NOTA[TGL.NOTA]))&amp;":"&amp;ADDRESS(ROW(),COLUMN(NOTA[TGL.NOTA]))),-1)))</f>
        <v/>
      </c>
      <c r="AK974" s="26" t="str">
        <f ca="1">IF(NOTA[[#This Row],[ID_H]]="","",INDEX(NOTA[NO.NOTA],MATCH(NOTA[[#This Row],[ID_H]],NOTA[ID_H],0)))</f>
        <v/>
      </c>
      <c r="AL974" s="28" t="str">
        <f ca="1">IF(NOTA[[#This Row],[NAMA BARANG]]="","",INDEX(NOTA[SUPPLIER],MATCH(,INDIRECT(ADDRESS(ROW(NOTA[ID]),COLUMN(NOTA[ID]))&amp;":"&amp;ADDRESS(ROW(),COLUMN(NOTA[ID]))),-1)))</f>
        <v/>
      </c>
      <c r="AM974" s="28" t="str">
        <f ca="1">IF(NOTA[[#This Row],[ID_H]]="","",IF(NOTA[[#This Row],[FAKTUR]]="",INDIRECT(ADDRESS(ROW()-1,COLUMN())),NOTA[[#This Row],[FAKTUR]]))</f>
        <v/>
      </c>
      <c r="AN974" s="25" t="str">
        <f ca="1">IF(NOTA[[#This Row],[ID]]="","",COUNTIF(NOTA[ID_H],NOTA[[#This Row],[ID_H]]))</f>
        <v/>
      </c>
      <c r="AO974" s="25" t="str">
        <f ca="1">IF(NOTA[[#This Row],[TGL.NOTA]]="",IF(NOTA[[#This Row],[SUPPLIER_H]]="","",AO973),MONTH(NOTA[[#This Row],[TGL.NOTA]]))</f>
        <v/>
      </c>
      <c r="AP9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4" s="25"/>
      <c r="AU974" s="25" t="str">
        <f>IF(NOTA[[#This Row],[CONCAT1]]="","",MATCH(NOTA[[#This Row],[CONCAT1]],[3]!db[NB NOTA_C],0))</f>
        <v/>
      </c>
      <c r="AV974" s="25" t="str">
        <f>IF(NOTA[[#This Row],[QTY/ CTN]]="","",TRUE)</f>
        <v/>
      </c>
      <c r="AW974" s="25" t="str">
        <f ca="1">IF(NOTA[[#This Row],[ID_H]]="","",IF(NOTA[[#This Row],[Column3]]=TRUE,NOTA[[#This Row],[QTY/ CTN]],INDEX([3]!db[QTY/ CTN],NOTA[[#This Row],[//DB]])))</f>
        <v/>
      </c>
      <c r="AX9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4" s="25" t="str">
        <f ca="1">IF(NOTA[[#This Row],[ID_H]]="","",MATCH(NOTA[[#This Row],[NB NOTA_C_QTY]],[3]!db[NB NOTA_C_QTY+F],0))</f>
        <v/>
      </c>
      <c r="AZ974" s="38" t="str">
        <f ca="1">IF(NOTA[[#This Row],[NB NOTA_C_QTY]]="","",ROW()-2)</f>
        <v/>
      </c>
    </row>
    <row r="975" spans="1:52" ht="20.100000000000001" customHeight="1">
      <c r="A9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5" s="25" t="str">
        <f ca="1">IF(NOTA[[#This Row],[NAMA BARANG]]="","",INDEX(NOTA[ID],MATCH(,INDIRECT(ADDRESS(ROW(NOTA[ID]),COLUMN(NOTA[ID]))&amp;":"&amp;ADDRESS(ROW(),COLUMN(NOTA[ID]))),-1)))</f>
        <v/>
      </c>
      <c r="E975" s="33"/>
      <c r="H975" s="34"/>
      <c r="Q975" s="29"/>
      <c r="R975" s="35"/>
      <c r="S975" s="36"/>
      <c r="V975" s="37"/>
      <c r="W975" s="32"/>
      <c r="X975" s="37" t="str">
        <f>IF(NOTA[[#This Row],[HARGA/ CTN]]="",NOTA[[#This Row],[JUMLAH_H]],NOTA[[#This Row],[HARGA/ CTN]]*IF(NOTA[[#This Row],[C]]="",0,NOTA[[#This Row],[C]]))</f>
        <v/>
      </c>
      <c r="Y975" s="37" t="str">
        <f>IF(NOTA[[#This Row],[JUMLAH]]="","",NOTA[[#This Row],[JUMLAH]]*NOTA[[#This Row],[DISC 1]])</f>
        <v/>
      </c>
      <c r="Z975" s="37" t="str">
        <f>IF(NOTA[[#This Row],[JUMLAH]]="","",(NOTA[[#This Row],[JUMLAH]]-NOTA[[#This Row],[DISC 1-]])*NOTA[[#This Row],[DISC 2]])</f>
        <v/>
      </c>
      <c r="AA975" s="37" t="str">
        <f>IF(NOTA[[#This Row],[JUMLAH]]="","",(NOTA[[#This Row],[JUMLAH]]-NOTA[[#This Row],[DISC 1-]]-NOTA[[#This Row],[DISC 2-]])*NOTA[[#This Row],[DISC 3]])</f>
        <v/>
      </c>
      <c r="AB975" s="37" t="str">
        <f>IF(NOTA[[#This Row],[JUMLAH]]="","",NOTA[[#This Row],[DISC 1-]]+NOTA[[#This Row],[DISC 2-]]+NOTA[[#This Row],[DISC 3-]])</f>
        <v/>
      </c>
      <c r="AC975" s="37" t="str">
        <f>IF(NOTA[[#This Row],[JUMLAH]]="","",NOTA[[#This Row],[JUMLAH]]-NOTA[[#This Row],[DISC]])</f>
        <v/>
      </c>
      <c r="AD975" s="37"/>
      <c r="AE9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5" s="37" t="str">
        <f>IF(OR(NOTA[[#This Row],[QTY]]="",NOTA[[#This Row],[HARGA SATUAN]]="",),"",NOTA[[#This Row],[QTY]]*NOTA[[#This Row],[HARGA SATUAN]])</f>
        <v/>
      </c>
      <c r="AI975" s="26" t="str">
        <f ca="1">IF(NOTA[[#This Row],[ID_H]]="","",INDEX(NOTA[TANGGAL],MATCH(,INDIRECT(ADDRESS(ROW(NOTA[TANGGAL]),COLUMN(NOTA[TANGGAL]))&amp;":"&amp;ADDRESS(ROW(),COLUMN(NOTA[TANGGAL]))),-1)))</f>
        <v/>
      </c>
      <c r="AJ975" s="26" t="str">
        <f ca="1">IF(NOTA[[#This Row],[ID_H]]="","",INDEX(NOTA[TGL.NOTA],MATCH(,INDIRECT(ADDRESS(ROW(NOTA[TGL.NOTA]),COLUMN(NOTA[TGL.NOTA]))&amp;":"&amp;ADDRESS(ROW(),COLUMN(NOTA[TGL.NOTA]))),-1)))</f>
        <v/>
      </c>
      <c r="AK975" s="26" t="str">
        <f ca="1">IF(NOTA[[#This Row],[ID_H]]="","",INDEX(NOTA[NO.NOTA],MATCH(NOTA[[#This Row],[ID_H]],NOTA[ID_H],0)))</f>
        <v/>
      </c>
      <c r="AL975" s="28" t="str">
        <f ca="1">IF(NOTA[[#This Row],[NAMA BARANG]]="","",INDEX(NOTA[SUPPLIER],MATCH(,INDIRECT(ADDRESS(ROW(NOTA[ID]),COLUMN(NOTA[ID]))&amp;":"&amp;ADDRESS(ROW(),COLUMN(NOTA[ID]))),-1)))</f>
        <v/>
      </c>
      <c r="AM975" s="28" t="str">
        <f ca="1">IF(NOTA[[#This Row],[ID_H]]="","",IF(NOTA[[#This Row],[FAKTUR]]="",INDIRECT(ADDRESS(ROW()-1,COLUMN())),NOTA[[#This Row],[FAKTUR]]))</f>
        <v/>
      </c>
      <c r="AN975" s="25" t="str">
        <f ca="1">IF(NOTA[[#This Row],[ID]]="","",COUNTIF(NOTA[ID_H],NOTA[[#This Row],[ID_H]]))</f>
        <v/>
      </c>
      <c r="AO975" s="25" t="str">
        <f ca="1">IF(NOTA[[#This Row],[TGL.NOTA]]="",IF(NOTA[[#This Row],[SUPPLIER_H]]="","",AO974),MONTH(NOTA[[#This Row],[TGL.NOTA]]))</f>
        <v/>
      </c>
      <c r="AP9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5" s="25"/>
      <c r="AU975" s="25" t="str">
        <f>IF(NOTA[[#This Row],[CONCAT1]]="","",MATCH(NOTA[[#This Row],[CONCAT1]],[3]!db[NB NOTA_C],0))</f>
        <v/>
      </c>
      <c r="AV975" s="25" t="str">
        <f>IF(NOTA[[#This Row],[QTY/ CTN]]="","",TRUE)</f>
        <v/>
      </c>
      <c r="AW975" s="25" t="str">
        <f ca="1">IF(NOTA[[#This Row],[ID_H]]="","",IF(NOTA[[#This Row],[Column3]]=TRUE,NOTA[[#This Row],[QTY/ CTN]],INDEX([3]!db[QTY/ CTN],NOTA[[#This Row],[//DB]])))</f>
        <v/>
      </c>
      <c r="AX9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5" s="25" t="str">
        <f ca="1">IF(NOTA[[#This Row],[ID_H]]="","",MATCH(NOTA[[#This Row],[NB NOTA_C_QTY]],[3]!db[NB NOTA_C_QTY+F],0))</f>
        <v/>
      </c>
      <c r="AZ975" s="38" t="str">
        <f ca="1">IF(NOTA[[#This Row],[NB NOTA_C_QTY]]="","",ROW()-2)</f>
        <v/>
      </c>
    </row>
    <row r="976" spans="1:52" ht="20.100000000000001" customHeight="1">
      <c r="A9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6" s="25" t="str">
        <f ca="1">IF(NOTA[[#This Row],[NAMA BARANG]]="","",INDEX(NOTA[ID],MATCH(,INDIRECT(ADDRESS(ROW(NOTA[ID]),COLUMN(NOTA[ID]))&amp;":"&amp;ADDRESS(ROW(),COLUMN(NOTA[ID]))),-1)))</f>
        <v/>
      </c>
      <c r="E976" s="33"/>
      <c r="H976" s="34"/>
      <c r="Q976" s="29"/>
      <c r="R976" s="35"/>
      <c r="S976" s="36"/>
      <c r="V976" s="37"/>
      <c r="W976" s="32"/>
      <c r="X976" s="37" t="str">
        <f>IF(NOTA[[#This Row],[HARGA/ CTN]]="",NOTA[[#This Row],[JUMLAH_H]],NOTA[[#This Row],[HARGA/ CTN]]*IF(NOTA[[#This Row],[C]]="",0,NOTA[[#This Row],[C]]))</f>
        <v/>
      </c>
      <c r="Y976" s="37" t="str">
        <f>IF(NOTA[[#This Row],[JUMLAH]]="","",NOTA[[#This Row],[JUMLAH]]*NOTA[[#This Row],[DISC 1]])</f>
        <v/>
      </c>
      <c r="Z976" s="37" t="str">
        <f>IF(NOTA[[#This Row],[JUMLAH]]="","",(NOTA[[#This Row],[JUMLAH]]-NOTA[[#This Row],[DISC 1-]])*NOTA[[#This Row],[DISC 2]])</f>
        <v/>
      </c>
      <c r="AA976" s="37" t="str">
        <f>IF(NOTA[[#This Row],[JUMLAH]]="","",(NOTA[[#This Row],[JUMLAH]]-NOTA[[#This Row],[DISC 1-]]-NOTA[[#This Row],[DISC 2-]])*NOTA[[#This Row],[DISC 3]])</f>
        <v/>
      </c>
      <c r="AB976" s="37" t="str">
        <f>IF(NOTA[[#This Row],[JUMLAH]]="","",NOTA[[#This Row],[DISC 1-]]+NOTA[[#This Row],[DISC 2-]]+NOTA[[#This Row],[DISC 3-]])</f>
        <v/>
      </c>
      <c r="AC976" s="37" t="str">
        <f>IF(NOTA[[#This Row],[JUMLAH]]="","",NOTA[[#This Row],[JUMLAH]]-NOTA[[#This Row],[DISC]])</f>
        <v/>
      </c>
      <c r="AD976" s="37"/>
      <c r="AE9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6" s="37" t="str">
        <f>IF(OR(NOTA[[#This Row],[QTY]]="",NOTA[[#This Row],[HARGA SATUAN]]="",),"",NOTA[[#This Row],[QTY]]*NOTA[[#This Row],[HARGA SATUAN]])</f>
        <v/>
      </c>
      <c r="AI976" s="26" t="str">
        <f ca="1">IF(NOTA[[#This Row],[ID_H]]="","",INDEX(NOTA[TANGGAL],MATCH(,INDIRECT(ADDRESS(ROW(NOTA[TANGGAL]),COLUMN(NOTA[TANGGAL]))&amp;":"&amp;ADDRESS(ROW(),COLUMN(NOTA[TANGGAL]))),-1)))</f>
        <v/>
      </c>
      <c r="AJ976" s="26" t="str">
        <f ca="1">IF(NOTA[[#This Row],[ID_H]]="","",INDEX(NOTA[TGL.NOTA],MATCH(,INDIRECT(ADDRESS(ROW(NOTA[TGL.NOTA]),COLUMN(NOTA[TGL.NOTA]))&amp;":"&amp;ADDRESS(ROW(),COLUMN(NOTA[TGL.NOTA]))),-1)))</f>
        <v/>
      </c>
      <c r="AK976" s="26" t="str">
        <f ca="1">IF(NOTA[[#This Row],[ID_H]]="","",INDEX(NOTA[NO.NOTA],MATCH(NOTA[[#This Row],[ID_H]],NOTA[ID_H],0)))</f>
        <v/>
      </c>
      <c r="AL976" s="28" t="str">
        <f ca="1">IF(NOTA[[#This Row],[NAMA BARANG]]="","",INDEX(NOTA[SUPPLIER],MATCH(,INDIRECT(ADDRESS(ROW(NOTA[ID]),COLUMN(NOTA[ID]))&amp;":"&amp;ADDRESS(ROW(),COLUMN(NOTA[ID]))),-1)))</f>
        <v/>
      </c>
      <c r="AM976" s="28" t="str">
        <f ca="1">IF(NOTA[[#This Row],[ID_H]]="","",IF(NOTA[[#This Row],[FAKTUR]]="",INDIRECT(ADDRESS(ROW()-1,COLUMN())),NOTA[[#This Row],[FAKTUR]]))</f>
        <v/>
      </c>
      <c r="AN976" s="25" t="str">
        <f ca="1">IF(NOTA[[#This Row],[ID]]="","",COUNTIF(NOTA[ID_H],NOTA[[#This Row],[ID_H]]))</f>
        <v/>
      </c>
      <c r="AO976" s="25" t="str">
        <f ca="1">IF(NOTA[[#This Row],[TGL.NOTA]]="",IF(NOTA[[#This Row],[SUPPLIER_H]]="","",AO975),MONTH(NOTA[[#This Row],[TGL.NOTA]]))</f>
        <v/>
      </c>
      <c r="AP9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6" s="25"/>
      <c r="AU976" s="25" t="str">
        <f>IF(NOTA[[#This Row],[CONCAT1]]="","",MATCH(NOTA[[#This Row],[CONCAT1]],[3]!db[NB NOTA_C],0))</f>
        <v/>
      </c>
      <c r="AV976" s="25" t="str">
        <f>IF(NOTA[[#This Row],[QTY/ CTN]]="","",TRUE)</f>
        <v/>
      </c>
      <c r="AW976" s="25" t="str">
        <f ca="1">IF(NOTA[[#This Row],[ID_H]]="","",IF(NOTA[[#This Row],[Column3]]=TRUE,NOTA[[#This Row],[QTY/ CTN]],INDEX([3]!db[QTY/ CTN],NOTA[[#This Row],[//DB]])))</f>
        <v/>
      </c>
      <c r="AX9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6" s="25" t="str">
        <f ca="1">IF(NOTA[[#This Row],[ID_H]]="","",MATCH(NOTA[[#This Row],[NB NOTA_C_QTY]],[3]!db[NB NOTA_C_QTY+F],0))</f>
        <v/>
      </c>
      <c r="AZ976" s="38" t="str">
        <f ca="1">IF(NOTA[[#This Row],[NB NOTA_C_QTY]]="","",ROW()-2)</f>
        <v/>
      </c>
    </row>
    <row r="977" spans="1:52" ht="20.100000000000001" customHeight="1">
      <c r="A9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7" s="25" t="str">
        <f ca="1">IF(NOTA[[#This Row],[NAMA BARANG]]="","",INDEX(NOTA[ID],MATCH(,INDIRECT(ADDRESS(ROW(NOTA[ID]),COLUMN(NOTA[ID]))&amp;":"&amp;ADDRESS(ROW(),COLUMN(NOTA[ID]))),-1)))</f>
        <v/>
      </c>
      <c r="E977" s="33"/>
      <c r="H977" s="34"/>
      <c r="Q977" s="29"/>
      <c r="R977" s="35"/>
      <c r="S977" s="36"/>
      <c r="V977" s="37"/>
      <c r="W977" s="32"/>
      <c r="X977" s="37" t="str">
        <f>IF(NOTA[[#This Row],[HARGA/ CTN]]="",NOTA[[#This Row],[JUMLAH_H]],NOTA[[#This Row],[HARGA/ CTN]]*IF(NOTA[[#This Row],[C]]="",0,NOTA[[#This Row],[C]]))</f>
        <v/>
      </c>
      <c r="Y977" s="37" t="str">
        <f>IF(NOTA[[#This Row],[JUMLAH]]="","",NOTA[[#This Row],[JUMLAH]]*NOTA[[#This Row],[DISC 1]])</f>
        <v/>
      </c>
      <c r="Z977" s="37" t="str">
        <f>IF(NOTA[[#This Row],[JUMLAH]]="","",(NOTA[[#This Row],[JUMLAH]]-NOTA[[#This Row],[DISC 1-]])*NOTA[[#This Row],[DISC 2]])</f>
        <v/>
      </c>
      <c r="AA977" s="37" t="str">
        <f>IF(NOTA[[#This Row],[JUMLAH]]="","",(NOTA[[#This Row],[JUMLAH]]-NOTA[[#This Row],[DISC 1-]]-NOTA[[#This Row],[DISC 2-]])*NOTA[[#This Row],[DISC 3]])</f>
        <v/>
      </c>
      <c r="AB977" s="37" t="str">
        <f>IF(NOTA[[#This Row],[JUMLAH]]="","",NOTA[[#This Row],[DISC 1-]]+NOTA[[#This Row],[DISC 2-]]+NOTA[[#This Row],[DISC 3-]])</f>
        <v/>
      </c>
      <c r="AC977" s="37" t="str">
        <f>IF(NOTA[[#This Row],[JUMLAH]]="","",NOTA[[#This Row],[JUMLAH]]-NOTA[[#This Row],[DISC]])</f>
        <v/>
      </c>
      <c r="AD977" s="37"/>
      <c r="AE9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7" s="37" t="str">
        <f>IF(OR(NOTA[[#This Row],[QTY]]="",NOTA[[#This Row],[HARGA SATUAN]]="",),"",NOTA[[#This Row],[QTY]]*NOTA[[#This Row],[HARGA SATUAN]])</f>
        <v/>
      </c>
      <c r="AI977" s="26" t="str">
        <f ca="1">IF(NOTA[[#This Row],[ID_H]]="","",INDEX(NOTA[TANGGAL],MATCH(,INDIRECT(ADDRESS(ROW(NOTA[TANGGAL]),COLUMN(NOTA[TANGGAL]))&amp;":"&amp;ADDRESS(ROW(),COLUMN(NOTA[TANGGAL]))),-1)))</f>
        <v/>
      </c>
      <c r="AJ977" s="26" t="str">
        <f ca="1">IF(NOTA[[#This Row],[ID_H]]="","",INDEX(NOTA[TGL.NOTA],MATCH(,INDIRECT(ADDRESS(ROW(NOTA[TGL.NOTA]),COLUMN(NOTA[TGL.NOTA]))&amp;":"&amp;ADDRESS(ROW(),COLUMN(NOTA[TGL.NOTA]))),-1)))</f>
        <v/>
      </c>
      <c r="AK977" s="26" t="str">
        <f ca="1">IF(NOTA[[#This Row],[ID_H]]="","",INDEX(NOTA[NO.NOTA],MATCH(NOTA[[#This Row],[ID_H]],NOTA[ID_H],0)))</f>
        <v/>
      </c>
      <c r="AL977" s="28" t="str">
        <f ca="1">IF(NOTA[[#This Row],[NAMA BARANG]]="","",INDEX(NOTA[SUPPLIER],MATCH(,INDIRECT(ADDRESS(ROW(NOTA[ID]),COLUMN(NOTA[ID]))&amp;":"&amp;ADDRESS(ROW(),COLUMN(NOTA[ID]))),-1)))</f>
        <v/>
      </c>
      <c r="AM977" s="28" t="str">
        <f ca="1">IF(NOTA[[#This Row],[ID_H]]="","",IF(NOTA[[#This Row],[FAKTUR]]="",INDIRECT(ADDRESS(ROW()-1,COLUMN())),NOTA[[#This Row],[FAKTUR]]))</f>
        <v/>
      </c>
      <c r="AN977" s="25" t="str">
        <f ca="1">IF(NOTA[[#This Row],[ID]]="","",COUNTIF(NOTA[ID_H],NOTA[[#This Row],[ID_H]]))</f>
        <v/>
      </c>
      <c r="AO977" s="25" t="str">
        <f ca="1">IF(NOTA[[#This Row],[TGL.NOTA]]="",IF(NOTA[[#This Row],[SUPPLIER_H]]="","",AO976),MONTH(NOTA[[#This Row],[TGL.NOTA]]))</f>
        <v/>
      </c>
      <c r="AP9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7" s="25"/>
      <c r="AU977" s="25" t="str">
        <f>IF(NOTA[[#This Row],[CONCAT1]]="","",MATCH(NOTA[[#This Row],[CONCAT1]],[3]!db[NB NOTA_C],0))</f>
        <v/>
      </c>
      <c r="AV977" s="25" t="str">
        <f>IF(NOTA[[#This Row],[QTY/ CTN]]="","",TRUE)</f>
        <v/>
      </c>
      <c r="AW977" s="25" t="str">
        <f ca="1">IF(NOTA[[#This Row],[ID_H]]="","",IF(NOTA[[#This Row],[Column3]]=TRUE,NOTA[[#This Row],[QTY/ CTN]],INDEX([3]!db[QTY/ CTN],NOTA[[#This Row],[//DB]])))</f>
        <v/>
      </c>
      <c r="AX9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7" s="25" t="str">
        <f ca="1">IF(NOTA[[#This Row],[ID_H]]="","",MATCH(NOTA[[#This Row],[NB NOTA_C_QTY]],[3]!db[NB NOTA_C_QTY+F],0))</f>
        <v/>
      </c>
      <c r="AZ977" s="38" t="str">
        <f ca="1">IF(NOTA[[#This Row],[NB NOTA_C_QTY]]="","",ROW()-2)</f>
        <v/>
      </c>
    </row>
    <row r="978" spans="1:52" ht="20.100000000000001" customHeight="1">
      <c r="A9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8" s="25" t="str">
        <f ca="1">IF(NOTA[[#This Row],[NAMA BARANG]]="","",INDEX(NOTA[ID],MATCH(,INDIRECT(ADDRESS(ROW(NOTA[ID]),COLUMN(NOTA[ID]))&amp;":"&amp;ADDRESS(ROW(),COLUMN(NOTA[ID]))),-1)))</f>
        <v/>
      </c>
      <c r="E978" s="33"/>
      <c r="H978" s="34"/>
      <c r="Q978" s="29"/>
      <c r="R978" s="35"/>
      <c r="S978" s="36"/>
      <c r="V978" s="37"/>
      <c r="W978" s="32"/>
      <c r="X978" s="37" t="str">
        <f>IF(NOTA[[#This Row],[HARGA/ CTN]]="",NOTA[[#This Row],[JUMLAH_H]],NOTA[[#This Row],[HARGA/ CTN]]*IF(NOTA[[#This Row],[C]]="",0,NOTA[[#This Row],[C]]))</f>
        <v/>
      </c>
      <c r="Y978" s="37" t="str">
        <f>IF(NOTA[[#This Row],[JUMLAH]]="","",NOTA[[#This Row],[JUMLAH]]*NOTA[[#This Row],[DISC 1]])</f>
        <v/>
      </c>
      <c r="Z978" s="37" t="str">
        <f>IF(NOTA[[#This Row],[JUMLAH]]="","",(NOTA[[#This Row],[JUMLAH]]-NOTA[[#This Row],[DISC 1-]])*NOTA[[#This Row],[DISC 2]])</f>
        <v/>
      </c>
      <c r="AA978" s="37" t="str">
        <f>IF(NOTA[[#This Row],[JUMLAH]]="","",(NOTA[[#This Row],[JUMLAH]]-NOTA[[#This Row],[DISC 1-]]-NOTA[[#This Row],[DISC 2-]])*NOTA[[#This Row],[DISC 3]])</f>
        <v/>
      </c>
      <c r="AB978" s="37" t="str">
        <f>IF(NOTA[[#This Row],[JUMLAH]]="","",NOTA[[#This Row],[DISC 1-]]+NOTA[[#This Row],[DISC 2-]]+NOTA[[#This Row],[DISC 3-]])</f>
        <v/>
      </c>
      <c r="AC978" s="37" t="str">
        <f>IF(NOTA[[#This Row],[JUMLAH]]="","",NOTA[[#This Row],[JUMLAH]]-NOTA[[#This Row],[DISC]])</f>
        <v/>
      </c>
      <c r="AD978" s="37"/>
      <c r="AE9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8" s="37" t="str">
        <f>IF(OR(NOTA[[#This Row],[QTY]]="",NOTA[[#This Row],[HARGA SATUAN]]="",),"",NOTA[[#This Row],[QTY]]*NOTA[[#This Row],[HARGA SATUAN]])</f>
        <v/>
      </c>
      <c r="AI978" s="26" t="str">
        <f ca="1">IF(NOTA[[#This Row],[ID_H]]="","",INDEX(NOTA[TANGGAL],MATCH(,INDIRECT(ADDRESS(ROW(NOTA[TANGGAL]),COLUMN(NOTA[TANGGAL]))&amp;":"&amp;ADDRESS(ROW(),COLUMN(NOTA[TANGGAL]))),-1)))</f>
        <v/>
      </c>
      <c r="AJ978" s="26" t="str">
        <f ca="1">IF(NOTA[[#This Row],[ID_H]]="","",INDEX(NOTA[TGL.NOTA],MATCH(,INDIRECT(ADDRESS(ROW(NOTA[TGL.NOTA]),COLUMN(NOTA[TGL.NOTA]))&amp;":"&amp;ADDRESS(ROW(),COLUMN(NOTA[TGL.NOTA]))),-1)))</f>
        <v/>
      </c>
      <c r="AK978" s="26" t="str">
        <f ca="1">IF(NOTA[[#This Row],[ID_H]]="","",INDEX(NOTA[NO.NOTA],MATCH(NOTA[[#This Row],[ID_H]],NOTA[ID_H],0)))</f>
        <v/>
      </c>
      <c r="AL978" s="28" t="str">
        <f ca="1">IF(NOTA[[#This Row],[NAMA BARANG]]="","",INDEX(NOTA[SUPPLIER],MATCH(,INDIRECT(ADDRESS(ROW(NOTA[ID]),COLUMN(NOTA[ID]))&amp;":"&amp;ADDRESS(ROW(),COLUMN(NOTA[ID]))),-1)))</f>
        <v/>
      </c>
      <c r="AM978" s="28" t="str">
        <f ca="1">IF(NOTA[[#This Row],[ID_H]]="","",IF(NOTA[[#This Row],[FAKTUR]]="",INDIRECT(ADDRESS(ROW()-1,COLUMN())),NOTA[[#This Row],[FAKTUR]]))</f>
        <v/>
      </c>
      <c r="AN978" s="25" t="str">
        <f ca="1">IF(NOTA[[#This Row],[ID]]="","",COUNTIF(NOTA[ID_H],NOTA[[#This Row],[ID_H]]))</f>
        <v/>
      </c>
      <c r="AO978" s="25" t="str">
        <f ca="1">IF(NOTA[[#This Row],[TGL.NOTA]]="",IF(NOTA[[#This Row],[SUPPLIER_H]]="","",AO977),MONTH(NOTA[[#This Row],[TGL.NOTA]]))</f>
        <v/>
      </c>
      <c r="AP9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8" s="25"/>
      <c r="AU978" s="25" t="str">
        <f>IF(NOTA[[#This Row],[CONCAT1]]="","",MATCH(NOTA[[#This Row],[CONCAT1]],[3]!db[NB NOTA_C],0))</f>
        <v/>
      </c>
      <c r="AV978" s="25" t="str">
        <f>IF(NOTA[[#This Row],[QTY/ CTN]]="","",TRUE)</f>
        <v/>
      </c>
      <c r="AW978" s="25" t="str">
        <f ca="1">IF(NOTA[[#This Row],[ID_H]]="","",IF(NOTA[[#This Row],[Column3]]=TRUE,NOTA[[#This Row],[QTY/ CTN]],INDEX([3]!db[QTY/ CTN],NOTA[[#This Row],[//DB]])))</f>
        <v/>
      </c>
      <c r="AX9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8" s="25" t="str">
        <f ca="1">IF(NOTA[[#This Row],[ID_H]]="","",MATCH(NOTA[[#This Row],[NB NOTA_C_QTY]],[3]!db[NB NOTA_C_QTY+F],0))</f>
        <v/>
      </c>
      <c r="AZ978" s="38" t="str">
        <f ca="1">IF(NOTA[[#This Row],[NB NOTA_C_QTY]]="","",ROW()-2)</f>
        <v/>
      </c>
    </row>
    <row r="979" spans="1:52" ht="20.100000000000001" customHeight="1">
      <c r="A9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9" s="25" t="str">
        <f ca="1">IF(NOTA[[#This Row],[NAMA BARANG]]="","",INDEX(NOTA[ID],MATCH(,INDIRECT(ADDRESS(ROW(NOTA[ID]),COLUMN(NOTA[ID]))&amp;":"&amp;ADDRESS(ROW(),COLUMN(NOTA[ID]))),-1)))</f>
        <v/>
      </c>
      <c r="E979" s="33"/>
      <c r="H979" s="34"/>
      <c r="Q979" s="29"/>
      <c r="R979" s="35"/>
      <c r="S979" s="36"/>
      <c r="V979" s="37"/>
      <c r="W979" s="32"/>
      <c r="X979" s="37" t="str">
        <f>IF(NOTA[[#This Row],[HARGA/ CTN]]="",NOTA[[#This Row],[JUMLAH_H]],NOTA[[#This Row],[HARGA/ CTN]]*IF(NOTA[[#This Row],[C]]="",0,NOTA[[#This Row],[C]]))</f>
        <v/>
      </c>
      <c r="Y979" s="37" t="str">
        <f>IF(NOTA[[#This Row],[JUMLAH]]="","",NOTA[[#This Row],[JUMLAH]]*NOTA[[#This Row],[DISC 1]])</f>
        <v/>
      </c>
      <c r="Z979" s="37" t="str">
        <f>IF(NOTA[[#This Row],[JUMLAH]]="","",(NOTA[[#This Row],[JUMLAH]]-NOTA[[#This Row],[DISC 1-]])*NOTA[[#This Row],[DISC 2]])</f>
        <v/>
      </c>
      <c r="AA979" s="37" t="str">
        <f>IF(NOTA[[#This Row],[JUMLAH]]="","",(NOTA[[#This Row],[JUMLAH]]-NOTA[[#This Row],[DISC 1-]]-NOTA[[#This Row],[DISC 2-]])*NOTA[[#This Row],[DISC 3]])</f>
        <v/>
      </c>
      <c r="AB979" s="37" t="str">
        <f>IF(NOTA[[#This Row],[JUMLAH]]="","",NOTA[[#This Row],[DISC 1-]]+NOTA[[#This Row],[DISC 2-]]+NOTA[[#This Row],[DISC 3-]])</f>
        <v/>
      </c>
      <c r="AC979" s="37" t="str">
        <f>IF(NOTA[[#This Row],[JUMLAH]]="","",NOTA[[#This Row],[JUMLAH]]-NOTA[[#This Row],[DISC]])</f>
        <v/>
      </c>
      <c r="AD979" s="37"/>
      <c r="AE9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9" s="37" t="str">
        <f>IF(OR(NOTA[[#This Row],[QTY]]="",NOTA[[#This Row],[HARGA SATUAN]]="",),"",NOTA[[#This Row],[QTY]]*NOTA[[#This Row],[HARGA SATUAN]])</f>
        <v/>
      </c>
      <c r="AI979" s="26" t="str">
        <f ca="1">IF(NOTA[[#This Row],[ID_H]]="","",INDEX(NOTA[TANGGAL],MATCH(,INDIRECT(ADDRESS(ROW(NOTA[TANGGAL]),COLUMN(NOTA[TANGGAL]))&amp;":"&amp;ADDRESS(ROW(),COLUMN(NOTA[TANGGAL]))),-1)))</f>
        <v/>
      </c>
      <c r="AJ979" s="26" t="str">
        <f ca="1">IF(NOTA[[#This Row],[ID_H]]="","",INDEX(NOTA[TGL.NOTA],MATCH(,INDIRECT(ADDRESS(ROW(NOTA[TGL.NOTA]),COLUMN(NOTA[TGL.NOTA]))&amp;":"&amp;ADDRESS(ROW(),COLUMN(NOTA[TGL.NOTA]))),-1)))</f>
        <v/>
      </c>
      <c r="AK979" s="26" t="str">
        <f ca="1">IF(NOTA[[#This Row],[ID_H]]="","",INDEX(NOTA[NO.NOTA],MATCH(NOTA[[#This Row],[ID_H]],NOTA[ID_H],0)))</f>
        <v/>
      </c>
      <c r="AL979" s="28" t="str">
        <f ca="1">IF(NOTA[[#This Row],[NAMA BARANG]]="","",INDEX(NOTA[SUPPLIER],MATCH(,INDIRECT(ADDRESS(ROW(NOTA[ID]),COLUMN(NOTA[ID]))&amp;":"&amp;ADDRESS(ROW(),COLUMN(NOTA[ID]))),-1)))</f>
        <v/>
      </c>
      <c r="AM979" s="28" t="str">
        <f ca="1">IF(NOTA[[#This Row],[ID_H]]="","",IF(NOTA[[#This Row],[FAKTUR]]="",INDIRECT(ADDRESS(ROW()-1,COLUMN())),NOTA[[#This Row],[FAKTUR]]))</f>
        <v/>
      </c>
      <c r="AN979" s="25" t="str">
        <f ca="1">IF(NOTA[[#This Row],[ID]]="","",COUNTIF(NOTA[ID_H],NOTA[[#This Row],[ID_H]]))</f>
        <v/>
      </c>
      <c r="AO979" s="25" t="str">
        <f ca="1">IF(NOTA[[#This Row],[TGL.NOTA]]="",IF(NOTA[[#This Row],[SUPPLIER_H]]="","",AO978),MONTH(NOTA[[#This Row],[TGL.NOTA]]))</f>
        <v/>
      </c>
      <c r="AP9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9" s="25"/>
      <c r="AU979" s="25" t="str">
        <f>IF(NOTA[[#This Row],[CONCAT1]]="","",MATCH(NOTA[[#This Row],[CONCAT1]],[3]!db[NB NOTA_C],0))</f>
        <v/>
      </c>
      <c r="AV979" s="25" t="str">
        <f>IF(NOTA[[#This Row],[QTY/ CTN]]="","",TRUE)</f>
        <v/>
      </c>
      <c r="AW979" s="25" t="str">
        <f ca="1">IF(NOTA[[#This Row],[ID_H]]="","",IF(NOTA[[#This Row],[Column3]]=TRUE,NOTA[[#This Row],[QTY/ CTN]],INDEX([3]!db[QTY/ CTN],NOTA[[#This Row],[//DB]])))</f>
        <v/>
      </c>
      <c r="AX9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9" s="25" t="str">
        <f ca="1">IF(NOTA[[#This Row],[ID_H]]="","",MATCH(NOTA[[#This Row],[NB NOTA_C_QTY]],[3]!db[NB NOTA_C_QTY+F],0))</f>
        <v/>
      </c>
      <c r="AZ979" s="38" t="str">
        <f ca="1">IF(NOTA[[#This Row],[NB NOTA_C_QTY]]="","",ROW()-2)</f>
        <v/>
      </c>
    </row>
    <row r="980" spans="1:52" ht="20.100000000000001" customHeight="1">
      <c r="A9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0" s="25" t="str">
        <f ca="1">IF(NOTA[[#This Row],[NAMA BARANG]]="","",INDEX(NOTA[ID],MATCH(,INDIRECT(ADDRESS(ROW(NOTA[ID]),COLUMN(NOTA[ID]))&amp;":"&amp;ADDRESS(ROW(),COLUMN(NOTA[ID]))),-1)))</f>
        <v/>
      </c>
      <c r="E980" s="33"/>
      <c r="H980" s="34"/>
      <c r="Q980" s="29"/>
      <c r="R980" s="35"/>
      <c r="S980" s="36"/>
      <c r="V980" s="37"/>
      <c r="W980" s="32"/>
      <c r="X980" s="37" t="str">
        <f>IF(NOTA[[#This Row],[HARGA/ CTN]]="",NOTA[[#This Row],[JUMLAH_H]],NOTA[[#This Row],[HARGA/ CTN]]*IF(NOTA[[#This Row],[C]]="",0,NOTA[[#This Row],[C]]))</f>
        <v/>
      </c>
      <c r="Y980" s="37" t="str">
        <f>IF(NOTA[[#This Row],[JUMLAH]]="","",NOTA[[#This Row],[JUMLAH]]*NOTA[[#This Row],[DISC 1]])</f>
        <v/>
      </c>
      <c r="Z980" s="37" t="str">
        <f>IF(NOTA[[#This Row],[JUMLAH]]="","",(NOTA[[#This Row],[JUMLAH]]-NOTA[[#This Row],[DISC 1-]])*NOTA[[#This Row],[DISC 2]])</f>
        <v/>
      </c>
      <c r="AA980" s="37" t="str">
        <f>IF(NOTA[[#This Row],[JUMLAH]]="","",(NOTA[[#This Row],[JUMLAH]]-NOTA[[#This Row],[DISC 1-]]-NOTA[[#This Row],[DISC 2-]])*NOTA[[#This Row],[DISC 3]])</f>
        <v/>
      </c>
      <c r="AB980" s="37" t="str">
        <f>IF(NOTA[[#This Row],[JUMLAH]]="","",NOTA[[#This Row],[DISC 1-]]+NOTA[[#This Row],[DISC 2-]]+NOTA[[#This Row],[DISC 3-]])</f>
        <v/>
      </c>
      <c r="AC980" s="37" t="str">
        <f>IF(NOTA[[#This Row],[JUMLAH]]="","",NOTA[[#This Row],[JUMLAH]]-NOTA[[#This Row],[DISC]])</f>
        <v/>
      </c>
      <c r="AD980" s="37"/>
      <c r="AE9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0" s="37" t="str">
        <f>IF(OR(NOTA[[#This Row],[QTY]]="",NOTA[[#This Row],[HARGA SATUAN]]="",),"",NOTA[[#This Row],[QTY]]*NOTA[[#This Row],[HARGA SATUAN]])</f>
        <v/>
      </c>
      <c r="AI980" s="26" t="str">
        <f ca="1">IF(NOTA[[#This Row],[ID_H]]="","",INDEX(NOTA[TANGGAL],MATCH(,INDIRECT(ADDRESS(ROW(NOTA[TANGGAL]),COLUMN(NOTA[TANGGAL]))&amp;":"&amp;ADDRESS(ROW(),COLUMN(NOTA[TANGGAL]))),-1)))</f>
        <v/>
      </c>
      <c r="AJ980" s="26" t="str">
        <f ca="1">IF(NOTA[[#This Row],[ID_H]]="","",INDEX(NOTA[TGL.NOTA],MATCH(,INDIRECT(ADDRESS(ROW(NOTA[TGL.NOTA]),COLUMN(NOTA[TGL.NOTA]))&amp;":"&amp;ADDRESS(ROW(),COLUMN(NOTA[TGL.NOTA]))),-1)))</f>
        <v/>
      </c>
      <c r="AK980" s="26" t="str">
        <f ca="1">IF(NOTA[[#This Row],[ID_H]]="","",INDEX(NOTA[NO.NOTA],MATCH(NOTA[[#This Row],[ID_H]],NOTA[ID_H],0)))</f>
        <v/>
      </c>
      <c r="AL980" s="28" t="str">
        <f ca="1">IF(NOTA[[#This Row],[NAMA BARANG]]="","",INDEX(NOTA[SUPPLIER],MATCH(,INDIRECT(ADDRESS(ROW(NOTA[ID]),COLUMN(NOTA[ID]))&amp;":"&amp;ADDRESS(ROW(),COLUMN(NOTA[ID]))),-1)))</f>
        <v/>
      </c>
      <c r="AM980" s="28" t="str">
        <f ca="1">IF(NOTA[[#This Row],[ID_H]]="","",IF(NOTA[[#This Row],[FAKTUR]]="",INDIRECT(ADDRESS(ROW()-1,COLUMN())),NOTA[[#This Row],[FAKTUR]]))</f>
        <v/>
      </c>
      <c r="AN980" s="25" t="str">
        <f ca="1">IF(NOTA[[#This Row],[ID]]="","",COUNTIF(NOTA[ID_H],NOTA[[#This Row],[ID_H]]))</f>
        <v/>
      </c>
      <c r="AO980" s="25" t="str">
        <f ca="1">IF(NOTA[[#This Row],[TGL.NOTA]]="",IF(NOTA[[#This Row],[SUPPLIER_H]]="","",AO979),MONTH(NOTA[[#This Row],[TGL.NOTA]]))</f>
        <v/>
      </c>
      <c r="AP9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0" s="25"/>
      <c r="AU980" s="25" t="str">
        <f>IF(NOTA[[#This Row],[CONCAT1]]="","",MATCH(NOTA[[#This Row],[CONCAT1]],[3]!db[NB NOTA_C],0))</f>
        <v/>
      </c>
      <c r="AV980" s="25" t="str">
        <f>IF(NOTA[[#This Row],[QTY/ CTN]]="","",TRUE)</f>
        <v/>
      </c>
      <c r="AW980" s="25" t="str">
        <f ca="1">IF(NOTA[[#This Row],[ID_H]]="","",IF(NOTA[[#This Row],[Column3]]=TRUE,NOTA[[#This Row],[QTY/ CTN]],INDEX([3]!db[QTY/ CTN],NOTA[[#This Row],[//DB]])))</f>
        <v/>
      </c>
      <c r="AX9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0" s="25" t="str">
        <f ca="1">IF(NOTA[[#This Row],[ID_H]]="","",MATCH(NOTA[[#This Row],[NB NOTA_C_QTY]],[3]!db[NB NOTA_C_QTY+F],0))</f>
        <v/>
      </c>
      <c r="AZ980" s="38" t="str">
        <f ca="1">IF(NOTA[[#This Row],[NB NOTA_C_QTY]]="","",ROW()-2)</f>
        <v/>
      </c>
    </row>
    <row r="981" spans="1:52" ht="20.100000000000001" customHeight="1">
      <c r="A9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1" s="25" t="str">
        <f ca="1">IF(NOTA[[#This Row],[NAMA BARANG]]="","",INDEX(NOTA[ID],MATCH(,INDIRECT(ADDRESS(ROW(NOTA[ID]),COLUMN(NOTA[ID]))&amp;":"&amp;ADDRESS(ROW(),COLUMN(NOTA[ID]))),-1)))</f>
        <v/>
      </c>
      <c r="E981" s="33"/>
      <c r="H981" s="34"/>
      <c r="Q981" s="29"/>
      <c r="R981" s="35"/>
      <c r="S981" s="36"/>
      <c r="V981" s="37"/>
      <c r="W981" s="32"/>
      <c r="X981" s="37" t="str">
        <f>IF(NOTA[[#This Row],[HARGA/ CTN]]="",NOTA[[#This Row],[JUMLAH_H]],NOTA[[#This Row],[HARGA/ CTN]]*IF(NOTA[[#This Row],[C]]="",0,NOTA[[#This Row],[C]]))</f>
        <v/>
      </c>
      <c r="Y981" s="37" t="str">
        <f>IF(NOTA[[#This Row],[JUMLAH]]="","",NOTA[[#This Row],[JUMLAH]]*NOTA[[#This Row],[DISC 1]])</f>
        <v/>
      </c>
      <c r="Z981" s="37" t="str">
        <f>IF(NOTA[[#This Row],[JUMLAH]]="","",(NOTA[[#This Row],[JUMLAH]]-NOTA[[#This Row],[DISC 1-]])*NOTA[[#This Row],[DISC 2]])</f>
        <v/>
      </c>
      <c r="AA981" s="37" t="str">
        <f>IF(NOTA[[#This Row],[JUMLAH]]="","",(NOTA[[#This Row],[JUMLAH]]-NOTA[[#This Row],[DISC 1-]]-NOTA[[#This Row],[DISC 2-]])*NOTA[[#This Row],[DISC 3]])</f>
        <v/>
      </c>
      <c r="AB981" s="37" t="str">
        <f>IF(NOTA[[#This Row],[JUMLAH]]="","",NOTA[[#This Row],[DISC 1-]]+NOTA[[#This Row],[DISC 2-]]+NOTA[[#This Row],[DISC 3-]])</f>
        <v/>
      </c>
      <c r="AC981" s="37" t="str">
        <f>IF(NOTA[[#This Row],[JUMLAH]]="","",NOTA[[#This Row],[JUMLAH]]-NOTA[[#This Row],[DISC]])</f>
        <v/>
      </c>
      <c r="AD981" s="37"/>
      <c r="AE9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1" s="37" t="str">
        <f>IF(OR(NOTA[[#This Row],[QTY]]="",NOTA[[#This Row],[HARGA SATUAN]]="",),"",NOTA[[#This Row],[QTY]]*NOTA[[#This Row],[HARGA SATUAN]])</f>
        <v/>
      </c>
      <c r="AI981" s="26" t="str">
        <f ca="1">IF(NOTA[[#This Row],[ID_H]]="","",INDEX(NOTA[TANGGAL],MATCH(,INDIRECT(ADDRESS(ROW(NOTA[TANGGAL]),COLUMN(NOTA[TANGGAL]))&amp;":"&amp;ADDRESS(ROW(),COLUMN(NOTA[TANGGAL]))),-1)))</f>
        <v/>
      </c>
      <c r="AJ981" s="26" t="str">
        <f ca="1">IF(NOTA[[#This Row],[ID_H]]="","",INDEX(NOTA[TGL.NOTA],MATCH(,INDIRECT(ADDRESS(ROW(NOTA[TGL.NOTA]),COLUMN(NOTA[TGL.NOTA]))&amp;":"&amp;ADDRESS(ROW(),COLUMN(NOTA[TGL.NOTA]))),-1)))</f>
        <v/>
      </c>
      <c r="AK981" s="26" t="str">
        <f ca="1">IF(NOTA[[#This Row],[ID_H]]="","",INDEX(NOTA[NO.NOTA],MATCH(NOTA[[#This Row],[ID_H]],NOTA[ID_H],0)))</f>
        <v/>
      </c>
      <c r="AL981" s="28" t="str">
        <f ca="1">IF(NOTA[[#This Row],[NAMA BARANG]]="","",INDEX(NOTA[SUPPLIER],MATCH(,INDIRECT(ADDRESS(ROW(NOTA[ID]),COLUMN(NOTA[ID]))&amp;":"&amp;ADDRESS(ROW(),COLUMN(NOTA[ID]))),-1)))</f>
        <v/>
      </c>
      <c r="AM981" s="28" t="str">
        <f ca="1">IF(NOTA[[#This Row],[ID_H]]="","",IF(NOTA[[#This Row],[FAKTUR]]="",INDIRECT(ADDRESS(ROW()-1,COLUMN())),NOTA[[#This Row],[FAKTUR]]))</f>
        <v/>
      </c>
      <c r="AN981" s="25" t="str">
        <f ca="1">IF(NOTA[[#This Row],[ID]]="","",COUNTIF(NOTA[ID_H],NOTA[[#This Row],[ID_H]]))</f>
        <v/>
      </c>
      <c r="AO981" s="25" t="str">
        <f ca="1">IF(NOTA[[#This Row],[TGL.NOTA]]="",IF(NOTA[[#This Row],[SUPPLIER_H]]="","",AO980),MONTH(NOTA[[#This Row],[TGL.NOTA]]))</f>
        <v/>
      </c>
      <c r="AP9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1" s="25"/>
      <c r="AU981" s="25" t="str">
        <f>IF(NOTA[[#This Row],[CONCAT1]]="","",MATCH(NOTA[[#This Row],[CONCAT1]],[3]!db[NB NOTA_C],0))</f>
        <v/>
      </c>
      <c r="AV981" s="25" t="str">
        <f>IF(NOTA[[#This Row],[QTY/ CTN]]="","",TRUE)</f>
        <v/>
      </c>
      <c r="AW981" s="25" t="str">
        <f ca="1">IF(NOTA[[#This Row],[ID_H]]="","",IF(NOTA[[#This Row],[Column3]]=TRUE,NOTA[[#This Row],[QTY/ CTN]],INDEX([3]!db[QTY/ CTN],NOTA[[#This Row],[//DB]])))</f>
        <v/>
      </c>
      <c r="AX9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1" s="25" t="str">
        <f ca="1">IF(NOTA[[#This Row],[ID_H]]="","",MATCH(NOTA[[#This Row],[NB NOTA_C_QTY]],[3]!db[NB NOTA_C_QTY+F],0))</f>
        <v/>
      </c>
      <c r="AZ981" s="38" t="str">
        <f ca="1">IF(NOTA[[#This Row],[NB NOTA_C_QTY]]="","",ROW()-2)</f>
        <v/>
      </c>
    </row>
    <row r="982" spans="1:52" ht="20.100000000000001" customHeight="1">
      <c r="A9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2" s="25" t="str">
        <f ca="1">IF(NOTA[[#This Row],[NAMA BARANG]]="","",INDEX(NOTA[ID],MATCH(,INDIRECT(ADDRESS(ROW(NOTA[ID]),COLUMN(NOTA[ID]))&amp;":"&amp;ADDRESS(ROW(),COLUMN(NOTA[ID]))),-1)))</f>
        <v/>
      </c>
      <c r="E982" s="33"/>
      <c r="H982" s="34"/>
      <c r="Q982" s="29"/>
      <c r="R982" s="35"/>
      <c r="S982" s="36"/>
      <c r="V982" s="37"/>
      <c r="W982" s="32"/>
      <c r="X982" s="37" t="str">
        <f>IF(NOTA[[#This Row],[HARGA/ CTN]]="",NOTA[[#This Row],[JUMLAH_H]],NOTA[[#This Row],[HARGA/ CTN]]*IF(NOTA[[#This Row],[C]]="",0,NOTA[[#This Row],[C]]))</f>
        <v/>
      </c>
      <c r="Y982" s="37" t="str">
        <f>IF(NOTA[[#This Row],[JUMLAH]]="","",NOTA[[#This Row],[JUMLAH]]*NOTA[[#This Row],[DISC 1]])</f>
        <v/>
      </c>
      <c r="Z982" s="37" t="str">
        <f>IF(NOTA[[#This Row],[JUMLAH]]="","",(NOTA[[#This Row],[JUMLAH]]-NOTA[[#This Row],[DISC 1-]])*NOTA[[#This Row],[DISC 2]])</f>
        <v/>
      </c>
      <c r="AA982" s="37" t="str">
        <f>IF(NOTA[[#This Row],[JUMLAH]]="","",(NOTA[[#This Row],[JUMLAH]]-NOTA[[#This Row],[DISC 1-]]-NOTA[[#This Row],[DISC 2-]])*NOTA[[#This Row],[DISC 3]])</f>
        <v/>
      </c>
      <c r="AB982" s="37" t="str">
        <f>IF(NOTA[[#This Row],[JUMLAH]]="","",NOTA[[#This Row],[DISC 1-]]+NOTA[[#This Row],[DISC 2-]]+NOTA[[#This Row],[DISC 3-]])</f>
        <v/>
      </c>
      <c r="AC982" s="37" t="str">
        <f>IF(NOTA[[#This Row],[JUMLAH]]="","",NOTA[[#This Row],[JUMLAH]]-NOTA[[#This Row],[DISC]])</f>
        <v/>
      </c>
      <c r="AD982" s="37"/>
      <c r="AE9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2" s="37" t="str">
        <f>IF(OR(NOTA[[#This Row],[QTY]]="",NOTA[[#This Row],[HARGA SATUAN]]="",),"",NOTA[[#This Row],[QTY]]*NOTA[[#This Row],[HARGA SATUAN]])</f>
        <v/>
      </c>
      <c r="AI982" s="26" t="str">
        <f ca="1">IF(NOTA[[#This Row],[ID_H]]="","",INDEX(NOTA[TANGGAL],MATCH(,INDIRECT(ADDRESS(ROW(NOTA[TANGGAL]),COLUMN(NOTA[TANGGAL]))&amp;":"&amp;ADDRESS(ROW(),COLUMN(NOTA[TANGGAL]))),-1)))</f>
        <v/>
      </c>
      <c r="AJ982" s="26" t="str">
        <f ca="1">IF(NOTA[[#This Row],[ID_H]]="","",INDEX(NOTA[TGL.NOTA],MATCH(,INDIRECT(ADDRESS(ROW(NOTA[TGL.NOTA]),COLUMN(NOTA[TGL.NOTA]))&amp;":"&amp;ADDRESS(ROW(),COLUMN(NOTA[TGL.NOTA]))),-1)))</f>
        <v/>
      </c>
      <c r="AK982" s="26" t="str">
        <f ca="1">IF(NOTA[[#This Row],[ID_H]]="","",INDEX(NOTA[NO.NOTA],MATCH(NOTA[[#This Row],[ID_H]],NOTA[ID_H],0)))</f>
        <v/>
      </c>
      <c r="AL982" s="28" t="str">
        <f ca="1">IF(NOTA[[#This Row],[NAMA BARANG]]="","",INDEX(NOTA[SUPPLIER],MATCH(,INDIRECT(ADDRESS(ROW(NOTA[ID]),COLUMN(NOTA[ID]))&amp;":"&amp;ADDRESS(ROW(),COLUMN(NOTA[ID]))),-1)))</f>
        <v/>
      </c>
      <c r="AM982" s="28" t="str">
        <f ca="1">IF(NOTA[[#This Row],[ID_H]]="","",IF(NOTA[[#This Row],[FAKTUR]]="",INDIRECT(ADDRESS(ROW()-1,COLUMN())),NOTA[[#This Row],[FAKTUR]]))</f>
        <v/>
      </c>
      <c r="AN982" s="25" t="str">
        <f ca="1">IF(NOTA[[#This Row],[ID]]="","",COUNTIF(NOTA[ID_H],NOTA[[#This Row],[ID_H]]))</f>
        <v/>
      </c>
      <c r="AO982" s="25" t="str">
        <f ca="1">IF(NOTA[[#This Row],[TGL.NOTA]]="",IF(NOTA[[#This Row],[SUPPLIER_H]]="","",AO981),MONTH(NOTA[[#This Row],[TGL.NOTA]]))</f>
        <v/>
      </c>
      <c r="AP9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2" s="25"/>
      <c r="AU982" s="25" t="str">
        <f>IF(NOTA[[#This Row],[CONCAT1]]="","",MATCH(NOTA[[#This Row],[CONCAT1]],[3]!db[NB NOTA_C],0))</f>
        <v/>
      </c>
      <c r="AV982" s="25" t="str">
        <f>IF(NOTA[[#This Row],[QTY/ CTN]]="","",TRUE)</f>
        <v/>
      </c>
      <c r="AW982" s="25" t="str">
        <f ca="1">IF(NOTA[[#This Row],[ID_H]]="","",IF(NOTA[[#This Row],[Column3]]=TRUE,NOTA[[#This Row],[QTY/ CTN]],INDEX([3]!db[QTY/ CTN],NOTA[[#This Row],[//DB]])))</f>
        <v/>
      </c>
      <c r="AX9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2" s="25" t="str">
        <f ca="1">IF(NOTA[[#This Row],[ID_H]]="","",MATCH(NOTA[[#This Row],[NB NOTA_C_QTY]],[3]!db[NB NOTA_C_QTY+F],0))</f>
        <v/>
      </c>
      <c r="AZ982" s="38" t="str">
        <f ca="1">IF(NOTA[[#This Row],[NB NOTA_C_QTY]]="","",ROW()-2)</f>
        <v/>
      </c>
    </row>
    <row r="983" spans="1:52" ht="20.100000000000001" customHeight="1">
      <c r="A9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3" s="25" t="str">
        <f ca="1">IF(NOTA[[#This Row],[NAMA BARANG]]="","",INDEX(NOTA[ID],MATCH(,INDIRECT(ADDRESS(ROW(NOTA[ID]),COLUMN(NOTA[ID]))&amp;":"&amp;ADDRESS(ROW(),COLUMN(NOTA[ID]))),-1)))</f>
        <v/>
      </c>
      <c r="E983" s="33"/>
      <c r="H983" s="34"/>
      <c r="Q983" s="29"/>
      <c r="R983" s="35"/>
      <c r="S983" s="36"/>
      <c r="V983" s="37"/>
      <c r="W983" s="32"/>
      <c r="X983" s="37" t="str">
        <f>IF(NOTA[[#This Row],[HARGA/ CTN]]="",NOTA[[#This Row],[JUMLAH_H]],NOTA[[#This Row],[HARGA/ CTN]]*IF(NOTA[[#This Row],[C]]="",0,NOTA[[#This Row],[C]]))</f>
        <v/>
      </c>
      <c r="Y983" s="37" t="str">
        <f>IF(NOTA[[#This Row],[JUMLAH]]="","",NOTA[[#This Row],[JUMLAH]]*NOTA[[#This Row],[DISC 1]])</f>
        <v/>
      </c>
      <c r="Z983" s="37" t="str">
        <f>IF(NOTA[[#This Row],[JUMLAH]]="","",(NOTA[[#This Row],[JUMLAH]]-NOTA[[#This Row],[DISC 1-]])*NOTA[[#This Row],[DISC 2]])</f>
        <v/>
      </c>
      <c r="AA983" s="37" t="str">
        <f>IF(NOTA[[#This Row],[JUMLAH]]="","",(NOTA[[#This Row],[JUMLAH]]-NOTA[[#This Row],[DISC 1-]]-NOTA[[#This Row],[DISC 2-]])*NOTA[[#This Row],[DISC 3]])</f>
        <v/>
      </c>
      <c r="AB983" s="37" t="str">
        <f>IF(NOTA[[#This Row],[JUMLAH]]="","",NOTA[[#This Row],[DISC 1-]]+NOTA[[#This Row],[DISC 2-]]+NOTA[[#This Row],[DISC 3-]])</f>
        <v/>
      </c>
      <c r="AC983" s="37" t="str">
        <f>IF(NOTA[[#This Row],[JUMLAH]]="","",NOTA[[#This Row],[JUMLAH]]-NOTA[[#This Row],[DISC]])</f>
        <v/>
      </c>
      <c r="AD983" s="37"/>
      <c r="AE9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3" s="37" t="str">
        <f>IF(OR(NOTA[[#This Row],[QTY]]="",NOTA[[#This Row],[HARGA SATUAN]]="",),"",NOTA[[#This Row],[QTY]]*NOTA[[#This Row],[HARGA SATUAN]])</f>
        <v/>
      </c>
      <c r="AI983" s="26" t="str">
        <f ca="1">IF(NOTA[[#This Row],[ID_H]]="","",INDEX(NOTA[TANGGAL],MATCH(,INDIRECT(ADDRESS(ROW(NOTA[TANGGAL]),COLUMN(NOTA[TANGGAL]))&amp;":"&amp;ADDRESS(ROW(),COLUMN(NOTA[TANGGAL]))),-1)))</f>
        <v/>
      </c>
      <c r="AJ983" s="26" t="str">
        <f ca="1">IF(NOTA[[#This Row],[ID_H]]="","",INDEX(NOTA[TGL.NOTA],MATCH(,INDIRECT(ADDRESS(ROW(NOTA[TGL.NOTA]),COLUMN(NOTA[TGL.NOTA]))&amp;":"&amp;ADDRESS(ROW(),COLUMN(NOTA[TGL.NOTA]))),-1)))</f>
        <v/>
      </c>
      <c r="AK983" s="26" t="str">
        <f ca="1">IF(NOTA[[#This Row],[ID_H]]="","",INDEX(NOTA[NO.NOTA],MATCH(NOTA[[#This Row],[ID_H]],NOTA[ID_H],0)))</f>
        <v/>
      </c>
      <c r="AL983" s="28" t="str">
        <f ca="1">IF(NOTA[[#This Row],[NAMA BARANG]]="","",INDEX(NOTA[SUPPLIER],MATCH(,INDIRECT(ADDRESS(ROW(NOTA[ID]),COLUMN(NOTA[ID]))&amp;":"&amp;ADDRESS(ROW(),COLUMN(NOTA[ID]))),-1)))</f>
        <v/>
      </c>
      <c r="AM983" s="28" t="str">
        <f ca="1">IF(NOTA[[#This Row],[ID_H]]="","",IF(NOTA[[#This Row],[FAKTUR]]="",INDIRECT(ADDRESS(ROW()-1,COLUMN())),NOTA[[#This Row],[FAKTUR]]))</f>
        <v/>
      </c>
      <c r="AN983" s="25" t="str">
        <f ca="1">IF(NOTA[[#This Row],[ID]]="","",COUNTIF(NOTA[ID_H],NOTA[[#This Row],[ID_H]]))</f>
        <v/>
      </c>
      <c r="AO983" s="25" t="str">
        <f ca="1">IF(NOTA[[#This Row],[TGL.NOTA]]="",IF(NOTA[[#This Row],[SUPPLIER_H]]="","",AO982),MONTH(NOTA[[#This Row],[TGL.NOTA]]))</f>
        <v/>
      </c>
      <c r="AP9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3" s="25"/>
      <c r="AU983" s="25" t="str">
        <f>IF(NOTA[[#This Row],[CONCAT1]]="","",MATCH(NOTA[[#This Row],[CONCAT1]],[3]!db[NB NOTA_C],0))</f>
        <v/>
      </c>
      <c r="AV983" s="25" t="str">
        <f>IF(NOTA[[#This Row],[QTY/ CTN]]="","",TRUE)</f>
        <v/>
      </c>
      <c r="AW983" s="25" t="str">
        <f ca="1">IF(NOTA[[#This Row],[ID_H]]="","",IF(NOTA[[#This Row],[Column3]]=TRUE,NOTA[[#This Row],[QTY/ CTN]],INDEX([3]!db[QTY/ CTN],NOTA[[#This Row],[//DB]])))</f>
        <v/>
      </c>
      <c r="AX9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3" s="25" t="str">
        <f ca="1">IF(NOTA[[#This Row],[ID_H]]="","",MATCH(NOTA[[#This Row],[NB NOTA_C_QTY]],[3]!db[NB NOTA_C_QTY+F],0))</f>
        <v/>
      </c>
      <c r="AZ983" s="38" t="str">
        <f ca="1">IF(NOTA[[#This Row],[NB NOTA_C_QTY]]="","",ROW()-2)</f>
        <v/>
      </c>
    </row>
    <row r="984" spans="1:52" ht="20.100000000000001" customHeight="1">
      <c r="A9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4" s="25" t="str">
        <f ca="1">IF(NOTA[[#This Row],[NAMA BARANG]]="","",INDEX(NOTA[ID],MATCH(,INDIRECT(ADDRESS(ROW(NOTA[ID]),COLUMN(NOTA[ID]))&amp;":"&amp;ADDRESS(ROW(),COLUMN(NOTA[ID]))),-1)))</f>
        <v/>
      </c>
      <c r="E984" s="33"/>
      <c r="H984" s="34"/>
      <c r="Q984" s="29"/>
      <c r="R984" s="35"/>
      <c r="S984" s="36"/>
      <c r="V984" s="37"/>
      <c r="W984" s="32"/>
      <c r="X984" s="37" t="str">
        <f>IF(NOTA[[#This Row],[HARGA/ CTN]]="",NOTA[[#This Row],[JUMLAH_H]],NOTA[[#This Row],[HARGA/ CTN]]*IF(NOTA[[#This Row],[C]]="",0,NOTA[[#This Row],[C]]))</f>
        <v/>
      </c>
      <c r="Y984" s="37" t="str">
        <f>IF(NOTA[[#This Row],[JUMLAH]]="","",NOTA[[#This Row],[JUMLAH]]*NOTA[[#This Row],[DISC 1]])</f>
        <v/>
      </c>
      <c r="Z984" s="37" t="str">
        <f>IF(NOTA[[#This Row],[JUMLAH]]="","",(NOTA[[#This Row],[JUMLAH]]-NOTA[[#This Row],[DISC 1-]])*NOTA[[#This Row],[DISC 2]])</f>
        <v/>
      </c>
      <c r="AA984" s="37" t="str">
        <f>IF(NOTA[[#This Row],[JUMLAH]]="","",(NOTA[[#This Row],[JUMLAH]]-NOTA[[#This Row],[DISC 1-]]-NOTA[[#This Row],[DISC 2-]])*NOTA[[#This Row],[DISC 3]])</f>
        <v/>
      </c>
      <c r="AB984" s="37" t="str">
        <f>IF(NOTA[[#This Row],[JUMLAH]]="","",NOTA[[#This Row],[DISC 1-]]+NOTA[[#This Row],[DISC 2-]]+NOTA[[#This Row],[DISC 3-]])</f>
        <v/>
      </c>
      <c r="AC984" s="37" t="str">
        <f>IF(NOTA[[#This Row],[JUMLAH]]="","",NOTA[[#This Row],[JUMLAH]]-NOTA[[#This Row],[DISC]])</f>
        <v/>
      </c>
      <c r="AD984" s="37"/>
      <c r="AE9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4" s="37" t="str">
        <f>IF(OR(NOTA[[#This Row],[QTY]]="",NOTA[[#This Row],[HARGA SATUAN]]="",),"",NOTA[[#This Row],[QTY]]*NOTA[[#This Row],[HARGA SATUAN]])</f>
        <v/>
      </c>
      <c r="AI984" s="26" t="str">
        <f ca="1">IF(NOTA[[#This Row],[ID_H]]="","",INDEX(NOTA[TANGGAL],MATCH(,INDIRECT(ADDRESS(ROW(NOTA[TANGGAL]),COLUMN(NOTA[TANGGAL]))&amp;":"&amp;ADDRESS(ROW(),COLUMN(NOTA[TANGGAL]))),-1)))</f>
        <v/>
      </c>
      <c r="AJ984" s="26" t="str">
        <f ca="1">IF(NOTA[[#This Row],[ID_H]]="","",INDEX(NOTA[TGL.NOTA],MATCH(,INDIRECT(ADDRESS(ROW(NOTA[TGL.NOTA]),COLUMN(NOTA[TGL.NOTA]))&amp;":"&amp;ADDRESS(ROW(),COLUMN(NOTA[TGL.NOTA]))),-1)))</f>
        <v/>
      </c>
      <c r="AK984" s="26" t="str">
        <f ca="1">IF(NOTA[[#This Row],[ID_H]]="","",INDEX(NOTA[NO.NOTA],MATCH(NOTA[[#This Row],[ID_H]],NOTA[ID_H],0)))</f>
        <v/>
      </c>
      <c r="AL984" s="28" t="str">
        <f ca="1">IF(NOTA[[#This Row],[NAMA BARANG]]="","",INDEX(NOTA[SUPPLIER],MATCH(,INDIRECT(ADDRESS(ROW(NOTA[ID]),COLUMN(NOTA[ID]))&amp;":"&amp;ADDRESS(ROW(),COLUMN(NOTA[ID]))),-1)))</f>
        <v/>
      </c>
      <c r="AM984" s="28" t="str">
        <f ca="1">IF(NOTA[[#This Row],[ID_H]]="","",IF(NOTA[[#This Row],[FAKTUR]]="",INDIRECT(ADDRESS(ROW()-1,COLUMN())),NOTA[[#This Row],[FAKTUR]]))</f>
        <v/>
      </c>
      <c r="AN984" s="25" t="str">
        <f ca="1">IF(NOTA[[#This Row],[ID]]="","",COUNTIF(NOTA[ID_H],NOTA[[#This Row],[ID_H]]))</f>
        <v/>
      </c>
      <c r="AO984" s="25" t="str">
        <f ca="1">IF(NOTA[[#This Row],[TGL.NOTA]]="",IF(NOTA[[#This Row],[SUPPLIER_H]]="","",AO983),MONTH(NOTA[[#This Row],[TGL.NOTA]]))</f>
        <v/>
      </c>
      <c r="AP9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4" s="25"/>
      <c r="AU984" s="25" t="str">
        <f>IF(NOTA[[#This Row],[CONCAT1]]="","",MATCH(NOTA[[#This Row],[CONCAT1]],[3]!db[NB NOTA_C],0))</f>
        <v/>
      </c>
      <c r="AV984" s="25" t="str">
        <f>IF(NOTA[[#This Row],[QTY/ CTN]]="","",TRUE)</f>
        <v/>
      </c>
      <c r="AW984" s="25" t="str">
        <f ca="1">IF(NOTA[[#This Row],[ID_H]]="","",IF(NOTA[[#This Row],[Column3]]=TRUE,NOTA[[#This Row],[QTY/ CTN]],INDEX([3]!db[QTY/ CTN],NOTA[[#This Row],[//DB]])))</f>
        <v/>
      </c>
      <c r="AX9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4" s="25" t="str">
        <f ca="1">IF(NOTA[[#This Row],[ID_H]]="","",MATCH(NOTA[[#This Row],[NB NOTA_C_QTY]],[3]!db[NB NOTA_C_QTY+F],0))</f>
        <v/>
      </c>
      <c r="AZ984" s="38" t="str">
        <f ca="1">IF(NOTA[[#This Row],[NB NOTA_C_QTY]]="","",ROW()-2)</f>
        <v/>
      </c>
    </row>
    <row r="985" spans="1:52" ht="20.100000000000001" customHeight="1">
      <c r="A9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5" s="25" t="str">
        <f ca="1">IF(NOTA[[#This Row],[NAMA BARANG]]="","",INDEX(NOTA[ID],MATCH(,INDIRECT(ADDRESS(ROW(NOTA[ID]),COLUMN(NOTA[ID]))&amp;":"&amp;ADDRESS(ROW(),COLUMN(NOTA[ID]))),-1)))</f>
        <v/>
      </c>
      <c r="E985" s="33"/>
      <c r="H985" s="34"/>
      <c r="Q985" s="29"/>
      <c r="R985" s="35"/>
      <c r="S985" s="36"/>
      <c r="V985" s="37"/>
      <c r="W985" s="32"/>
      <c r="X985" s="37" t="str">
        <f>IF(NOTA[[#This Row],[HARGA/ CTN]]="",NOTA[[#This Row],[JUMLAH_H]],NOTA[[#This Row],[HARGA/ CTN]]*IF(NOTA[[#This Row],[C]]="",0,NOTA[[#This Row],[C]]))</f>
        <v/>
      </c>
      <c r="Y985" s="37" t="str">
        <f>IF(NOTA[[#This Row],[JUMLAH]]="","",NOTA[[#This Row],[JUMLAH]]*NOTA[[#This Row],[DISC 1]])</f>
        <v/>
      </c>
      <c r="Z985" s="37" t="str">
        <f>IF(NOTA[[#This Row],[JUMLAH]]="","",(NOTA[[#This Row],[JUMLAH]]-NOTA[[#This Row],[DISC 1-]])*NOTA[[#This Row],[DISC 2]])</f>
        <v/>
      </c>
      <c r="AA985" s="37" t="str">
        <f>IF(NOTA[[#This Row],[JUMLAH]]="","",(NOTA[[#This Row],[JUMLAH]]-NOTA[[#This Row],[DISC 1-]]-NOTA[[#This Row],[DISC 2-]])*NOTA[[#This Row],[DISC 3]])</f>
        <v/>
      </c>
      <c r="AB985" s="37" t="str">
        <f>IF(NOTA[[#This Row],[JUMLAH]]="","",NOTA[[#This Row],[DISC 1-]]+NOTA[[#This Row],[DISC 2-]]+NOTA[[#This Row],[DISC 3-]])</f>
        <v/>
      </c>
      <c r="AC985" s="37" t="str">
        <f>IF(NOTA[[#This Row],[JUMLAH]]="","",NOTA[[#This Row],[JUMLAH]]-NOTA[[#This Row],[DISC]])</f>
        <v/>
      </c>
      <c r="AD985" s="37"/>
      <c r="AE9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5" s="37" t="str">
        <f>IF(OR(NOTA[[#This Row],[QTY]]="",NOTA[[#This Row],[HARGA SATUAN]]="",),"",NOTA[[#This Row],[QTY]]*NOTA[[#This Row],[HARGA SATUAN]])</f>
        <v/>
      </c>
      <c r="AI985" s="26" t="str">
        <f ca="1">IF(NOTA[[#This Row],[ID_H]]="","",INDEX(NOTA[TANGGAL],MATCH(,INDIRECT(ADDRESS(ROW(NOTA[TANGGAL]),COLUMN(NOTA[TANGGAL]))&amp;":"&amp;ADDRESS(ROW(),COLUMN(NOTA[TANGGAL]))),-1)))</f>
        <v/>
      </c>
      <c r="AJ985" s="26" t="str">
        <f ca="1">IF(NOTA[[#This Row],[ID_H]]="","",INDEX(NOTA[TGL.NOTA],MATCH(,INDIRECT(ADDRESS(ROW(NOTA[TGL.NOTA]),COLUMN(NOTA[TGL.NOTA]))&amp;":"&amp;ADDRESS(ROW(),COLUMN(NOTA[TGL.NOTA]))),-1)))</f>
        <v/>
      </c>
      <c r="AK985" s="26" t="str">
        <f ca="1">IF(NOTA[[#This Row],[ID_H]]="","",INDEX(NOTA[NO.NOTA],MATCH(NOTA[[#This Row],[ID_H]],NOTA[ID_H],0)))</f>
        <v/>
      </c>
      <c r="AL985" s="28" t="str">
        <f ca="1">IF(NOTA[[#This Row],[NAMA BARANG]]="","",INDEX(NOTA[SUPPLIER],MATCH(,INDIRECT(ADDRESS(ROW(NOTA[ID]),COLUMN(NOTA[ID]))&amp;":"&amp;ADDRESS(ROW(),COLUMN(NOTA[ID]))),-1)))</f>
        <v/>
      </c>
      <c r="AM985" s="28" t="str">
        <f ca="1">IF(NOTA[[#This Row],[ID_H]]="","",IF(NOTA[[#This Row],[FAKTUR]]="",INDIRECT(ADDRESS(ROW()-1,COLUMN())),NOTA[[#This Row],[FAKTUR]]))</f>
        <v/>
      </c>
      <c r="AN985" s="25" t="str">
        <f ca="1">IF(NOTA[[#This Row],[ID]]="","",COUNTIF(NOTA[ID_H],NOTA[[#This Row],[ID_H]]))</f>
        <v/>
      </c>
      <c r="AO985" s="25" t="str">
        <f ca="1">IF(NOTA[[#This Row],[TGL.NOTA]]="",IF(NOTA[[#This Row],[SUPPLIER_H]]="","",AO984),MONTH(NOTA[[#This Row],[TGL.NOTA]]))</f>
        <v/>
      </c>
      <c r="AP9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5" s="25"/>
      <c r="AU985" s="25" t="str">
        <f>IF(NOTA[[#This Row],[CONCAT1]]="","",MATCH(NOTA[[#This Row],[CONCAT1]],[3]!db[NB NOTA_C],0))</f>
        <v/>
      </c>
      <c r="AV985" s="25" t="str">
        <f>IF(NOTA[[#This Row],[QTY/ CTN]]="","",TRUE)</f>
        <v/>
      </c>
      <c r="AW985" s="25" t="str">
        <f ca="1">IF(NOTA[[#This Row],[ID_H]]="","",IF(NOTA[[#This Row],[Column3]]=TRUE,NOTA[[#This Row],[QTY/ CTN]],INDEX([3]!db[QTY/ CTN],NOTA[[#This Row],[//DB]])))</f>
        <v/>
      </c>
      <c r="AX9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5" s="25" t="str">
        <f ca="1">IF(NOTA[[#This Row],[ID_H]]="","",MATCH(NOTA[[#This Row],[NB NOTA_C_QTY]],[3]!db[NB NOTA_C_QTY+F],0))</f>
        <v/>
      </c>
      <c r="AZ985" s="38" t="str">
        <f ca="1">IF(NOTA[[#This Row],[NB NOTA_C_QTY]]="","",ROW()-2)</f>
        <v/>
      </c>
    </row>
    <row r="986" spans="1:52" ht="20.100000000000001" customHeight="1">
      <c r="A9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6" s="25" t="str">
        <f ca="1">IF(NOTA[[#This Row],[NAMA BARANG]]="","",INDEX(NOTA[ID],MATCH(,INDIRECT(ADDRESS(ROW(NOTA[ID]),COLUMN(NOTA[ID]))&amp;":"&amp;ADDRESS(ROW(),COLUMN(NOTA[ID]))),-1)))</f>
        <v/>
      </c>
      <c r="E986" s="33"/>
      <c r="H986" s="34"/>
      <c r="Q986" s="29"/>
      <c r="R986" s="35"/>
      <c r="S986" s="36"/>
      <c r="V986" s="37"/>
      <c r="W986" s="32"/>
      <c r="X986" s="37" t="str">
        <f>IF(NOTA[[#This Row],[HARGA/ CTN]]="",NOTA[[#This Row],[JUMLAH_H]],NOTA[[#This Row],[HARGA/ CTN]]*IF(NOTA[[#This Row],[C]]="",0,NOTA[[#This Row],[C]]))</f>
        <v/>
      </c>
      <c r="Y986" s="37" t="str">
        <f>IF(NOTA[[#This Row],[JUMLAH]]="","",NOTA[[#This Row],[JUMLAH]]*NOTA[[#This Row],[DISC 1]])</f>
        <v/>
      </c>
      <c r="Z986" s="37" t="str">
        <f>IF(NOTA[[#This Row],[JUMLAH]]="","",(NOTA[[#This Row],[JUMLAH]]-NOTA[[#This Row],[DISC 1-]])*NOTA[[#This Row],[DISC 2]])</f>
        <v/>
      </c>
      <c r="AA986" s="37" t="str">
        <f>IF(NOTA[[#This Row],[JUMLAH]]="","",(NOTA[[#This Row],[JUMLAH]]-NOTA[[#This Row],[DISC 1-]]-NOTA[[#This Row],[DISC 2-]])*NOTA[[#This Row],[DISC 3]])</f>
        <v/>
      </c>
      <c r="AB986" s="37" t="str">
        <f>IF(NOTA[[#This Row],[JUMLAH]]="","",NOTA[[#This Row],[DISC 1-]]+NOTA[[#This Row],[DISC 2-]]+NOTA[[#This Row],[DISC 3-]])</f>
        <v/>
      </c>
      <c r="AC986" s="37" t="str">
        <f>IF(NOTA[[#This Row],[JUMLAH]]="","",NOTA[[#This Row],[JUMLAH]]-NOTA[[#This Row],[DISC]])</f>
        <v/>
      </c>
      <c r="AD986" s="37"/>
      <c r="AE9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6" s="37" t="str">
        <f>IF(OR(NOTA[[#This Row],[QTY]]="",NOTA[[#This Row],[HARGA SATUAN]]="",),"",NOTA[[#This Row],[QTY]]*NOTA[[#This Row],[HARGA SATUAN]])</f>
        <v/>
      </c>
      <c r="AI986" s="26" t="str">
        <f ca="1">IF(NOTA[[#This Row],[ID_H]]="","",INDEX(NOTA[TANGGAL],MATCH(,INDIRECT(ADDRESS(ROW(NOTA[TANGGAL]),COLUMN(NOTA[TANGGAL]))&amp;":"&amp;ADDRESS(ROW(),COLUMN(NOTA[TANGGAL]))),-1)))</f>
        <v/>
      </c>
      <c r="AJ986" s="26" t="str">
        <f ca="1">IF(NOTA[[#This Row],[ID_H]]="","",INDEX(NOTA[TGL.NOTA],MATCH(,INDIRECT(ADDRESS(ROW(NOTA[TGL.NOTA]),COLUMN(NOTA[TGL.NOTA]))&amp;":"&amp;ADDRESS(ROW(),COLUMN(NOTA[TGL.NOTA]))),-1)))</f>
        <v/>
      </c>
      <c r="AK986" s="26" t="str">
        <f ca="1">IF(NOTA[[#This Row],[ID_H]]="","",INDEX(NOTA[NO.NOTA],MATCH(NOTA[[#This Row],[ID_H]],NOTA[ID_H],0)))</f>
        <v/>
      </c>
      <c r="AL986" s="28" t="str">
        <f ca="1">IF(NOTA[[#This Row],[NAMA BARANG]]="","",INDEX(NOTA[SUPPLIER],MATCH(,INDIRECT(ADDRESS(ROW(NOTA[ID]),COLUMN(NOTA[ID]))&amp;":"&amp;ADDRESS(ROW(),COLUMN(NOTA[ID]))),-1)))</f>
        <v/>
      </c>
      <c r="AM986" s="28" t="str">
        <f ca="1">IF(NOTA[[#This Row],[ID_H]]="","",IF(NOTA[[#This Row],[FAKTUR]]="",INDIRECT(ADDRESS(ROW()-1,COLUMN())),NOTA[[#This Row],[FAKTUR]]))</f>
        <v/>
      </c>
      <c r="AN986" s="25" t="str">
        <f ca="1">IF(NOTA[[#This Row],[ID]]="","",COUNTIF(NOTA[ID_H],NOTA[[#This Row],[ID_H]]))</f>
        <v/>
      </c>
      <c r="AO986" s="25" t="str">
        <f ca="1">IF(NOTA[[#This Row],[TGL.NOTA]]="",IF(NOTA[[#This Row],[SUPPLIER_H]]="","",AO985),MONTH(NOTA[[#This Row],[TGL.NOTA]]))</f>
        <v/>
      </c>
      <c r="AP9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6" s="25"/>
      <c r="AU986" s="25" t="str">
        <f>IF(NOTA[[#This Row],[CONCAT1]]="","",MATCH(NOTA[[#This Row],[CONCAT1]],[3]!db[NB NOTA_C],0))</f>
        <v/>
      </c>
      <c r="AV986" s="25" t="str">
        <f>IF(NOTA[[#This Row],[QTY/ CTN]]="","",TRUE)</f>
        <v/>
      </c>
      <c r="AW986" s="25" t="str">
        <f ca="1">IF(NOTA[[#This Row],[ID_H]]="","",IF(NOTA[[#This Row],[Column3]]=TRUE,NOTA[[#This Row],[QTY/ CTN]],INDEX([3]!db[QTY/ CTN],NOTA[[#This Row],[//DB]])))</f>
        <v/>
      </c>
      <c r="AX9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6" s="25" t="str">
        <f ca="1">IF(NOTA[[#This Row],[ID_H]]="","",MATCH(NOTA[[#This Row],[NB NOTA_C_QTY]],[3]!db[NB NOTA_C_QTY+F],0))</f>
        <v/>
      </c>
      <c r="AZ986" s="38" t="str">
        <f ca="1">IF(NOTA[[#This Row],[NB NOTA_C_QTY]]="","",ROW()-2)</f>
        <v/>
      </c>
    </row>
    <row r="987" spans="1:52" ht="20.100000000000001" customHeight="1">
      <c r="A9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7" s="25" t="str">
        <f ca="1">IF(NOTA[[#This Row],[NAMA BARANG]]="","",INDEX(NOTA[ID],MATCH(,INDIRECT(ADDRESS(ROW(NOTA[ID]),COLUMN(NOTA[ID]))&amp;":"&amp;ADDRESS(ROW(),COLUMN(NOTA[ID]))),-1)))</f>
        <v/>
      </c>
      <c r="E987" s="33"/>
      <c r="H987" s="34"/>
      <c r="Q987" s="29"/>
      <c r="R987" s="35"/>
      <c r="S987" s="36"/>
      <c r="V987" s="37"/>
      <c r="W987" s="32"/>
      <c r="X987" s="37" t="str">
        <f>IF(NOTA[[#This Row],[HARGA/ CTN]]="",NOTA[[#This Row],[JUMLAH_H]],NOTA[[#This Row],[HARGA/ CTN]]*IF(NOTA[[#This Row],[C]]="",0,NOTA[[#This Row],[C]]))</f>
        <v/>
      </c>
      <c r="Y987" s="37" t="str">
        <f>IF(NOTA[[#This Row],[JUMLAH]]="","",NOTA[[#This Row],[JUMLAH]]*NOTA[[#This Row],[DISC 1]])</f>
        <v/>
      </c>
      <c r="Z987" s="37" t="str">
        <f>IF(NOTA[[#This Row],[JUMLAH]]="","",(NOTA[[#This Row],[JUMLAH]]-NOTA[[#This Row],[DISC 1-]])*NOTA[[#This Row],[DISC 2]])</f>
        <v/>
      </c>
      <c r="AA987" s="37" t="str">
        <f>IF(NOTA[[#This Row],[JUMLAH]]="","",(NOTA[[#This Row],[JUMLAH]]-NOTA[[#This Row],[DISC 1-]]-NOTA[[#This Row],[DISC 2-]])*NOTA[[#This Row],[DISC 3]])</f>
        <v/>
      </c>
      <c r="AB987" s="37" t="str">
        <f>IF(NOTA[[#This Row],[JUMLAH]]="","",NOTA[[#This Row],[DISC 1-]]+NOTA[[#This Row],[DISC 2-]]+NOTA[[#This Row],[DISC 3-]])</f>
        <v/>
      </c>
      <c r="AC987" s="37" t="str">
        <f>IF(NOTA[[#This Row],[JUMLAH]]="","",NOTA[[#This Row],[JUMLAH]]-NOTA[[#This Row],[DISC]])</f>
        <v/>
      </c>
      <c r="AD987" s="37"/>
      <c r="AE9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7" s="37" t="str">
        <f>IF(OR(NOTA[[#This Row],[QTY]]="",NOTA[[#This Row],[HARGA SATUAN]]="",),"",NOTA[[#This Row],[QTY]]*NOTA[[#This Row],[HARGA SATUAN]])</f>
        <v/>
      </c>
      <c r="AI987" s="26" t="str">
        <f ca="1">IF(NOTA[[#This Row],[ID_H]]="","",INDEX(NOTA[TANGGAL],MATCH(,INDIRECT(ADDRESS(ROW(NOTA[TANGGAL]),COLUMN(NOTA[TANGGAL]))&amp;":"&amp;ADDRESS(ROW(),COLUMN(NOTA[TANGGAL]))),-1)))</f>
        <v/>
      </c>
      <c r="AJ987" s="26" t="str">
        <f ca="1">IF(NOTA[[#This Row],[ID_H]]="","",INDEX(NOTA[TGL.NOTA],MATCH(,INDIRECT(ADDRESS(ROW(NOTA[TGL.NOTA]),COLUMN(NOTA[TGL.NOTA]))&amp;":"&amp;ADDRESS(ROW(),COLUMN(NOTA[TGL.NOTA]))),-1)))</f>
        <v/>
      </c>
      <c r="AK987" s="26" t="str">
        <f ca="1">IF(NOTA[[#This Row],[ID_H]]="","",INDEX(NOTA[NO.NOTA],MATCH(NOTA[[#This Row],[ID_H]],NOTA[ID_H],0)))</f>
        <v/>
      </c>
      <c r="AL987" s="28" t="str">
        <f ca="1">IF(NOTA[[#This Row],[NAMA BARANG]]="","",INDEX(NOTA[SUPPLIER],MATCH(,INDIRECT(ADDRESS(ROW(NOTA[ID]),COLUMN(NOTA[ID]))&amp;":"&amp;ADDRESS(ROW(),COLUMN(NOTA[ID]))),-1)))</f>
        <v/>
      </c>
      <c r="AM987" s="28" t="str">
        <f ca="1">IF(NOTA[[#This Row],[ID_H]]="","",IF(NOTA[[#This Row],[FAKTUR]]="",INDIRECT(ADDRESS(ROW()-1,COLUMN())),NOTA[[#This Row],[FAKTUR]]))</f>
        <v/>
      </c>
      <c r="AN987" s="25" t="str">
        <f ca="1">IF(NOTA[[#This Row],[ID]]="","",COUNTIF(NOTA[ID_H],NOTA[[#This Row],[ID_H]]))</f>
        <v/>
      </c>
      <c r="AO987" s="25" t="str">
        <f ca="1">IF(NOTA[[#This Row],[TGL.NOTA]]="",IF(NOTA[[#This Row],[SUPPLIER_H]]="","",AO986),MONTH(NOTA[[#This Row],[TGL.NOTA]]))</f>
        <v/>
      </c>
      <c r="AP9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7" s="25"/>
      <c r="AU987" s="25" t="str">
        <f>IF(NOTA[[#This Row],[CONCAT1]]="","",MATCH(NOTA[[#This Row],[CONCAT1]],[3]!db[NB NOTA_C],0))</f>
        <v/>
      </c>
      <c r="AV987" s="25" t="str">
        <f>IF(NOTA[[#This Row],[QTY/ CTN]]="","",TRUE)</f>
        <v/>
      </c>
      <c r="AW987" s="25" t="str">
        <f ca="1">IF(NOTA[[#This Row],[ID_H]]="","",IF(NOTA[[#This Row],[Column3]]=TRUE,NOTA[[#This Row],[QTY/ CTN]],INDEX([3]!db[QTY/ CTN],NOTA[[#This Row],[//DB]])))</f>
        <v/>
      </c>
      <c r="AX9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7" s="25" t="str">
        <f ca="1">IF(NOTA[[#This Row],[ID_H]]="","",MATCH(NOTA[[#This Row],[NB NOTA_C_QTY]],[3]!db[NB NOTA_C_QTY+F],0))</f>
        <v/>
      </c>
      <c r="AZ987" s="38" t="str">
        <f ca="1">IF(NOTA[[#This Row],[NB NOTA_C_QTY]]="","",ROW()-2)</f>
        <v/>
      </c>
    </row>
    <row r="988" spans="1:52" ht="20.100000000000001" customHeight="1">
      <c r="A9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8" s="25" t="str">
        <f ca="1">IF(NOTA[[#This Row],[NAMA BARANG]]="","",INDEX(NOTA[ID],MATCH(,INDIRECT(ADDRESS(ROW(NOTA[ID]),COLUMN(NOTA[ID]))&amp;":"&amp;ADDRESS(ROW(),COLUMN(NOTA[ID]))),-1)))</f>
        <v/>
      </c>
      <c r="E988" s="33"/>
      <c r="H988" s="34"/>
      <c r="Q988" s="29"/>
      <c r="R988" s="35"/>
      <c r="S988" s="36"/>
      <c r="V988" s="37"/>
      <c r="W988" s="32"/>
      <c r="X988" s="37" t="str">
        <f>IF(NOTA[[#This Row],[HARGA/ CTN]]="",NOTA[[#This Row],[JUMLAH_H]],NOTA[[#This Row],[HARGA/ CTN]]*IF(NOTA[[#This Row],[C]]="",0,NOTA[[#This Row],[C]]))</f>
        <v/>
      </c>
      <c r="Y988" s="37" t="str">
        <f>IF(NOTA[[#This Row],[JUMLAH]]="","",NOTA[[#This Row],[JUMLAH]]*NOTA[[#This Row],[DISC 1]])</f>
        <v/>
      </c>
      <c r="Z988" s="37" t="str">
        <f>IF(NOTA[[#This Row],[JUMLAH]]="","",(NOTA[[#This Row],[JUMLAH]]-NOTA[[#This Row],[DISC 1-]])*NOTA[[#This Row],[DISC 2]])</f>
        <v/>
      </c>
      <c r="AA988" s="37" t="str">
        <f>IF(NOTA[[#This Row],[JUMLAH]]="","",(NOTA[[#This Row],[JUMLAH]]-NOTA[[#This Row],[DISC 1-]]-NOTA[[#This Row],[DISC 2-]])*NOTA[[#This Row],[DISC 3]])</f>
        <v/>
      </c>
      <c r="AB988" s="37" t="str">
        <f>IF(NOTA[[#This Row],[JUMLAH]]="","",NOTA[[#This Row],[DISC 1-]]+NOTA[[#This Row],[DISC 2-]]+NOTA[[#This Row],[DISC 3-]])</f>
        <v/>
      </c>
      <c r="AC988" s="37" t="str">
        <f>IF(NOTA[[#This Row],[JUMLAH]]="","",NOTA[[#This Row],[JUMLAH]]-NOTA[[#This Row],[DISC]])</f>
        <v/>
      </c>
      <c r="AD988" s="37"/>
      <c r="AE9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8" s="37" t="str">
        <f>IF(OR(NOTA[[#This Row],[QTY]]="",NOTA[[#This Row],[HARGA SATUAN]]="",),"",NOTA[[#This Row],[QTY]]*NOTA[[#This Row],[HARGA SATUAN]])</f>
        <v/>
      </c>
      <c r="AI988" s="26" t="str">
        <f ca="1">IF(NOTA[[#This Row],[ID_H]]="","",INDEX(NOTA[TANGGAL],MATCH(,INDIRECT(ADDRESS(ROW(NOTA[TANGGAL]),COLUMN(NOTA[TANGGAL]))&amp;":"&amp;ADDRESS(ROW(),COLUMN(NOTA[TANGGAL]))),-1)))</f>
        <v/>
      </c>
      <c r="AJ988" s="26" t="str">
        <f ca="1">IF(NOTA[[#This Row],[ID_H]]="","",INDEX(NOTA[TGL.NOTA],MATCH(,INDIRECT(ADDRESS(ROW(NOTA[TGL.NOTA]),COLUMN(NOTA[TGL.NOTA]))&amp;":"&amp;ADDRESS(ROW(),COLUMN(NOTA[TGL.NOTA]))),-1)))</f>
        <v/>
      </c>
      <c r="AK988" s="26" t="str">
        <f ca="1">IF(NOTA[[#This Row],[ID_H]]="","",INDEX(NOTA[NO.NOTA],MATCH(NOTA[[#This Row],[ID_H]],NOTA[ID_H],0)))</f>
        <v/>
      </c>
      <c r="AL988" s="28" t="str">
        <f ca="1">IF(NOTA[[#This Row],[NAMA BARANG]]="","",INDEX(NOTA[SUPPLIER],MATCH(,INDIRECT(ADDRESS(ROW(NOTA[ID]),COLUMN(NOTA[ID]))&amp;":"&amp;ADDRESS(ROW(),COLUMN(NOTA[ID]))),-1)))</f>
        <v/>
      </c>
      <c r="AM988" s="28" t="str">
        <f ca="1">IF(NOTA[[#This Row],[ID_H]]="","",IF(NOTA[[#This Row],[FAKTUR]]="",INDIRECT(ADDRESS(ROW()-1,COLUMN())),NOTA[[#This Row],[FAKTUR]]))</f>
        <v/>
      </c>
      <c r="AN988" s="25" t="str">
        <f ca="1">IF(NOTA[[#This Row],[ID]]="","",COUNTIF(NOTA[ID_H],NOTA[[#This Row],[ID_H]]))</f>
        <v/>
      </c>
      <c r="AO988" s="25" t="str">
        <f ca="1">IF(NOTA[[#This Row],[TGL.NOTA]]="",IF(NOTA[[#This Row],[SUPPLIER_H]]="","",AO987),MONTH(NOTA[[#This Row],[TGL.NOTA]]))</f>
        <v/>
      </c>
      <c r="AP9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8" s="25"/>
      <c r="AU988" s="25" t="str">
        <f>IF(NOTA[[#This Row],[CONCAT1]]="","",MATCH(NOTA[[#This Row],[CONCAT1]],[3]!db[NB NOTA_C],0))</f>
        <v/>
      </c>
      <c r="AV988" s="25" t="str">
        <f>IF(NOTA[[#This Row],[QTY/ CTN]]="","",TRUE)</f>
        <v/>
      </c>
      <c r="AW988" s="25" t="str">
        <f ca="1">IF(NOTA[[#This Row],[ID_H]]="","",IF(NOTA[[#This Row],[Column3]]=TRUE,NOTA[[#This Row],[QTY/ CTN]],INDEX([3]!db[QTY/ CTN],NOTA[[#This Row],[//DB]])))</f>
        <v/>
      </c>
      <c r="AX9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8" s="25" t="str">
        <f ca="1">IF(NOTA[[#This Row],[ID_H]]="","",MATCH(NOTA[[#This Row],[NB NOTA_C_QTY]],[3]!db[NB NOTA_C_QTY+F],0))</f>
        <v/>
      </c>
      <c r="AZ988" s="38" t="str">
        <f ca="1">IF(NOTA[[#This Row],[NB NOTA_C_QTY]]="","",ROW()-2)</f>
        <v/>
      </c>
    </row>
    <row r="989" spans="1:52" ht="20.100000000000001" customHeight="1">
      <c r="A9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9" s="25" t="str">
        <f ca="1">IF(NOTA[[#This Row],[NAMA BARANG]]="","",INDEX(NOTA[ID],MATCH(,INDIRECT(ADDRESS(ROW(NOTA[ID]),COLUMN(NOTA[ID]))&amp;":"&amp;ADDRESS(ROW(),COLUMN(NOTA[ID]))),-1)))</f>
        <v/>
      </c>
      <c r="E989" s="33"/>
      <c r="H989" s="34"/>
      <c r="Q989" s="29"/>
      <c r="R989" s="35"/>
      <c r="S989" s="36"/>
      <c r="V989" s="37"/>
      <c r="W989" s="32"/>
      <c r="X989" s="37" t="str">
        <f>IF(NOTA[[#This Row],[HARGA/ CTN]]="",NOTA[[#This Row],[JUMLAH_H]],NOTA[[#This Row],[HARGA/ CTN]]*IF(NOTA[[#This Row],[C]]="",0,NOTA[[#This Row],[C]]))</f>
        <v/>
      </c>
      <c r="Y989" s="37" t="str">
        <f>IF(NOTA[[#This Row],[JUMLAH]]="","",NOTA[[#This Row],[JUMLAH]]*NOTA[[#This Row],[DISC 1]])</f>
        <v/>
      </c>
      <c r="Z989" s="37" t="str">
        <f>IF(NOTA[[#This Row],[JUMLAH]]="","",(NOTA[[#This Row],[JUMLAH]]-NOTA[[#This Row],[DISC 1-]])*NOTA[[#This Row],[DISC 2]])</f>
        <v/>
      </c>
      <c r="AA989" s="37" t="str">
        <f>IF(NOTA[[#This Row],[JUMLAH]]="","",(NOTA[[#This Row],[JUMLAH]]-NOTA[[#This Row],[DISC 1-]]-NOTA[[#This Row],[DISC 2-]])*NOTA[[#This Row],[DISC 3]])</f>
        <v/>
      </c>
      <c r="AB989" s="37" t="str">
        <f>IF(NOTA[[#This Row],[JUMLAH]]="","",NOTA[[#This Row],[DISC 1-]]+NOTA[[#This Row],[DISC 2-]]+NOTA[[#This Row],[DISC 3-]])</f>
        <v/>
      </c>
      <c r="AC989" s="37" t="str">
        <f>IF(NOTA[[#This Row],[JUMLAH]]="","",NOTA[[#This Row],[JUMLAH]]-NOTA[[#This Row],[DISC]])</f>
        <v/>
      </c>
      <c r="AD989" s="37"/>
      <c r="AE9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9" s="37" t="str">
        <f>IF(OR(NOTA[[#This Row],[QTY]]="",NOTA[[#This Row],[HARGA SATUAN]]="",),"",NOTA[[#This Row],[QTY]]*NOTA[[#This Row],[HARGA SATUAN]])</f>
        <v/>
      </c>
      <c r="AI989" s="26" t="str">
        <f ca="1">IF(NOTA[[#This Row],[ID_H]]="","",INDEX(NOTA[TANGGAL],MATCH(,INDIRECT(ADDRESS(ROW(NOTA[TANGGAL]),COLUMN(NOTA[TANGGAL]))&amp;":"&amp;ADDRESS(ROW(),COLUMN(NOTA[TANGGAL]))),-1)))</f>
        <v/>
      </c>
      <c r="AJ989" s="26" t="str">
        <f ca="1">IF(NOTA[[#This Row],[ID_H]]="","",INDEX(NOTA[TGL.NOTA],MATCH(,INDIRECT(ADDRESS(ROW(NOTA[TGL.NOTA]),COLUMN(NOTA[TGL.NOTA]))&amp;":"&amp;ADDRESS(ROW(),COLUMN(NOTA[TGL.NOTA]))),-1)))</f>
        <v/>
      </c>
      <c r="AK989" s="26" t="str">
        <f ca="1">IF(NOTA[[#This Row],[ID_H]]="","",INDEX(NOTA[NO.NOTA],MATCH(NOTA[[#This Row],[ID_H]],NOTA[ID_H],0)))</f>
        <v/>
      </c>
      <c r="AL989" s="28" t="str">
        <f ca="1">IF(NOTA[[#This Row],[NAMA BARANG]]="","",INDEX(NOTA[SUPPLIER],MATCH(,INDIRECT(ADDRESS(ROW(NOTA[ID]),COLUMN(NOTA[ID]))&amp;":"&amp;ADDRESS(ROW(),COLUMN(NOTA[ID]))),-1)))</f>
        <v/>
      </c>
      <c r="AM989" s="28" t="str">
        <f ca="1">IF(NOTA[[#This Row],[ID_H]]="","",IF(NOTA[[#This Row],[FAKTUR]]="",INDIRECT(ADDRESS(ROW()-1,COLUMN())),NOTA[[#This Row],[FAKTUR]]))</f>
        <v/>
      </c>
      <c r="AN989" s="25" t="str">
        <f ca="1">IF(NOTA[[#This Row],[ID]]="","",COUNTIF(NOTA[ID_H],NOTA[[#This Row],[ID_H]]))</f>
        <v/>
      </c>
      <c r="AO989" s="25" t="str">
        <f ca="1">IF(NOTA[[#This Row],[TGL.NOTA]]="",IF(NOTA[[#This Row],[SUPPLIER_H]]="","",AO988),MONTH(NOTA[[#This Row],[TGL.NOTA]]))</f>
        <v/>
      </c>
      <c r="AP9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9" s="25"/>
      <c r="AU989" s="25" t="str">
        <f>IF(NOTA[[#This Row],[CONCAT1]]="","",MATCH(NOTA[[#This Row],[CONCAT1]],[3]!db[NB NOTA_C],0))</f>
        <v/>
      </c>
      <c r="AV989" s="25" t="str">
        <f>IF(NOTA[[#This Row],[QTY/ CTN]]="","",TRUE)</f>
        <v/>
      </c>
      <c r="AW989" s="25" t="str">
        <f ca="1">IF(NOTA[[#This Row],[ID_H]]="","",IF(NOTA[[#This Row],[Column3]]=TRUE,NOTA[[#This Row],[QTY/ CTN]],INDEX([3]!db[QTY/ CTN],NOTA[[#This Row],[//DB]])))</f>
        <v/>
      </c>
      <c r="AX9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9" s="25" t="str">
        <f ca="1">IF(NOTA[[#This Row],[ID_H]]="","",MATCH(NOTA[[#This Row],[NB NOTA_C_QTY]],[3]!db[NB NOTA_C_QTY+F],0))</f>
        <v/>
      </c>
      <c r="AZ989" s="38" t="str">
        <f ca="1">IF(NOTA[[#This Row],[NB NOTA_C_QTY]]="","",ROW()-2)</f>
        <v/>
      </c>
    </row>
    <row r="990" spans="1:52" ht="20.100000000000001" customHeight="1">
      <c r="A9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0" s="25" t="str">
        <f ca="1">IF(NOTA[[#This Row],[NAMA BARANG]]="","",INDEX(NOTA[ID],MATCH(,INDIRECT(ADDRESS(ROW(NOTA[ID]),COLUMN(NOTA[ID]))&amp;":"&amp;ADDRESS(ROW(),COLUMN(NOTA[ID]))),-1)))</f>
        <v/>
      </c>
      <c r="E990" s="33"/>
      <c r="H990" s="34"/>
      <c r="Q990" s="29"/>
      <c r="R990" s="35"/>
      <c r="S990" s="36"/>
      <c r="V990" s="37"/>
      <c r="W990" s="32"/>
      <c r="X990" s="37" t="str">
        <f>IF(NOTA[[#This Row],[HARGA/ CTN]]="",NOTA[[#This Row],[JUMLAH_H]],NOTA[[#This Row],[HARGA/ CTN]]*IF(NOTA[[#This Row],[C]]="",0,NOTA[[#This Row],[C]]))</f>
        <v/>
      </c>
      <c r="Y990" s="37" t="str">
        <f>IF(NOTA[[#This Row],[JUMLAH]]="","",NOTA[[#This Row],[JUMLAH]]*NOTA[[#This Row],[DISC 1]])</f>
        <v/>
      </c>
      <c r="Z990" s="37" t="str">
        <f>IF(NOTA[[#This Row],[JUMLAH]]="","",(NOTA[[#This Row],[JUMLAH]]-NOTA[[#This Row],[DISC 1-]])*NOTA[[#This Row],[DISC 2]])</f>
        <v/>
      </c>
      <c r="AA990" s="37" t="str">
        <f>IF(NOTA[[#This Row],[JUMLAH]]="","",(NOTA[[#This Row],[JUMLAH]]-NOTA[[#This Row],[DISC 1-]]-NOTA[[#This Row],[DISC 2-]])*NOTA[[#This Row],[DISC 3]])</f>
        <v/>
      </c>
      <c r="AB990" s="37" t="str">
        <f>IF(NOTA[[#This Row],[JUMLAH]]="","",NOTA[[#This Row],[DISC 1-]]+NOTA[[#This Row],[DISC 2-]]+NOTA[[#This Row],[DISC 3-]])</f>
        <v/>
      </c>
      <c r="AC990" s="37" t="str">
        <f>IF(NOTA[[#This Row],[JUMLAH]]="","",NOTA[[#This Row],[JUMLAH]]-NOTA[[#This Row],[DISC]])</f>
        <v/>
      </c>
      <c r="AD990" s="37"/>
      <c r="AE9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0" s="37" t="str">
        <f>IF(OR(NOTA[[#This Row],[QTY]]="",NOTA[[#This Row],[HARGA SATUAN]]="",),"",NOTA[[#This Row],[QTY]]*NOTA[[#This Row],[HARGA SATUAN]])</f>
        <v/>
      </c>
      <c r="AI990" s="26" t="str">
        <f ca="1">IF(NOTA[[#This Row],[ID_H]]="","",INDEX(NOTA[TANGGAL],MATCH(,INDIRECT(ADDRESS(ROW(NOTA[TANGGAL]),COLUMN(NOTA[TANGGAL]))&amp;":"&amp;ADDRESS(ROW(),COLUMN(NOTA[TANGGAL]))),-1)))</f>
        <v/>
      </c>
      <c r="AJ990" s="26" t="str">
        <f ca="1">IF(NOTA[[#This Row],[ID_H]]="","",INDEX(NOTA[TGL.NOTA],MATCH(,INDIRECT(ADDRESS(ROW(NOTA[TGL.NOTA]),COLUMN(NOTA[TGL.NOTA]))&amp;":"&amp;ADDRESS(ROW(),COLUMN(NOTA[TGL.NOTA]))),-1)))</f>
        <v/>
      </c>
      <c r="AK990" s="26" t="str">
        <f ca="1">IF(NOTA[[#This Row],[ID_H]]="","",INDEX(NOTA[NO.NOTA],MATCH(NOTA[[#This Row],[ID_H]],NOTA[ID_H],0)))</f>
        <v/>
      </c>
      <c r="AL990" s="28" t="str">
        <f ca="1">IF(NOTA[[#This Row],[NAMA BARANG]]="","",INDEX(NOTA[SUPPLIER],MATCH(,INDIRECT(ADDRESS(ROW(NOTA[ID]),COLUMN(NOTA[ID]))&amp;":"&amp;ADDRESS(ROW(),COLUMN(NOTA[ID]))),-1)))</f>
        <v/>
      </c>
      <c r="AM990" s="28" t="str">
        <f ca="1">IF(NOTA[[#This Row],[ID_H]]="","",IF(NOTA[[#This Row],[FAKTUR]]="",INDIRECT(ADDRESS(ROW()-1,COLUMN())),NOTA[[#This Row],[FAKTUR]]))</f>
        <v/>
      </c>
      <c r="AN990" s="25" t="str">
        <f ca="1">IF(NOTA[[#This Row],[ID]]="","",COUNTIF(NOTA[ID_H],NOTA[[#This Row],[ID_H]]))</f>
        <v/>
      </c>
      <c r="AO990" s="25" t="str">
        <f ca="1">IF(NOTA[[#This Row],[TGL.NOTA]]="",IF(NOTA[[#This Row],[SUPPLIER_H]]="","",AO989),MONTH(NOTA[[#This Row],[TGL.NOTA]]))</f>
        <v/>
      </c>
      <c r="AP9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0" s="25"/>
      <c r="AU990" s="25" t="str">
        <f>IF(NOTA[[#This Row],[CONCAT1]]="","",MATCH(NOTA[[#This Row],[CONCAT1]],[3]!db[NB NOTA_C],0))</f>
        <v/>
      </c>
      <c r="AV990" s="25" t="str">
        <f>IF(NOTA[[#This Row],[QTY/ CTN]]="","",TRUE)</f>
        <v/>
      </c>
      <c r="AW990" s="25" t="str">
        <f ca="1">IF(NOTA[[#This Row],[ID_H]]="","",IF(NOTA[[#This Row],[Column3]]=TRUE,NOTA[[#This Row],[QTY/ CTN]],INDEX([3]!db[QTY/ CTN],NOTA[[#This Row],[//DB]])))</f>
        <v/>
      </c>
      <c r="AX9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0" s="25" t="str">
        <f ca="1">IF(NOTA[[#This Row],[ID_H]]="","",MATCH(NOTA[[#This Row],[NB NOTA_C_QTY]],[3]!db[NB NOTA_C_QTY+F],0))</f>
        <v/>
      </c>
      <c r="AZ990" s="38" t="str">
        <f ca="1">IF(NOTA[[#This Row],[NB NOTA_C_QTY]]="","",ROW()-2)</f>
        <v/>
      </c>
    </row>
    <row r="991" spans="1:52" ht="20.100000000000001" customHeight="1">
      <c r="A9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1" s="25" t="str">
        <f ca="1">IF(NOTA[[#This Row],[NAMA BARANG]]="","",INDEX(NOTA[ID],MATCH(,INDIRECT(ADDRESS(ROW(NOTA[ID]),COLUMN(NOTA[ID]))&amp;":"&amp;ADDRESS(ROW(),COLUMN(NOTA[ID]))),-1)))</f>
        <v/>
      </c>
      <c r="E991" s="33"/>
      <c r="H991" s="34"/>
      <c r="Q991" s="29"/>
      <c r="R991" s="35"/>
      <c r="S991" s="36"/>
      <c r="V991" s="37"/>
      <c r="W991" s="32"/>
      <c r="X991" s="37" t="str">
        <f>IF(NOTA[[#This Row],[HARGA/ CTN]]="",NOTA[[#This Row],[JUMLAH_H]],NOTA[[#This Row],[HARGA/ CTN]]*IF(NOTA[[#This Row],[C]]="",0,NOTA[[#This Row],[C]]))</f>
        <v/>
      </c>
      <c r="Y991" s="37" t="str">
        <f>IF(NOTA[[#This Row],[JUMLAH]]="","",NOTA[[#This Row],[JUMLAH]]*NOTA[[#This Row],[DISC 1]])</f>
        <v/>
      </c>
      <c r="Z991" s="37" t="str">
        <f>IF(NOTA[[#This Row],[JUMLAH]]="","",(NOTA[[#This Row],[JUMLAH]]-NOTA[[#This Row],[DISC 1-]])*NOTA[[#This Row],[DISC 2]])</f>
        <v/>
      </c>
      <c r="AA991" s="37" t="str">
        <f>IF(NOTA[[#This Row],[JUMLAH]]="","",(NOTA[[#This Row],[JUMLAH]]-NOTA[[#This Row],[DISC 1-]]-NOTA[[#This Row],[DISC 2-]])*NOTA[[#This Row],[DISC 3]])</f>
        <v/>
      </c>
      <c r="AB991" s="37" t="str">
        <f>IF(NOTA[[#This Row],[JUMLAH]]="","",NOTA[[#This Row],[DISC 1-]]+NOTA[[#This Row],[DISC 2-]]+NOTA[[#This Row],[DISC 3-]])</f>
        <v/>
      </c>
      <c r="AC991" s="37" t="str">
        <f>IF(NOTA[[#This Row],[JUMLAH]]="","",NOTA[[#This Row],[JUMLAH]]-NOTA[[#This Row],[DISC]])</f>
        <v/>
      </c>
      <c r="AD991" s="37"/>
      <c r="AE9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1" s="37" t="str">
        <f>IF(OR(NOTA[[#This Row],[QTY]]="",NOTA[[#This Row],[HARGA SATUAN]]="",),"",NOTA[[#This Row],[QTY]]*NOTA[[#This Row],[HARGA SATUAN]])</f>
        <v/>
      </c>
      <c r="AI991" s="26" t="str">
        <f ca="1">IF(NOTA[[#This Row],[ID_H]]="","",INDEX(NOTA[TANGGAL],MATCH(,INDIRECT(ADDRESS(ROW(NOTA[TANGGAL]),COLUMN(NOTA[TANGGAL]))&amp;":"&amp;ADDRESS(ROW(),COLUMN(NOTA[TANGGAL]))),-1)))</f>
        <v/>
      </c>
      <c r="AJ991" s="26" t="str">
        <f ca="1">IF(NOTA[[#This Row],[ID_H]]="","",INDEX(NOTA[TGL.NOTA],MATCH(,INDIRECT(ADDRESS(ROW(NOTA[TGL.NOTA]),COLUMN(NOTA[TGL.NOTA]))&amp;":"&amp;ADDRESS(ROW(),COLUMN(NOTA[TGL.NOTA]))),-1)))</f>
        <v/>
      </c>
      <c r="AK991" s="26" t="str">
        <f ca="1">IF(NOTA[[#This Row],[ID_H]]="","",INDEX(NOTA[NO.NOTA],MATCH(NOTA[[#This Row],[ID_H]],NOTA[ID_H],0)))</f>
        <v/>
      </c>
      <c r="AL991" s="28" t="str">
        <f ca="1">IF(NOTA[[#This Row],[NAMA BARANG]]="","",INDEX(NOTA[SUPPLIER],MATCH(,INDIRECT(ADDRESS(ROW(NOTA[ID]),COLUMN(NOTA[ID]))&amp;":"&amp;ADDRESS(ROW(),COLUMN(NOTA[ID]))),-1)))</f>
        <v/>
      </c>
      <c r="AM991" s="28" t="str">
        <f ca="1">IF(NOTA[[#This Row],[ID_H]]="","",IF(NOTA[[#This Row],[FAKTUR]]="",INDIRECT(ADDRESS(ROW()-1,COLUMN())),NOTA[[#This Row],[FAKTUR]]))</f>
        <v/>
      </c>
      <c r="AN991" s="25" t="str">
        <f ca="1">IF(NOTA[[#This Row],[ID]]="","",COUNTIF(NOTA[ID_H],NOTA[[#This Row],[ID_H]]))</f>
        <v/>
      </c>
      <c r="AO991" s="25" t="str">
        <f ca="1">IF(NOTA[[#This Row],[TGL.NOTA]]="",IF(NOTA[[#This Row],[SUPPLIER_H]]="","",AO990),MONTH(NOTA[[#This Row],[TGL.NOTA]]))</f>
        <v/>
      </c>
      <c r="AP9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1" s="25"/>
      <c r="AU991" s="25" t="str">
        <f>IF(NOTA[[#This Row],[CONCAT1]]="","",MATCH(NOTA[[#This Row],[CONCAT1]],[3]!db[NB NOTA_C],0))</f>
        <v/>
      </c>
      <c r="AV991" s="25" t="str">
        <f>IF(NOTA[[#This Row],[QTY/ CTN]]="","",TRUE)</f>
        <v/>
      </c>
      <c r="AW991" s="25" t="str">
        <f ca="1">IF(NOTA[[#This Row],[ID_H]]="","",IF(NOTA[[#This Row],[Column3]]=TRUE,NOTA[[#This Row],[QTY/ CTN]],INDEX([3]!db[QTY/ CTN],NOTA[[#This Row],[//DB]])))</f>
        <v/>
      </c>
      <c r="AX9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1" s="25" t="str">
        <f ca="1">IF(NOTA[[#This Row],[ID_H]]="","",MATCH(NOTA[[#This Row],[NB NOTA_C_QTY]],[3]!db[NB NOTA_C_QTY+F],0))</f>
        <v/>
      </c>
      <c r="AZ991" s="38" t="str">
        <f ca="1">IF(NOTA[[#This Row],[NB NOTA_C_QTY]]="","",ROW()-2)</f>
        <v/>
      </c>
    </row>
    <row r="992" spans="1:52" ht="20.100000000000001" customHeight="1">
      <c r="A9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2" s="25" t="str">
        <f ca="1">IF(NOTA[[#This Row],[NAMA BARANG]]="","",INDEX(NOTA[ID],MATCH(,INDIRECT(ADDRESS(ROW(NOTA[ID]),COLUMN(NOTA[ID]))&amp;":"&amp;ADDRESS(ROW(),COLUMN(NOTA[ID]))),-1)))</f>
        <v/>
      </c>
      <c r="E992" s="33"/>
      <c r="H992" s="34"/>
      <c r="Q992" s="29"/>
      <c r="R992" s="35"/>
      <c r="S992" s="36"/>
      <c r="V992" s="37"/>
      <c r="W992" s="32"/>
      <c r="X992" s="37" t="str">
        <f>IF(NOTA[[#This Row],[HARGA/ CTN]]="",NOTA[[#This Row],[JUMLAH_H]],NOTA[[#This Row],[HARGA/ CTN]]*IF(NOTA[[#This Row],[C]]="",0,NOTA[[#This Row],[C]]))</f>
        <v/>
      </c>
      <c r="Y992" s="37" t="str">
        <f>IF(NOTA[[#This Row],[JUMLAH]]="","",NOTA[[#This Row],[JUMLAH]]*NOTA[[#This Row],[DISC 1]])</f>
        <v/>
      </c>
      <c r="Z992" s="37" t="str">
        <f>IF(NOTA[[#This Row],[JUMLAH]]="","",(NOTA[[#This Row],[JUMLAH]]-NOTA[[#This Row],[DISC 1-]])*NOTA[[#This Row],[DISC 2]])</f>
        <v/>
      </c>
      <c r="AA992" s="37" t="str">
        <f>IF(NOTA[[#This Row],[JUMLAH]]="","",(NOTA[[#This Row],[JUMLAH]]-NOTA[[#This Row],[DISC 1-]]-NOTA[[#This Row],[DISC 2-]])*NOTA[[#This Row],[DISC 3]])</f>
        <v/>
      </c>
      <c r="AB992" s="37" t="str">
        <f>IF(NOTA[[#This Row],[JUMLAH]]="","",NOTA[[#This Row],[DISC 1-]]+NOTA[[#This Row],[DISC 2-]]+NOTA[[#This Row],[DISC 3-]])</f>
        <v/>
      </c>
      <c r="AC992" s="37" t="str">
        <f>IF(NOTA[[#This Row],[JUMLAH]]="","",NOTA[[#This Row],[JUMLAH]]-NOTA[[#This Row],[DISC]])</f>
        <v/>
      </c>
      <c r="AD992" s="37"/>
      <c r="AE9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2" s="37" t="str">
        <f>IF(OR(NOTA[[#This Row],[QTY]]="",NOTA[[#This Row],[HARGA SATUAN]]="",),"",NOTA[[#This Row],[QTY]]*NOTA[[#This Row],[HARGA SATUAN]])</f>
        <v/>
      </c>
      <c r="AI992" s="26" t="str">
        <f ca="1">IF(NOTA[[#This Row],[ID_H]]="","",INDEX(NOTA[TANGGAL],MATCH(,INDIRECT(ADDRESS(ROW(NOTA[TANGGAL]),COLUMN(NOTA[TANGGAL]))&amp;":"&amp;ADDRESS(ROW(),COLUMN(NOTA[TANGGAL]))),-1)))</f>
        <v/>
      </c>
      <c r="AJ992" s="26" t="str">
        <f ca="1">IF(NOTA[[#This Row],[ID_H]]="","",INDEX(NOTA[TGL.NOTA],MATCH(,INDIRECT(ADDRESS(ROW(NOTA[TGL.NOTA]),COLUMN(NOTA[TGL.NOTA]))&amp;":"&amp;ADDRESS(ROW(),COLUMN(NOTA[TGL.NOTA]))),-1)))</f>
        <v/>
      </c>
      <c r="AK992" s="26" t="str">
        <f ca="1">IF(NOTA[[#This Row],[ID_H]]="","",INDEX(NOTA[NO.NOTA],MATCH(NOTA[[#This Row],[ID_H]],NOTA[ID_H],0)))</f>
        <v/>
      </c>
      <c r="AL992" s="28" t="str">
        <f ca="1">IF(NOTA[[#This Row],[NAMA BARANG]]="","",INDEX(NOTA[SUPPLIER],MATCH(,INDIRECT(ADDRESS(ROW(NOTA[ID]),COLUMN(NOTA[ID]))&amp;":"&amp;ADDRESS(ROW(),COLUMN(NOTA[ID]))),-1)))</f>
        <v/>
      </c>
      <c r="AM992" s="28" t="str">
        <f ca="1">IF(NOTA[[#This Row],[ID_H]]="","",IF(NOTA[[#This Row],[FAKTUR]]="",INDIRECT(ADDRESS(ROW()-1,COLUMN())),NOTA[[#This Row],[FAKTUR]]))</f>
        <v/>
      </c>
      <c r="AN992" s="25" t="str">
        <f ca="1">IF(NOTA[[#This Row],[ID]]="","",COUNTIF(NOTA[ID_H],NOTA[[#This Row],[ID_H]]))</f>
        <v/>
      </c>
      <c r="AO992" s="25" t="str">
        <f ca="1">IF(NOTA[[#This Row],[TGL.NOTA]]="",IF(NOTA[[#This Row],[SUPPLIER_H]]="","",AO991),MONTH(NOTA[[#This Row],[TGL.NOTA]]))</f>
        <v/>
      </c>
      <c r="AP9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2" s="25"/>
      <c r="AU992" s="25" t="str">
        <f>IF(NOTA[[#This Row],[CONCAT1]]="","",MATCH(NOTA[[#This Row],[CONCAT1]],[3]!db[NB NOTA_C],0))</f>
        <v/>
      </c>
      <c r="AV992" s="25" t="str">
        <f>IF(NOTA[[#This Row],[QTY/ CTN]]="","",TRUE)</f>
        <v/>
      </c>
      <c r="AW992" s="25" t="str">
        <f ca="1">IF(NOTA[[#This Row],[ID_H]]="","",IF(NOTA[[#This Row],[Column3]]=TRUE,NOTA[[#This Row],[QTY/ CTN]],INDEX([3]!db[QTY/ CTN],NOTA[[#This Row],[//DB]])))</f>
        <v/>
      </c>
      <c r="AX9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2" s="25" t="str">
        <f ca="1">IF(NOTA[[#This Row],[ID_H]]="","",MATCH(NOTA[[#This Row],[NB NOTA_C_QTY]],[3]!db[NB NOTA_C_QTY+F],0))</f>
        <v/>
      </c>
      <c r="AZ992" s="38" t="str">
        <f ca="1">IF(NOTA[[#This Row],[NB NOTA_C_QTY]]="","",ROW()-2)</f>
        <v/>
      </c>
    </row>
    <row r="993" spans="1:52" ht="20.100000000000001" customHeight="1">
      <c r="A9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3" s="25" t="str">
        <f ca="1">IF(NOTA[[#This Row],[NAMA BARANG]]="","",INDEX(NOTA[ID],MATCH(,INDIRECT(ADDRESS(ROW(NOTA[ID]),COLUMN(NOTA[ID]))&amp;":"&amp;ADDRESS(ROW(),COLUMN(NOTA[ID]))),-1)))</f>
        <v/>
      </c>
      <c r="E993" s="33"/>
      <c r="H993" s="34"/>
      <c r="Q993" s="29"/>
      <c r="R993" s="35"/>
      <c r="S993" s="36"/>
      <c r="V993" s="37"/>
      <c r="W993" s="32"/>
      <c r="X993" s="37" t="str">
        <f>IF(NOTA[[#This Row],[HARGA/ CTN]]="",NOTA[[#This Row],[JUMLAH_H]],NOTA[[#This Row],[HARGA/ CTN]]*IF(NOTA[[#This Row],[C]]="",0,NOTA[[#This Row],[C]]))</f>
        <v/>
      </c>
      <c r="Y993" s="37" t="str">
        <f>IF(NOTA[[#This Row],[JUMLAH]]="","",NOTA[[#This Row],[JUMLAH]]*NOTA[[#This Row],[DISC 1]])</f>
        <v/>
      </c>
      <c r="Z993" s="37" t="str">
        <f>IF(NOTA[[#This Row],[JUMLAH]]="","",(NOTA[[#This Row],[JUMLAH]]-NOTA[[#This Row],[DISC 1-]])*NOTA[[#This Row],[DISC 2]])</f>
        <v/>
      </c>
      <c r="AA993" s="37" t="str">
        <f>IF(NOTA[[#This Row],[JUMLAH]]="","",(NOTA[[#This Row],[JUMLAH]]-NOTA[[#This Row],[DISC 1-]]-NOTA[[#This Row],[DISC 2-]])*NOTA[[#This Row],[DISC 3]])</f>
        <v/>
      </c>
      <c r="AB993" s="37" t="str">
        <f>IF(NOTA[[#This Row],[JUMLAH]]="","",NOTA[[#This Row],[DISC 1-]]+NOTA[[#This Row],[DISC 2-]]+NOTA[[#This Row],[DISC 3-]])</f>
        <v/>
      </c>
      <c r="AC993" s="37" t="str">
        <f>IF(NOTA[[#This Row],[JUMLAH]]="","",NOTA[[#This Row],[JUMLAH]]-NOTA[[#This Row],[DISC]])</f>
        <v/>
      </c>
      <c r="AD993" s="37"/>
      <c r="AE9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3" s="37" t="str">
        <f>IF(OR(NOTA[[#This Row],[QTY]]="",NOTA[[#This Row],[HARGA SATUAN]]="",),"",NOTA[[#This Row],[QTY]]*NOTA[[#This Row],[HARGA SATUAN]])</f>
        <v/>
      </c>
      <c r="AI993" s="26" t="str">
        <f ca="1">IF(NOTA[[#This Row],[ID_H]]="","",INDEX(NOTA[TANGGAL],MATCH(,INDIRECT(ADDRESS(ROW(NOTA[TANGGAL]),COLUMN(NOTA[TANGGAL]))&amp;":"&amp;ADDRESS(ROW(),COLUMN(NOTA[TANGGAL]))),-1)))</f>
        <v/>
      </c>
      <c r="AJ993" s="26" t="str">
        <f ca="1">IF(NOTA[[#This Row],[ID_H]]="","",INDEX(NOTA[TGL.NOTA],MATCH(,INDIRECT(ADDRESS(ROW(NOTA[TGL.NOTA]),COLUMN(NOTA[TGL.NOTA]))&amp;":"&amp;ADDRESS(ROW(),COLUMN(NOTA[TGL.NOTA]))),-1)))</f>
        <v/>
      </c>
      <c r="AK993" s="26" t="str">
        <f ca="1">IF(NOTA[[#This Row],[ID_H]]="","",INDEX(NOTA[NO.NOTA],MATCH(NOTA[[#This Row],[ID_H]],NOTA[ID_H],0)))</f>
        <v/>
      </c>
      <c r="AL993" s="28" t="str">
        <f ca="1">IF(NOTA[[#This Row],[NAMA BARANG]]="","",INDEX(NOTA[SUPPLIER],MATCH(,INDIRECT(ADDRESS(ROW(NOTA[ID]),COLUMN(NOTA[ID]))&amp;":"&amp;ADDRESS(ROW(),COLUMN(NOTA[ID]))),-1)))</f>
        <v/>
      </c>
      <c r="AM993" s="28" t="str">
        <f ca="1">IF(NOTA[[#This Row],[ID_H]]="","",IF(NOTA[[#This Row],[FAKTUR]]="",INDIRECT(ADDRESS(ROW()-1,COLUMN())),NOTA[[#This Row],[FAKTUR]]))</f>
        <v/>
      </c>
      <c r="AN993" s="25" t="str">
        <f ca="1">IF(NOTA[[#This Row],[ID]]="","",COUNTIF(NOTA[ID_H],NOTA[[#This Row],[ID_H]]))</f>
        <v/>
      </c>
      <c r="AO993" s="25" t="str">
        <f ca="1">IF(NOTA[[#This Row],[TGL.NOTA]]="",IF(NOTA[[#This Row],[SUPPLIER_H]]="","",AO992),MONTH(NOTA[[#This Row],[TGL.NOTA]]))</f>
        <v/>
      </c>
      <c r="AP9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3" s="25"/>
      <c r="AU993" s="25" t="str">
        <f>IF(NOTA[[#This Row],[CONCAT1]]="","",MATCH(NOTA[[#This Row],[CONCAT1]],[3]!db[NB NOTA_C],0))</f>
        <v/>
      </c>
      <c r="AV993" s="25" t="str">
        <f>IF(NOTA[[#This Row],[QTY/ CTN]]="","",TRUE)</f>
        <v/>
      </c>
      <c r="AW993" s="25" t="str">
        <f ca="1">IF(NOTA[[#This Row],[ID_H]]="","",IF(NOTA[[#This Row],[Column3]]=TRUE,NOTA[[#This Row],[QTY/ CTN]],INDEX([3]!db[QTY/ CTN],NOTA[[#This Row],[//DB]])))</f>
        <v/>
      </c>
      <c r="AX9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3" s="25" t="str">
        <f ca="1">IF(NOTA[[#This Row],[ID_H]]="","",MATCH(NOTA[[#This Row],[NB NOTA_C_QTY]],[3]!db[NB NOTA_C_QTY+F],0))</f>
        <v/>
      </c>
      <c r="AZ993" s="38" t="str">
        <f ca="1">IF(NOTA[[#This Row],[NB NOTA_C_QTY]]="","",ROW()-2)</f>
        <v/>
      </c>
    </row>
    <row r="994" spans="1:52" ht="20.100000000000001" customHeight="1">
      <c r="A9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4" s="25" t="str">
        <f ca="1">IF(NOTA[[#This Row],[NAMA BARANG]]="","",INDEX(NOTA[ID],MATCH(,INDIRECT(ADDRESS(ROW(NOTA[ID]),COLUMN(NOTA[ID]))&amp;":"&amp;ADDRESS(ROW(),COLUMN(NOTA[ID]))),-1)))</f>
        <v/>
      </c>
      <c r="E994" s="33"/>
      <c r="H994" s="34"/>
      <c r="Q994" s="29"/>
      <c r="R994" s="35"/>
      <c r="S994" s="36"/>
      <c r="V994" s="37"/>
      <c r="W994" s="32"/>
      <c r="X994" s="37" t="str">
        <f>IF(NOTA[[#This Row],[HARGA/ CTN]]="",NOTA[[#This Row],[JUMLAH_H]],NOTA[[#This Row],[HARGA/ CTN]]*IF(NOTA[[#This Row],[C]]="",0,NOTA[[#This Row],[C]]))</f>
        <v/>
      </c>
      <c r="Y994" s="37" t="str">
        <f>IF(NOTA[[#This Row],[JUMLAH]]="","",NOTA[[#This Row],[JUMLAH]]*NOTA[[#This Row],[DISC 1]])</f>
        <v/>
      </c>
      <c r="Z994" s="37" t="str">
        <f>IF(NOTA[[#This Row],[JUMLAH]]="","",(NOTA[[#This Row],[JUMLAH]]-NOTA[[#This Row],[DISC 1-]])*NOTA[[#This Row],[DISC 2]])</f>
        <v/>
      </c>
      <c r="AA994" s="37" t="str">
        <f>IF(NOTA[[#This Row],[JUMLAH]]="","",(NOTA[[#This Row],[JUMLAH]]-NOTA[[#This Row],[DISC 1-]]-NOTA[[#This Row],[DISC 2-]])*NOTA[[#This Row],[DISC 3]])</f>
        <v/>
      </c>
      <c r="AB994" s="37" t="str">
        <f>IF(NOTA[[#This Row],[JUMLAH]]="","",NOTA[[#This Row],[DISC 1-]]+NOTA[[#This Row],[DISC 2-]]+NOTA[[#This Row],[DISC 3-]])</f>
        <v/>
      </c>
      <c r="AC994" s="37" t="str">
        <f>IF(NOTA[[#This Row],[JUMLAH]]="","",NOTA[[#This Row],[JUMLAH]]-NOTA[[#This Row],[DISC]])</f>
        <v/>
      </c>
      <c r="AD994" s="37"/>
      <c r="AE9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4" s="37" t="str">
        <f>IF(OR(NOTA[[#This Row],[QTY]]="",NOTA[[#This Row],[HARGA SATUAN]]="",),"",NOTA[[#This Row],[QTY]]*NOTA[[#This Row],[HARGA SATUAN]])</f>
        <v/>
      </c>
      <c r="AI994" s="26" t="str">
        <f ca="1">IF(NOTA[[#This Row],[ID_H]]="","",INDEX(NOTA[TANGGAL],MATCH(,INDIRECT(ADDRESS(ROW(NOTA[TANGGAL]),COLUMN(NOTA[TANGGAL]))&amp;":"&amp;ADDRESS(ROW(),COLUMN(NOTA[TANGGAL]))),-1)))</f>
        <v/>
      </c>
      <c r="AJ994" s="26" t="str">
        <f ca="1">IF(NOTA[[#This Row],[ID_H]]="","",INDEX(NOTA[TGL.NOTA],MATCH(,INDIRECT(ADDRESS(ROW(NOTA[TGL.NOTA]),COLUMN(NOTA[TGL.NOTA]))&amp;":"&amp;ADDRESS(ROW(),COLUMN(NOTA[TGL.NOTA]))),-1)))</f>
        <v/>
      </c>
      <c r="AK994" s="26" t="str">
        <f ca="1">IF(NOTA[[#This Row],[ID_H]]="","",INDEX(NOTA[NO.NOTA],MATCH(NOTA[[#This Row],[ID_H]],NOTA[ID_H],0)))</f>
        <v/>
      </c>
      <c r="AL994" s="28" t="str">
        <f ca="1">IF(NOTA[[#This Row],[NAMA BARANG]]="","",INDEX(NOTA[SUPPLIER],MATCH(,INDIRECT(ADDRESS(ROW(NOTA[ID]),COLUMN(NOTA[ID]))&amp;":"&amp;ADDRESS(ROW(),COLUMN(NOTA[ID]))),-1)))</f>
        <v/>
      </c>
      <c r="AM994" s="28" t="str">
        <f ca="1">IF(NOTA[[#This Row],[ID_H]]="","",IF(NOTA[[#This Row],[FAKTUR]]="",INDIRECT(ADDRESS(ROW()-1,COLUMN())),NOTA[[#This Row],[FAKTUR]]))</f>
        <v/>
      </c>
      <c r="AN994" s="25" t="str">
        <f ca="1">IF(NOTA[[#This Row],[ID]]="","",COUNTIF(NOTA[ID_H],NOTA[[#This Row],[ID_H]]))</f>
        <v/>
      </c>
      <c r="AO994" s="25" t="str">
        <f ca="1">IF(NOTA[[#This Row],[TGL.NOTA]]="",IF(NOTA[[#This Row],[SUPPLIER_H]]="","",AO993),MONTH(NOTA[[#This Row],[TGL.NOTA]]))</f>
        <v/>
      </c>
      <c r="AP9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4" s="25"/>
      <c r="AU994" s="25" t="str">
        <f>IF(NOTA[[#This Row],[CONCAT1]]="","",MATCH(NOTA[[#This Row],[CONCAT1]],[3]!db[NB NOTA_C],0))</f>
        <v/>
      </c>
      <c r="AV994" s="25" t="str">
        <f>IF(NOTA[[#This Row],[QTY/ CTN]]="","",TRUE)</f>
        <v/>
      </c>
      <c r="AW994" s="25" t="str">
        <f ca="1">IF(NOTA[[#This Row],[ID_H]]="","",IF(NOTA[[#This Row],[Column3]]=TRUE,NOTA[[#This Row],[QTY/ CTN]],INDEX([3]!db[QTY/ CTN],NOTA[[#This Row],[//DB]])))</f>
        <v/>
      </c>
      <c r="AX9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4" s="25" t="str">
        <f ca="1">IF(NOTA[[#This Row],[ID_H]]="","",MATCH(NOTA[[#This Row],[NB NOTA_C_QTY]],[3]!db[NB NOTA_C_QTY+F],0))</f>
        <v/>
      </c>
      <c r="AZ994" s="38" t="str">
        <f ca="1">IF(NOTA[[#This Row],[NB NOTA_C_QTY]]="","",ROW()-2)</f>
        <v/>
      </c>
    </row>
    <row r="995" spans="1:52" ht="20.100000000000001" customHeight="1">
      <c r="A9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5" s="25" t="str">
        <f ca="1">IF(NOTA[[#This Row],[NAMA BARANG]]="","",INDEX(NOTA[ID],MATCH(,INDIRECT(ADDRESS(ROW(NOTA[ID]),COLUMN(NOTA[ID]))&amp;":"&amp;ADDRESS(ROW(),COLUMN(NOTA[ID]))),-1)))</f>
        <v/>
      </c>
      <c r="E995" s="33"/>
      <c r="H995" s="34"/>
      <c r="Q995" s="29"/>
      <c r="R995" s="35"/>
      <c r="S995" s="36"/>
      <c r="V995" s="37"/>
      <c r="W995" s="32"/>
      <c r="X995" s="37" t="str">
        <f>IF(NOTA[[#This Row],[HARGA/ CTN]]="",NOTA[[#This Row],[JUMLAH_H]],NOTA[[#This Row],[HARGA/ CTN]]*IF(NOTA[[#This Row],[C]]="",0,NOTA[[#This Row],[C]]))</f>
        <v/>
      </c>
      <c r="Y995" s="37" t="str">
        <f>IF(NOTA[[#This Row],[JUMLAH]]="","",NOTA[[#This Row],[JUMLAH]]*NOTA[[#This Row],[DISC 1]])</f>
        <v/>
      </c>
      <c r="Z995" s="37" t="str">
        <f>IF(NOTA[[#This Row],[JUMLAH]]="","",(NOTA[[#This Row],[JUMLAH]]-NOTA[[#This Row],[DISC 1-]])*NOTA[[#This Row],[DISC 2]])</f>
        <v/>
      </c>
      <c r="AA995" s="37" t="str">
        <f>IF(NOTA[[#This Row],[JUMLAH]]="","",(NOTA[[#This Row],[JUMLAH]]-NOTA[[#This Row],[DISC 1-]]-NOTA[[#This Row],[DISC 2-]])*NOTA[[#This Row],[DISC 3]])</f>
        <v/>
      </c>
      <c r="AB995" s="37" t="str">
        <f>IF(NOTA[[#This Row],[JUMLAH]]="","",NOTA[[#This Row],[DISC 1-]]+NOTA[[#This Row],[DISC 2-]]+NOTA[[#This Row],[DISC 3-]])</f>
        <v/>
      </c>
      <c r="AC995" s="37" t="str">
        <f>IF(NOTA[[#This Row],[JUMLAH]]="","",NOTA[[#This Row],[JUMLAH]]-NOTA[[#This Row],[DISC]])</f>
        <v/>
      </c>
      <c r="AD995" s="37"/>
      <c r="AE9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5" s="37" t="str">
        <f>IF(OR(NOTA[[#This Row],[QTY]]="",NOTA[[#This Row],[HARGA SATUAN]]="",),"",NOTA[[#This Row],[QTY]]*NOTA[[#This Row],[HARGA SATUAN]])</f>
        <v/>
      </c>
      <c r="AI995" s="26" t="str">
        <f ca="1">IF(NOTA[[#This Row],[ID_H]]="","",INDEX(NOTA[TANGGAL],MATCH(,INDIRECT(ADDRESS(ROW(NOTA[TANGGAL]),COLUMN(NOTA[TANGGAL]))&amp;":"&amp;ADDRESS(ROW(),COLUMN(NOTA[TANGGAL]))),-1)))</f>
        <v/>
      </c>
      <c r="AJ995" s="26" t="str">
        <f ca="1">IF(NOTA[[#This Row],[ID_H]]="","",INDEX(NOTA[TGL.NOTA],MATCH(,INDIRECT(ADDRESS(ROW(NOTA[TGL.NOTA]),COLUMN(NOTA[TGL.NOTA]))&amp;":"&amp;ADDRESS(ROW(),COLUMN(NOTA[TGL.NOTA]))),-1)))</f>
        <v/>
      </c>
      <c r="AK995" s="26" t="str">
        <f ca="1">IF(NOTA[[#This Row],[ID_H]]="","",INDEX(NOTA[NO.NOTA],MATCH(NOTA[[#This Row],[ID_H]],NOTA[ID_H],0)))</f>
        <v/>
      </c>
      <c r="AL995" s="28" t="str">
        <f ca="1">IF(NOTA[[#This Row],[NAMA BARANG]]="","",INDEX(NOTA[SUPPLIER],MATCH(,INDIRECT(ADDRESS(ROW(NOTA[ID]),COLUMN(NOTA[ID]))&amp;":"&amp;ADDRESS(ROW(),COLUMN(NOTA[ID]))),-1)))</f>
        <v/>
      </c>
      <c r="AM995" s="28" t="str">
        <f ca="1">IF(NOTA[[#This Row],[ID_H]]="","",IF(NOTA[[#This Row],[FAKTUR]]="",INDIRECT(ADDRESS(ROW()-1,COLUMN())),NOTA[[#This Row],[FAKTUR]]))</f>
        <v/>
      </c>
      <c r="AN995" s="25" t="str">
        <f ca="1">IF(NOTA[[#This Row],[ID]]="","",COUNTIF(NOTA[ID_H],NOTA[[#This Row],[ID_H]]))</f>
        <v/>
      </c>
      <c r="AO995" s="25" t="str">
        <f ca="1">IF(NOTA[[#This Row],[TGL.NOTA]]="",IF(NOTA[[#This Row],[SUPPLIER_H]]="","",AO994),MONTH(NOTA[[#This Row],[TGL.NOTA]]))</f>
        <v/>
      </c>
      <c r="AP9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5" s="25"/>
      <c r="AU995" s="25" t="str">
        <f>IF(NOTA[[#This Row],[CONCAT1]]="","",MATCH(NOTA[[#This Row],[CONCAT1]],[3]!db[NB NOTA_C],0))</f>
        <v/>
      </c>
      <c r="AV995" s="25" t="str">
        <f>IF(NOTA[[#This Row],[QTY/ CTN]]="","",TRUE)</f>
        <v/>
      </c>
      <c r="AW995" s="25" t="str">
        <f ca="1">IF(NOTA[[#This Row],[ID_H]]="","",IF(NOTA[[#This Row],[Column3]]=TRUE,NOTA[[#This Row],[QTY/ CTN]],INDEX([3]!db[QTY/ CTN],NOTA[[#This Row],[//DB]])))</f>
        <v/>
      </c>
      <c r="AX9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5" s="25" t="str">
        <f ca="1">IF(NOTA[[#This Row],[ID_H]]="","",MATCH(NOTA[[#This Row],[NB NOTA_C_QTY]],[3]!db[NB NOTA_C_QTY+F],0))</f>
        <v/>
      </c>
      <c r="AZ995" s="38" t="str">
        <f ca="1">IF(NOTA[[#This Row],[NB NOTA_C_QTY]]="","",ROW()-2)</f>
        <v/>
      </c>
    </row>
    <row r="996" spans="1:52" ht="20.100000000000001" customHeight="1">
      <c r="A9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6" s="25" t="str">
        <f ca="1">IF(NOTA[[#This Row],[NAMA BARANG]]="","",INDEX(NOTA[ID],MATCH(,INDIRECT(ADDRESS(ROW(NOTA[ID]),COLUMN(NOTA[ID]))&amp;":"&amp;ADDRESS(ROW(),COLUMN(NOTA[ID]))),-1)))</f>
        <v/>
      </c>
      <c r="E996" s="33"/>
      <c r="H996" s="34"/>
      <c r="Q996" s="29"/>
      <c r="R996" s="35"/>
      <c r="S996" s="36"/>
      <c r="V996" s="37"/>
      <c r="W996" s="32"/>
      <c r="X996" s="37" t="str">
        <f>IF(NOTA[[#This Row],[HARGA/ CTN]]="",NOTA[[#This Row],[JUMLAH_H]],NOTA[[#This Row],[HARGA/ CTN]]*IF(NOTA[[#This Row],[C]]="",0,NOTA[[#This Row],[C]]))</f>
        <v/>
      </c>
      <c r="Y996" s="37" t="str">
        <f>IF(NOTA[[#This Row],[JUMLAH]]="","",NOTA[[#This Row],[JUMLAH]]*NOTA[[#This Row],[DISC 1]])</f>
        <v/>
      </c>
      <c r="Z996" s="37" t="str">
        <f>IF(NOTA[[#This Row],[JUMLAH]]="","",(NOTA[[#This Row],[JUMLAH]]-NOTA[[#This Row],[DISC 1-]])*NOTA[[#This Row],[DISC 2]])</f>
        <v/>
      </c>
      <c r="AA996" s="37" t="str">
        <f>IF(NOTA[[#This Row],[JUMLAH]]="","",(NOTA[[#This Row],[JUMLAH]]-NOTA[[#This Row],[DISC 1-]]-NOTA[[#This Row],[DISC 2-]])*NOTA[[#This Row],[DISC 3]])</f>
        <v/>
      </c>
      <c r="AB996" s="37" t="str">
        <f>IF(NOTA[[#This Row],[JUMLAH]]="","",NOTA[[#This Row],[DISC 1-]]+NOTA[[#This Row],[DISC 2-]]+NOTA[[#This Row],[DISC 3-]])</f>
        <v/>
      </c>
      <c r="AC996" s="37" t="str">
        <f>IF(NOTA[[#This Row],[JUMLAH]]="","",NOTA[[#This Row],[JUMLAH]]-NOTA[[#This Row],[DISC]])</f>
        <v/>
      </c>
      <c r="AD996" s="37"/>
      <c r="AE9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6" s="37" t="str">
        <f>IF(OR(NOTA[[#This Row],[QTY]]="",NOTA[[#This Row],[HARGA SATUAN]]="",),"",NOTA[[#This Row],[QTY]]*NOTA[[#This Row],[HARGA SATUAN]])</f>
        <v/>
      </c>
      <c r="AI996" s="26" t="str">
        <f ca="1">IF(NOTA[[#This Row],[ID_H]]="","",INDEX(NOTA[TANGGAL],MATCH(,INDIRECT(ADDRESS(ROW(NOTA[TANGGAL]),COLUMN(NOTA[TANGGAL]))&amp;":"&amp;ADDRESS(ROW(),COLUMN(NOTA[TANGGAL]))),-1)))</f>
        <v/>
      </c>
      <c r="AJ996" s="26" t="str">
        <f ca="1">IF(NOTA[[#This Row],[ID_H]]="","",INDEX(NOTA[TGL.NOTA],MATCH(,INDIRECT(ADDRESS(ROW(NOTA[TGL.NOTA]),COLUMN(NOTA[TGL.NOTA]))&amp;":"&amp;ADDRESS(ROW(),COLUMN(NOTA[TGL.NOTA]))),-1)))</f>
        <v/>
      </c>
      <c r="AK996" s="26" t="str">
        <f ca="1">IF(NOTA[[#This Row],[ID_H]]="","",INDEX(NOTA[NO.NOTA],MATCH(NOTA[[#This Row],[ID_H]],NOTA[ID_H],0)))</f>
        <v/>
      </c>
      <c r="AL996" s="28" t="str">
        <f ca="1">IF(NOTA[[#This Row],[NAMA BARANG]]="","",INDEX(NOTA[SUPPLIER],MATCH(,INDIRECT(ADDRESS(ROW(NOTA[ID]),COLUMN(NOTA[ID]))&amp;":"&amp;ADDRESS(ROW(),COLUMN(NOTA[ID]))),-1)))</f>
        <v/>
      </c>
      <c r="AM996" s="28" t="str">
        <f ca="1">IF(NOTA[[#This Row],[ID_H]]="","",IF(NOTA[[#This Row],[FAKTUR]]="",INDIRECT(ADDRESS(ROW()-1,COLUMN())),NOTA[[#This Row],[FAKTUR]]))</f>
        <v/>
      </c>
      <c r="AN996" s="25" t="str">
        <f ca="1">IF(NOTA[[#This Row],[ID]]="","",COUNTIF(NOTA[ID_H],NOTA[[#This Row],[ID_H]]))</f>
        <v/>
      </c>
      <c r="AO996" s="25" t="str">
        <f ca="1">IF(NOTA[[#This Row],[TGL.NOTA]]="",IF(NOTA[[#This Row],[SUPPLIER_H]]="","",AO995),MONTH(NOTA[[#This Row],[TGL.NOTA]]))</f>
        <v/>
      </c>
      <c r="AP9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6" s="25"/>
      <c r="AU996" s="25" t="str">
        <f>IF(NOTA[[#This Row],[CONCAT1]]="","",MATCH(NOTA[[#This Row],[CONCAT1]],[3]!db[NB NOTA_C],0))</f>
        <v/>
      </c>
      <c r="AV996" s="25" t="str">
        <f>IF(NOTA[[#This Row],[QTY/ CTN]]="","",TRUE)</f>
        <v/>
      </c>
      <c r="AW996" s="25" t="str">
        <f ca="1">IF(NOTA[[#This Row],[ID_H]]="","",IF(NOTA[[#This Row],[Column3]]=TRUE,NOTA[[#This Row],[QTY/ CTN]],INDEX([3]!db[QTY/ CTN],NOTA[[#This Row],[//DB]])))</f>
        <v/>
      </c>
      <c r="AX9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6" s="25" t="str">
        <f ca="1">IF(NOTA[[#This Row],[ID_H]]="","",MATCH(NOTA[[#This Row],[NB NOTA_C_QTY]],[3]!db[NB NOTA_C_QTY+F],0))</f>
        <v/>
      </c>
      <c r="AZ996" s="38" t="str">
        <f ca="1">IF(NOTA[[#This Row],[NB NOTA_C_QTY]]="","",ROW()-2)</f>
        <v/>
      </c>
    </row>
    <row r="997" spans="1:52" ht="20.100000000000001" customHeight="1">
      <c r="A9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7" s="25" t="str">
        <f ca="1">IF(NOTA[[#This Row],[NAMA BARANG]]="","",INDEX(NOTA[ID],MATCH(,INDIRECT(ADDRESS(ROW(NOTA[ID]),COLUMN(NOTA[ID]))&amp;":"&amp;ADDRESS(ROW(),COLUMN(NOTA[ID]))),-1)))</f>
        <v/>
      </c>
      <c r="E997" s="33"/>
      <c r="H997" s="34"/>
      <c r="Q997" s="29"/>
      <c r="R997" s="35"/>
      <c r="S997" s="36"/>
      <c r="V997" s="37"/>
      <c r="W997" s="32"/>
      <c r="X997" s="37" t="str">
        <f>IF(NOTA[[#This Row],[HARGA/ CTN]]="",NOTA[[#This Row],[JUMLAH_H]],NOTA[[#This Row],[HARGA/ CTN]]*IF(NOTA[[#This Row],[C]]="",0,NOTA[[#This Row],[C]]))</f>
        <v/>
      </c>
      <c r="Y997" s="37" t="str">
        <f>IF(NOTA[[#This Row],[JUMLAH]]="","",NOTA[[#This Row],[JUMLAH]]*NOTA[[#This Row],[DISC 1]])</f>
        <v/>
      </c>
      <c r="Z997" s="37" t="str">
        <f>IF(NOTA[[#This Row],[JUMLAH]]="","",(NOTA[[#This Row],[JUMLAH]]-NOTA[[#This Row],[DISC 1-]])*NOTA[[#This Row],[DISC 2]])</f>
        <v/>
      </c>
      <c r="AA997" s="37" t="str">
        <f>IF(NOTA[[#This Row],[JUMLAH]]="","",(NOTA[[#This Row],[JUMLAH]]-NOTA[[#This Row],[DISC 1-]]-NOTA[[#This Row],[DISC 2-]])*NOTA[[#This Row],[DISC 3]])</f>
        <v/>
      </c>
      <c r="AB997" s="37" t="str">
        <f>IF(NOTA[[#This Row],[JUMLAH]]="","",NOTA[[#This Row],[DISC 1-]]+NOTA[[#This Row],[DISC 2-]]+NOTA[[#This Row],[DISC 3-]])</f>
        <v/>
      </c>
      <c r="AC997" s="37" t="str">
        <f>IF(NOTA[[#This Row],[JUMLAH]]="","",NOTA[[#This Row],[JUMLAH]]-NOTA[[#This Row],[DISC]])</f>
        <v/>
      </c>
      <c r="AD997" s="37"/>
      <c r="AE9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7" s="37" t="str">
        <f>IF(OR(NOTA[[#This Row],[QTY]]="",NOTA[[#This Row],[HARGA SATUAN]]="",),"",NOTA[[#This Row],[QTY]]*NOTA[[#This Row],[HARGA SATUAN]])</f>
        <v/>
      </c>
      <c r="AI997" s="26" t="str">
        <f ca="1">IF(NOTA[[#This Row],[ID_H]]="","",INDEX(NOTA[TANGGAL],MATCH(,INDIRECT(ADDRESS(ROW(NOTA[TANGGAL]),COLUMN(NOTA[TANGGAL]))&amp;":"&amp;ADDRESS(ROW(),COLUMN(NOTA[TANGGAL]))),-1)))</f>
        <v/>
      </c>
      <c r="AJ997" s="26" t="str">
        <f ca="1">IF(NOTA[[#This Row],[ID_H]]="","",INDEX(NOTA[TGL.NOTA],MATCH(,INDIRECT(ADDRESS(ROW(NOTA[TGL.NOTA]),COLUMN(NOTA[TGL.NOTA]))&amp;":"&amp;ADDRESS(ROW(),COLUMN(NOTA[TGL.NOTA]))),-1)))</f>
        <v/>
      </c>
      <c r="AK997" s="26" t="str">
        <f ca="1">IF(NOTA[[#This Row],[ID_H]]="","",INDEX(NOTA[NO.NOTA],MATCH(NOTA[[#This Row],[ID_H]],NOTA[ID_H],0)))</f>
        <v/>
      </c>
      <c r="AL997" s="28" t="str">
        <f ca="1">IF(NOTA[[#This Row],[NAMA BARANG]]="","",INDEX(NOTA[SUPPLIER],MATCH(,INDIRECT(ADDRESS(ROW(NOTA[ID]),COLUMN(NOTA[ID]))&amp;":"&amp;ADDRESS(ROW(),COLUMN(NOTA[ID]))),-1)))</f>
        <v/>
      </c>
      <c r="AM997" s="28" t="str">
        <f ca="1">IF(NOTA[[#This Row],[ID_H]]="","",IF(NOTA[[#This Row],[FAKTUR]]="",INDIRECT(ADDRESS(ROW()-1,COLUMN())),NOTA[[#This Row],[FAKTUR]]))</f>
        <v/>
      </c>
      <c r="AN997" s="25" t="str">
        <f ca="1">IF(NOTA[[#This Row],[ID]]="","",COUNTIF(NOTA[ID_H],NOTA[[#This Row],[ID_H]]))</f>
        <v/>
      </c>
      <c r="AO997" s="25" t="str">
        <f ca="1">IF(NOTA[[#This Row],[TGL.NOTA]]="",IF(NOTA[[#This Row],[SUPPLIER_H]]="","",AO996),MONTH(NOTA[[#This Row],[TGL.NOTA]]))</f>
        <v/>
      </c>
      <c r="AP9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7" s="25"/>
      <c r="AU997" s="25" t="str">
        <f>IF(NOTA[[#This Row],[CONCAT1]]="","",MATCH(NOTA[[#This Row],[CONCAT1]],[3]!db[NB NOTA_C],0))</f>
        <v/>
      </c>
      <c r="AV997" s="25" t="str">
        <f>IF(NOTA[[#This Row],[QTY/ CTN]]="","",TRUE)</f>
        <v/>
      </c>
      <c r="AW997" s="25" t="str">
        <f ca="1">IF(NOTA[[#This Row],[ID_H]]="","",IF(NOTA[[#This Row],[Column3]]=TRUE,NOTA[[#This Row],[QTY/ CTN]],INDEX([3]!db[QTY/ CTN],NOTA[[#This Row],[//DB]])))</f>
        <v/>
      </c>
      <c r="AX9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7" s="25" t="str">
        <f ca="1">IF(NOTA[[#This Row],[ID_H]]="","",MATCH(NOTA[[#This Row],[NB NOTA_C_QTY]],[3]!db[NB NOTA_C_QTY+F],0))</f>
        <v/>
      </c>
      <c r="AZ997" s="38" t="str">
        <f ca="1">IF(NOTA[[#This Row],[NB NOTA_C_QTY]]="","",ROW()-2)</f>
        <v/>
      </c>
    </row>
    <row r="998" spans="1:52" ht="20.100000000000001" customHeight="1">
      <c r="A9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8" s="25" t="str">
        <f ca="1">IF(NOTA[[#This Row],[NAMA BARANG]]="","",INDEX(NOTA[ID],MATCH(,INDIRECT(ADDRESS(ROW(NOTA[ID]),COLUMN(NOTA[ID]))&amp;":"&amp;ADDRESS(ROW(),COLUMN(NOTA[ID]))),-1)))</f>
        <v/>
      </c>
      <c r="E998" s="33"/>
      <c r="H998" s="34"/>
      <c r="Q998" s="29"/>
      <c r="R998" s="35"/>
      <c r="S998" s="36"/>
      <c r="V998" s="37"/>
      <c r="W998" s="32"/>
      <c r="X998" s="37" t="str">
        <f>IF(NOTA[[#This Row],[HARGA/ CTN]]="",NOTA[[#This Row],[JUMLAH_H]],NOTA[[#This Row],[HARGA/ CTN]]*IF(NOTA[[#This Row],[C]]="",0,NOTA[[#This Row],[C]]))</f>
        <v/>
      </c>
      <c r="Y998" s="37" t="str">
        <f>IF(NOTA[[#This Row],[JUMLAH]]="","",NOTA[[#This Row],[JUMLAH]]*NOTA[[#This Row],[DISC 1]])</f>
        <v/>
      </c>
      <c r="Z998" s="37" t="str">
        <f>IF(NOTA[[#This Row],[JUMLAH]]="","",(NOTA[[#This Row],[JUMLAH]]-NOTA[[#This Row],[DISC 1-]])*NOTA[[#This Row],[DISC 2]])</f>
        <v/>
      </c>
      <c r="AA998" s="37" t="str">
        <f>IF(NOTA[[#This Row],[JUMLAH]]="","",(NOTA[[#This Row],[JUMLAH]]-NOTA[[#This Row],[DISC 1-]]-NOTA[[#This Row],[DISC 2-]])*NOTA[[#This Row],[DISC 3]])</f>
        <v/>
      </c>
      <c r="AB998" s="37" t="str">
        <f>IF(NOTA[[#This Row],[JUMLAH]]="","",NOTA[[#This Row],[DISC 1-]]+NOTA[[#This Row],[DISC 2-]]+NOTA[[#This Row],[DISC 3-]])</f>
        <v/>
      </c>
      <c r="AC998" s="37" t="str">
        <f>IF(NOTA[[#This Row],[JUMLAH]]="","",NOTA[[#This Row],[JUMLAH]]-NOTA[[#This Row],[DISC]])</f>
        <v/>
      </c>
      <c r="AD998" s="37"/>
      <c r="AE9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8" s="37" t="str">
        <f>IF(OR(NOTA[[#This Row],[QTY]]="",NOTA[[#This Row],[HARGA SATUAN]]="",),"",NOTA[[#This Row],[QTY]]*NOTA[[#This Row],[HARGA SATUAN]])</f>
        <v/>
      </c>
      <c r="AI998" s="26" t="str">
        <f ca="1">IF(NOTA[[#This Row],[ID_H]]="","",INDEX(NOTA[TANGGAL],MATCH(,INDIRECT(ADDRESS(ROW(NOTA[TANGGAL]),COLUMN(NOTA[TANGGAL]))&amp;":"&amp;ADDRESS(ROW(),COLUMN(NOTA[TANGGAL]))),-1)))</f>
        <v/>
      </c>
      <c r="AJ998" s="26" t="str">
        <f ca="1">IF(NOTA[[#This Row],[ID_H]]="","",INDEX(NOTA[TGL.NOTA],MATCH(,INDIRECT(ADDRESS(ROW(NOTA[TGL.NOTA]),COLUMN(NOTA[TGL.NOTA]))&amp;":"&amp;ADDRESS(ROW(),COLUMN(NOTA[TGL.NOTA]))),-1)))</f>
        <v/>
      </c>
      <c r="AK998" s="26" t="str">
        <f ca="1">IF(NOTA[[#This Row],[ID_H]]="","",INDEX(NOTA[NO.NOTA],MATCH(NOTA[[#This Row],[ID_H]],NOTA[ID_H],0)))</f>
        <v/>
      </c>
      <c r="AL998" s="28" t="str">
        <f ca="1">IF(NOTA[[#This Row],[NAMA BARANG]]="","",INDEX(NOTA[SUPPLIER],MATCH(,INDIRECT(ADDRESS(ROW(NOTA[ID]),COLUMN(NOTA[ID]))&amp;":"&amp;ADDRESS(ROW(),COLUMN(NOTA[ID]))),-1)))</f>
        <v/>
      </c>
      <c r="AM998" s="28" t="str">
        <f ca="1">IF(NOTA[[#This Row],[ID_H]]="","",IF(NOTA[[#This Row],[FAKTUR]]="",INDIRECT(ADDRESS(ROW()-1,COLUMN())),NOTA[[#This Row],[FAKTUR]]))</f>
        <v/>
      </c>
      <c r="AN998" s="25" t="str">
        <f ca="1">IF(NOTA[[#This Row],[ID]]="","",COUNTIF(NOTA[ID_H],NOTA[[#This Row],[ID_H]]))</f>
        <v/>
      </c>
      <c r="AO998" s="25" t="str">
        <f ca="1">IF(NOTA[[#This Row],[TGL.NOTA]]="",IF(NOTA[[#This Row],[SUPPLIER_H]]="","",AO997),MONTH(NOTA[[#This Row],[TGL.NOTA]]))</f>
        <v/>
      </c>
      <c r="AP9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8" s="25"/>
      <c r="AU998" s="25" t="str">
        <f>IF(NOTA[[#This Row],[CONCAT1]]="","",MATCH(NOTA[[#This Row],[CONCAT1]],[3]!db[NB NOTA_C],0))</f>
        <v/>
      </c>
      <c r="AV998" s="25" t="str">
        <f>IF(NOTA[[#This Row],[QTY/ CTN]]="","",TRUE)</f>
        <v/>
      </c>
      <c r="AW998" s="25" t="str">
        <f ca="1">IF(NOTA[[#This Row],[ID_H]]="","",IF(NOTA[[#This Row],[Column3]]=TRUE,NOTA[[#This Row],[QTY/ CTN]],INDEX([3]!db[QTY/ CTN],NOTA[[#This Row],[//DB]])))</f>
        <v/>
      </c>
      <c r="AX9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8" s="25" t="str">
        <f ca="1">IF(NOTA[[#This Row],[ID_H]]="","",MATCH(NOTA[[#This Row],[NB NOTA_C_QTY]],[3]!db[NB NOTA_C_QTY+F],0))</f>
        <v/>
      </c>
      <c r="AZ998" s="38" t="str">
        <f ca="1">IF(NOTA[[#This Row],[NB NOTA_C_QTY]]="","",ROW()-2)</f>
        <v/>
      </c>
    </row>
    <row r="999" spans="1:52" ht="20.100000000000001" customHeight="1">
      <c r="A9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9" s="25" t="str">
        <f ca="1">IF(NOTA[[#This Row],[NAMA BARANG]]="","",INDEX(NOTA[ID],MATCH(,INDIRECT(ADDRESS(ROW(NOTA[ID]),COLUMN(NOTA[ID]))&amp;":"&amp;ADDRESS(ROW(),COLUMN(NOTA[ID]))),-1)))</f>
        <v/>
      </c>
      <c r="E999" s="33"/>
      <c r="H999" s="34"/>
      <c r="Q999" s="29"/>
      <c r="R999" s="35"/>
      <c r="S999" s="36"/>
      <c r="V999" s="37"/>
      <c r="W999" s="32"/>
      <c r="X999" s="37" t="str">
        <f>IF(NOTA[[#This Row],[HARGA/ CTN]]="",NOTA[[#This Row],[JUMLAH_H]],NOTA[[#This Row],[HARGA/ CTN]]*IF(NOTA[[#This Row],[C]]="",0,NOTA[[#This Row],[C]]))</f>
        <v/>
      </c>
      <c r="Y999" s="37" t="str">
        <f>IF(NOTA[[#This Row],[JUMLAH]]="","",NOTA[[#This Row],[JUMLAH]]*NOTA[[#This Row],[DISC 1]])</f>
        <v/>
      </c>
      <c r="Z999" s="37" t="str">
        <f>IF(NOTA[[#This Row],[JUMLAH]]="","",(NOTA[[#This Row],[JUMLAH]]-NOTA[[#This Row],[DISC 1-]])*NOTA[[#This Row],[DISC 2]])</f>
        <v/>
      </c>
      <c r="AA999" s="37" t="str">
        <f>IF(NOTA[[#This Row],[JUMLAH]]="","",(NOTA[[#This Row],[JUMLAH]]-NOTA[[#This Row],[DISC 1-]]-NOTA[[#This Row],[DISC 2-]])*NOTA[[#This Row],[DISC 3]])</f>
        <v/>
      </c>
      <c r="AB999" s="37" t="str">
        <f>IF(NOTA[[#This Row],[JUMLAH]]="","",NOTA[[#This Row],[DISC 1-]]+NOTA[[#This Row],[DISC 2-]]+NOTA[[#This Row],[DISC 3-]])</f>
        <v/>
      </c>
      <c r="AC999" s="37" t="str">
        <f>IF(NOTA[[#This Row],[JUMLAH]]="","",NOTA[[#This Row],[JUMLAH]]-NOTA[[#This Row],[DISC]])</f>
        <v/>
      </c>
      <c r="AD999" s="37"/>
      <c r="AE9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9" s="37" t="str">
        <f>IF(OR(NOTA[[#This Row],[QTY]]="",NOTA[[#This Row],[HARGA SATUAN]]="",),"",NOTA[[#This Row],[QTY]]*NOTA[[#This Row],[HARGA SATUAN]])</f>
        <v/>
      </c>
      <c r="AI999" s="26" t="str">
        <f ca="1">IF(NOTA[[#This Row],[ID_H]]="","",INDEX(NOTA[TANGGAL],MATCH(,INDIRECT(ADDRESS(ROW(NOTA[TANGGAL]),COLUMN(NOTA[TANGGAL]))&amp;":"&amp;ADDRESS(ROW(),COLUMN(NOTA[TANGGAL]))),-1)))</f>
        <v/>
      </c>
      <c r="AJ999" s="26" t="str">
        <f ca="1">IF(NOTA[[#This Row],[ID_H]]="","",INDEX(NOTA[TGL.NOTA],MATCH(,INDIRECT(ADDRESS(ROW(NOTA[TGL.NOTA]),COLUMN(NOTA[TGL.NOTA]))&amp;":"&amp;ADDRESS(ROW(),COLUMN(NOTA[TGL.NOTA]))),-1)))</f>
        <v/>
      </c>
      <c r="AK999" s="26" t="str">
        <f ca="1">IF(NOTA[[#This Row],[ID_H]]="","",INDEX(NOTA[NO.NOTA],MATCH(NOTA[[#This Row],[ID_H]],NOTA[ID_H],0)))</f>
        <v/>
      </c>
      <c r="AL999" s="28" t="str">
        <f ca="1">IF(NOTA[[#This Row],[NAMA BARANG]]="","",INDEX(NOTA[SUPPLIER],MATCH(,INDIRECT(ADDRESS(ROW(NOTA[ID]),COLUMN(NOTA[ID]))&amp;":"&amp;ADDRESS(ROW(),COLUMN(NOTA[ID]))),-1)))</f>
        <v/>
      </c>
      <c r="AM999" s="28" t="str">
        <f ca="1">IF(NOTA[[#This Row],[ID_H]]="","",IF(NOTA[[#This Row],[FAKTUR]]="",INDIRECT(ADDRESS(ROW()-1,COLUMN())),NOTA[[#This Row],[FAKTUR]]))</f>
        <v/>
      </c>
      <c r="AN999" s="25" t="str">
        <f ca="1">IF(NOTA[[#This Row],[ID]]="","",COUNTIF(NOTA[ID_H],NOTA[[#This Row],[ID_H]]))</f>
        <v/>
      </c>
      <c r="AO999" s="25" t="str">
        <f ca="1">IF(NOTA[[#This Row],[TGL.NOTA]]="",IF(NOTA[[#This Row],[SUPPLIER_H]]="","",AO998),MONTH(NOTA[[#This Row],[TGL.NOTA]]))</f>
        <v/>
      </c>
      <c r="AP9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9" s="25"/>
      <c r="AU999" s="25" t="str">
        <f>IF(NOTA[[#This Row],[CONCAT1]]="","",MATCH(NOTA[[#This Row],[CONCAT1]],[3]!db[NB NOTA_C],0))</f>
        <v/>
      </c>
      <c r="AV999" s="25" t="str">
        <f>IF(NOTA[[#This Row],[QTY/ CTN]]="","",TRUE)</f>
        <v/>
      </c>
      <c r="AW999" s="25" t="str">
        <f ca="1">IF(NOTA[[#This Row],[ID_H]]="","",IF(NOTA[[#This Row],[Column3]]=TRUE,NOTA[[#This Row],[QTY/ CTN]],INDEX([3]!db[QTY/ CTN],NOTA[[#This Row],[//DB]])))</f>
        <v/>
      </c>
      <c r="AX9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9" s="25" t="str">
        <f ca="1">IF(NOTA[[#This Row],[ID_H]]="","",MATCH(NOTA[[#This Row],[NB NOTA_C_QTY]],[3]!db[NB NOTA_C_QTY+F],0))</f>
        <v/>
      </c>
      <c r="AZ999" s="38" t="str">
        <f ca="1">IF(NOTA[[#This Row],[NB NOTA_C_QTY]]="","",ROW()-2)</f>
        <v/>
      </c>
    </row>
    <row r="1000" spans="1:52" ht="20.100000000000001" customHeight="1">
      <c r="A10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0" s="25" t="str">
        <f ca="1">IF(NOTA[[#This Row],[NAMA BARANG]]="","",INDEX(NOTA[ID],MATCH(,INDIRECT(ADDRESS(ROW(NOTA[ID]),COLUMN(NOTA[ID]))&amp;":"&amp;ADDRESS(ROW(),COLUMN(NOTA[ID]))),-1)))</f>
        <v/>
      </c>
      <c r="E1000" s="33"/>
      <c r="H1000" s="34"/>
      <c r="Q1000" s="29"/>
      <c r="R1000" s="35"/>
      <c r="S1000" s="36"/>
      <c r="V1000" s="37"/>
      <c r="W1000" s="32"/>
      <c r="X1000" s="37" t="str">
        <f>IF(NOTA[[#This Row],[HARGA/ CTN]]="",NOTA[[#This Row],[JUMLAH_H]],NOTA[[#This Row],[HARGA/ CTN]]*IF(NOTA[[#This Row],[C]]="",0,NOTA[[#This Row],[C]]))</f>
        <v/>
      </c>
      <c r="Y1000" s="37" t="str">
        <f>IF(NOTA[[#This Row],[JUMLAH]]="","",NOTA[[#This Row],[JUMLAH]]*NOTA[[#This Row],[DISC 1]])</f>
        <v/>
      </c>
      <c r="Z1000" s="37" t="str">
        <f>IF(NOTA[[#This Row],[JUMLAH]]="","",(NOTA[[#This Row],[JUMLAH]]-NOTA[[#This Row],[DISC 1-]])*NOTA[[#This Row],[DISC 2]])</f>
        <v/>
      </c>
      <c r="AA1000" s="37" t="str">
        <f>IF(NOTA[[#This Row],[JUMLAH]]="","",(NOTA[[#This Row],[JUMLAH]]-NOTA[[#This Row],[DISC 1-]]-NOTA[[#This Row],[DISC 2-]])*NOTA[[#This Row],[DISC 3]])</f>
        <v/>
      </c>
      <c r="AB1000" s="37" t="str">
        <f>IF(NOTA[[#This Row],[JUMLAH]]="","",NOTA[[#This Row],[DISC 1-]]+NOTA[[#This Row],[DISC 2-]]+NOTA[[#This Row],[DISC 3-]])</f>
        <v/>
      </c>
      <c r="AC1000" s="37" t="str">
        <f>IF(NOTA[[#This Row],[JUMLAH]]="","",NOTA[[#This Row],[JUMLAH]]-NOTA[[#This Row],[DISC]])</f>
        <v/>
      </c>
      <c r="AD1000" s="37"/>
      <c r="AE10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0" s="37" t="str">
        <f>IF(OR(NOTA[[#This Row],[QTY]]="",NOTA[[#This Row],[HARGA SATUAN]]="",),"",NOTA[[#This Row],[QTY]]*NOTA[[#This Row],[HARGA SATUAN]])</f>
        <v/>
      </c>
      <c r="AI1000" s="26" t="str">
        <f ca="1">IF(NOTA[[#This Row],[ID_H]]="","",INDEX(NOTA[TANGGAL],MATCH(,INDIRECT(ADDRESS(ROW(NOTA[TANGGAL]),COLUMN(NOTA[TANGGAL]))&amp;":"&amp;ADDRESS(ROW(),COLUMN(NOTA[TANGGAL]))),-1)))</f>
        <v/>
      </c>
      <c r="AJ1000" s="26" t="str">
        <f ca="1">IF(NOTA[[#This Row],[ID_H]]="","",INDEX(NOTA[TGL.NOTA],MATCH(,INDIRECT(ADDRESS(ROW(NOTA[TGL.NOTA]),COLUMN(NOTA[TGL.NOTA]))&amp;":"&amp;ADDRESS(ROW(),COLUMN(NOTA[TGL.NOTA]))),-1)))</f>
        <v/>
      </c>
      <c r="AK1000" s="26" t="str">
        <f ca="1">IF(NOTA[[#This Row],[ID_H]]="","",INDEX(NOTA[NO.NOTA],MATCH(NOTA[[#This Row],[ID_H]],NOTA[ID_H],0)))</f>
        <v/>
      </c>
      <c r="AL1000" s="28" t="str">
        <f ca="1">IF(NOTA[[#This Row],[NAMA BARANG]]="","",INDEX(NOTA[SUPPLIER],MATCH(,INDIRECT(ADDRESS(ROW(NOTA[ID]),COLUMN(NOTA[ID]))&amp;":"&amp;ADDRESS(ROW(),COLUMN(NOTA[ID]))),-1)))</f>
        <v/>
      </c>
      <c r="AM1000" s="28" t="str">
        <f ca="1">IF(NOTA[[#This Row],[ID_H]]="","",IF(NOTA[[#This Row],[FAKTUR]]="",INDIRECT(ADDRESS(ROW()-1,COLUMN())),NOTA[[#This Row],[FAKTUR]]))</f>
        <v/>
      </c>
      <c r="AN1000" s="25" t="str">
        <f ca="1">IF(NOTA[[#This Row],[ID]]="","",COUNTIF(NOTA[ID_H],NOTA[[#This Row],[ID_H]]))</f>
        <v/>
      </c>
      <c r="AO1000" s="25" t="str">
        <f ca="1">IF(NOTA[[#This Row],[TGL.NOTA]]="",IF(NOTA[[#This Row],[SUPPLIER_H]]="","",AO999),MONTH(NOTA[[#This Row],[TGL.NOTA]]))</f>
        <v/>
      </c>
      <c r="AP10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0" s="25"/>
      <c r="AU1000" s="25" t="str">
        <f>IF(NOTA[[#This Row],[CONCAT1]]="","",MATCH(NOTA[[#This Row],[CONCAT1]],[3]!db[NB NOTA_C],0))</f>
        <v/>
      </c>
      <c r="AV1000" s="25" t="str">
        <f>IF(NOTA[[#This Row],[QTY/ CTN]]="","",TRUE)</f>
        <v/>
      </c>
      <c r="AW1000" s="25" t="str">
        <f ca="1">IF(NOTA[[#This Row],[ID_H]]="","",IF(NOTA[[#This Row],[Column3]]=TRUE,NOTA[[#This Row],[QTY/ CTN]],INDEX([3]!db[QTY/ CTN],NOTA[[#This Row],[//DB]])))</f>
        <v/>
      </c>
      <c r="AX10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0" s="25" t="str">
        <f ca="1">IF(NOTA[[#This Row],[ID_H]]="","",MATCH(NOTA[[#This Row],[NB NOTA_C_QTY]],[3]!db[NB NOTA_C_QTY+F],0))</f>
        <v/>
      </c>
      <c r="AZ1000" s="38" t="str">
        <f ca="1">IF(NOTA[[#This Row],[NB NOTA_C_QTY]]="","",ROW()-2)</f>
        <v/>
      </c>
    </row>
    <row r="1001" spans="1:52" ht="20.100000000000001" customHeight="1">
      <c r="A10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1" s="25" t="str">
        <f ca="1">IF(NOTA[[#This Row],[NAMA BARANG]]="","",INDEX(NOTA[ID],MATCH(,INDIRECT(ADDRESS(ROW(NOTA[ID]),COLUMN(NOTA[ID]))&amp;":"&amp;ADDRESS(ROW(),COLUMN(NOTA[ID]))),-1)))</f>
        <v/>
      </c>
      <c r="E1001" s="33"/>
      <c r="H1001" s="34"/>
      <c r="Q1001" s="29"/>
      <c r="R1001" s="35"/>
      <c r="S1001" s="36"/>
      <c r="V1001" s="37"/>
      <c r="W1001" s="32"/>
      <c r="X1001" s="37" t="str">
        <f>IF(NOTA[[#This Row],[HARGA/ CTN]]="",NOTA[[#This Row],[JUMLAH_H]],NOTA[[#This Row],[HARGA/ CTN]]*IF(NOTA[[#This Row],[C]]="",0,NOTA[[#This Row],[C]]))</f>
        <v/>
      </c>
      <c r="Y1001" s="37" t="str">
        <f>IF(NOTA[[#This Row],[JUMLAH]]="","",NOTA[[#This Row],[JUMLAH]]*NOTA[[#This Row],[DISC 1]])</f>
        <v/>
      </c>
      <c r="Z1001" s="37" t="str">
        <f>IF(NOTA[[#This Row],[JUMLAH]]="","",(NOTA[[#This Row],[JUMLAH]]-NOTA[[#This Row],[DISC 1-]])*NOTA[[#This Row],[DISC 2]])</f>
        <v/>
      </c>
      <c r="AA1001" s="37" t="str">
        <f>IF(NOTA[[#This Row],[JUMLAH]]="","",(NOTA[[#This Row],[JUMLAH]]-NOTA[[#This Row],[DISC 1-]]-NOTA[[#This Row],[DISC 2-]])*NOTA[[#This Row],[DISC 3]])</f>
        <v/>
      </c>
      <c r="AB1001" s="37" t="str">
        <f>IF(NOTA[[#This Row],[JUMLAH]]="","",NOTA[[#This Row],[DISC 1-]]+NOTA[[#This Row],[DISC 2-]]+NOTA[[#This Row],[DISC 3-]])</f>
        <v/>
      </c>
      <c r="AC1001" s="37" t="str">
        <f>IF(NOTA[[#This Row],[JUMLAH]]="","",NOTA[[#This Row],[JUMLAH]]-NOTA[[#This Row],[DISC]])</f>
        <v/>
      </c>
      <c r="AD1001" s="37"/>
      <c r="AE10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1" s="37" t="str">
        <f>IF(OR(NOTA[[#This Row],[QTY]]="",NOTA[[#This Row],[HARGA SATUAN]]="",),"",NOTA[[#This Row],[QTY]]*NOTA[[#This Row],[HARGA SATUAN]])</f>
        <v/>
      </c>
      <c r="AI1001" s="26" t="str">
        <f ca="1">IF(NOTA[[#This Row],[ID_H]]="","",INDEX(NOTA[TANGGAL],MATCH(,INDIRECT(ADDRESS(ROW(NOTA[TANGGAL]),COLUMN(NOTA[TANGGAL]))&amp;":"&amp;ADDRESS(ROW(),COLUMN(NOTA[TANGGAL]))),-1)))</f>
        <v/>
      </c>
      <c r="AJ1001" s="26" t="str">
        <f ca="1">IF(NOTA[[#This Row],[ID_H]]="","",INDEX(NOTA[TGL.NOTA],MATCH(,INDIRECT(ADDRESS(ROW(NOTA[TGL.NOTA]),COLUMN(NOTA[TGL.NOTA]))&amp;":"&amp;ADDRESS(ROW(),COLUMN(NOTA[TGL.NOTA]))),-1)))</f>
        <v/>
      </c>
      <c r="AK1001" s="26" t="str">
        <f ca="1">IF(NOTA[[#This Row],[ID_H]]="","",INDEX(NOTA[NO.NOTA],MATCH(NOTA[[#This Row],[ID_H]],NOTA[ID_H],0)))</f>
        <v/>
      </c>
      <c r="AL1001" s="28" t="str">
        <f ca="1">IF(NOTA[[#This Row],[NAMA BARANG]]="","",INDEX(NOTA[SUPPLIER],MATCH(,INDIRECT(ADDRESS(ROW(NOTA[ID]),COLUMN(NOTA[ID]))&amp;":"&amp;ADDRESS(ROW(),COLUMN(NOTA[ID]))),-1)))</f>
        <v/>
      </c>
      <c r="AM1001" s="28" t="str">
        <f ca="1">IF(NOTA[[#This Row],[ID_H]]="","",IF(NOTA[[#This Row],[FAKTUR]]="",INDIRECT(ADDRESS(ROW()-1,COLUMN())),NOTA[[#This Row],[FAKTUR]]))</f>
        <v/>
      </c>
      <c r="AN1001" s="25" t="str">
        <f ca="1">IF(NOTA[[#This Row],[ID]]="","",COUNTIF(NOTA[ID_H],NOTA[[#This Row],[ID_H]]))</f>
        <v/>
      </c>
      <c r="AO1001" s="25" t="str">
        <f ca="1">IF(NOTA[[#This Row],[TGL.NOTA]]="",IF(NOTA[[#This Row],[SUPPLIER_H]]="","",AO1000),MONTH(NOTA[[#This Row],[TGL.NOTA]]))</f>
        <v/>
      </c>
      <c r="AP10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1" s="25"/>
      <c r="AU1001" s="25" t="str">
        <f>IF(NOTA[[#This Row],[CONCAT1]]="","",MATCH(NOTA[[#This Row],[CONCAT1]],[3]!db[NB NOTA_C],0))</f>
        <v/>
      </c>
      <c r="AV1001" s="25" t="str">
        <f>IF(NOTA[[#This Row],[QTY/ CTN]]="","",TRUE)</f>
        <v/>
      </c>
      <c r="AW1001" s="25" t="str">
        <f ca="1">IF(NOTA[[#This Row],[ID_H]]="","",IF(NOTA[[#This Row],[Column3]]=TRUE,NOTA[[#This Row],[QTY/ CTN]],INDEX([3]!db[QTY/ CTN],NOTA[[#This Row],[//DB]])))</f>
        <v/>
      </c>
      <c r="AX10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1" s="25" t="str">
        <f ca="1">IF(NOTA[[#This Row],[ID_H]]="","",MATCH(NOTA[[#This Row],[NB NOTA_C_QTY]],[3]!db[NB NOTA_C_QTY+F],0))</f>
        <v/>
      </c>
      <c r="AZ1001" s="38" t="str">
        <f ca="1">IF(NOTA[[#This Row],[NB NOTA_C_QTY]]="","",ROW()-2)</f>
        <v/>
      </c>
    </row>
    <row r="1002" spans="1:52" ht="20.100000000000001" customHeight="1">
      <c r="A10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2" s="25" t="str">
        <f ca="1">IF(NOTA[[#This Row],[NAMA BARANG]]="","",INDEX(NOTA[ID],MATCH(,INDIRECT(ADDRESS(ROW(NOTA[ID]),COLUMN(NOTA[ID]))&amp;":"&amp;ADDRESS(ROW(),COLUMN(NOTA[ID]))),-1)))</f>
        <v/>
      </c>
      <c r="E1002" s="33"/>
      <c r="H1002" s="34"/>
      <c r="Q1002" s="29"/>
      <c r="R1002" s="35"/>
      <c r="S1002" s="36"/>
      <c r="V1002" s="37"/>
      <c r="W1002" s="32"/>
      <c r="X1002" s="37" t="str">
        <f>IF(NOTA[[#This Row],[HARGA/ CTN]]="",NOTA[[#This Row],[JUMLAH_H]],NOTA[[#This Row],[HARGA/ CTN]]*IF(NOTA[[#This Row],[C]]="",0,NOTA[[#This Row],[C]]))</f>
        <v/>
      </c>
      <c r="Y1002" s="37" t="str">
        <f>IF(NOTA[[#This Row],[JUMLAH]]="","",NOTA[[#This Row],[JUMLAH]]*NOTA[[#This Row],[DISC 1]])</f>
        <v/>
      </c>
      <c r="Z1002" s="37" t="str">
        <f>IF(NOTA[[#This Row],[JUMLAH]]="","",(NOTA[[#This Row],[JUMLAH]]-NOTA[[#This Row],[DISC 1-]])*NOTA[[#This Row],[DISC 2]])</f>
        <v/>
      </c>
      <c r="AA1002" s="37" t="str">
        <f>IF(NOTA[[#This Row],[JUMLAH]]="","",(NOTA[[#This Row],[JUMLAH]]-NOTA[[#This Row],[DISC 1-]]-NOTA[[#This Row],[DISC 2-]])*NOTA[[#This Row],[DISC 3]])</f>
        <v/>
      </c>
      <c r="AB1002" s="37" t="str">
        <f>IF(NOTA[[#This Row],[JUMLAH]]="","",NOTA[[#This Row],[DISC 1-]]+NOTA[[#This Row],[DISC 2-]]+NOTA[[#This Row],[DISC 3-]])</f>
        <v/>
      </c>
      <c r="AC1002" s="37" t="str">
        <f>IF(NOTA[[#This Row],[JUMLAH]]="","",NOTA[[#This Row],[JUMLAH]]-NOTA[[#This Row],[DISC]])</f>
        <v/>
      </c>
      <c r="AD1002" s="37"/>
      <c r="AE10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2" s="37" t="str">
        <f>IF(OR(NOTA[[#This Row],[QTY]]="",NOTA[[#This Row],[HARGA SATUAN]]="",),"",NOTA[[#This Row],[QTY]]*NOTA[[#This Row],[HARGA SATUAN]])</f>
        <v/>
      </c>
      <c r="AI1002" s="26" t="str">
        <f ca="1">IF(NOTA[[#This Row],[ID_H]]="","",INDEX(NOTA[TANGGAL],MATCH(,INDIRECT(ADDRESS(ROW(NOTA[TANGGAL]),COLUMN(NOTA[TANGGAL]))&amp;":"&amp;ADDRESS(ROW(),COLUMN(NOTA[TANGGAL]))),-1)))</f>
        <v/>
      </c>
      <c r="AJ1002" s="26" t="str">
        <f ca="1">IF(NOTA[[#This Row],[ID_H]]="","",INDEX(NOTA[TGL.NOTA],MATCH(,INDIRECT(ADDRESS(ROW(NOTA[TGL.NOTA]),COLUMN(NOTA[TGL.NOTA]))&amp;":"&amp;ADDRESS(ROW(),COLUMN(NOTA[TGL.NOTA]))),-1)))</f>
        <v/>
      </c>
      <c r="AK1002" s="26" t="str">
        <f ca="1">IF(NOTA[[#This Row],[ID_H]]="","",INDEX(NOTA[NO.NOTA],MATCH(NOTA[[#This Row],[ID_H]],NOTA[ID_H],0)))</f>
        <v/>
      </c>
      <c r="AL1002" s="28" t="str">
        <f ca="1">IF(NOTA[[#This Row],[NAMA BARANG]]="","",INDEX(NOTA[SUPPLIER],MATCH(,INDIRECT(ADDRESS(ROW(NOTA[ID]),COLUMN(NOTA[ID]))&amp;":"&amp;ADDRESS(ROW(),COLUMN(NOTA[ID]))),-1)))</f>
        <v/>
      </c>
      <c r="AM1002" s="28" t="str">
        <f ca="1">IF(NOTA[[#This Row],[ID_H]]="","",IF(NOTA[[#This Row],[FAKTUR]]="",INDIRECT(ADDRESS(ROW()-1,COLUMN())),NOTA[[#This Row],[FAKTUR]]))</f>
        <v/>
      </c>
      <c r="AN1002" s="25" t="str">
        <f ca="1">IF(NOTA[[#This Row],[ID]]="","",COUNTIF(NOTA[ID_H],NOTA[[#This Row],[ID_H]]))</f>
        <v/>
      </c>
      <c r="AO1002" s="25" t="str">
        <f ca="1">IF(NOTA[[#This Row],[TGL.NOTA]]="",IF(NOTA[[#This Row],[SUPPLIER_H]]="","",AO1001),MONTH(NOTA[[#This Row],[TGL.NOTA]]))</f>
        <v/>
      </c>
      <c r="AP10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2" s="25"/>
      <c r="AU1002" s="25" t="str">
        <f>IF(NOTA[[#This Row],[CONCAT1]]="","",MATCH(NOTA[[#This Row],[CONCAT1]],[3]!db[NB NOTA_C],0))</f>
        <v/>
      </c>
      <c r="AV1002" s="25" t="str">
        <f>IF(NOTA[[#This Row],[QTY/ CTN]]="","",TRUE)</f>
        <v/>
      </c>
      <c r="AW1002" s="25" t="str">
        <f ca="1">IF(NOTA[[#This Row],[ID_H]]="","",IF(NOTA[[#This Row],[Column3]]=TRUE,NOTA[[#This Row],[QTY/ CTN]],INDEX([3]!db[QTY/ CTN],NOTA[[#This Row],[//DB]])))</f>
        <v/>
      </c>
      <c r="AX10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2" s="25" t="str">
        <f ca="1">IF(NOTA[[#This Row],[ID_H]]="","",MATCH(NOTA[[#This Row],[NB NOTA_C_QTY]],[3]!db[NB NOTA_C_QTY+F],0))</f>
        <v/>
      </c>
      <c r="AZ1002" s="38" t="str">
        <f ca="1">IF(NOTA[[#This Row],[NB NOTA_C_QTY]]="","",ROW()-2)</f>
        <v/>
      </c>
    </row>
    <row r="1003" spans="1:52" ht="20.100000000000001" customHeight="1">
      <c r="A10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3" s="25" t="str">
        <f ca="1">IF(NOTA[[#This Row],[NAMA BARANG]]="","",INDEX(NOTA[ID],MATCH(,INDIRECT(ADDRESS(ROW(NOTA[ID]),COLUMN(NOTA[ID]))&amp;":"&amp;ADDRESS(ROW(),COLUMN(NOTA[ID]))),-1)))</f>
        <v/>
      </c>
      <c r="E1003" s="33"/>
      <c r="H1003" s="34"/>
      <c r="Q1003" s="29"/>
      <c r="R1003" s="35"/>
      <c r="S1003" s="36"/>
      <c r="V1003" s="37"/>
      <c r="W1003" s="32"/>
      <c r="X1003" s="37" t="str">
        <f>IF(NOTA[[#This Row],[HARGA/ CTN]]="",NOTA[[#This Row],[JUMLAH_H]],NOTA[[#This Row],[HARGA/ CTN]]*IF(NOTA[[#This Row],[C]]="",0,NOTA[[#This Row],[C]]))</f>
        <v/>
      </c>
      <c r="Y1003" s="37" t="str">
        <f>IF(NOTA[[#This Row],[JUMLAH]]="","",NOTA[[#This Row],[JUMLAH]]*NOTA[[#This Row],[DISC 1]])</f>
        <v/>
      </c>
      <c r="Z1003" s="37" t="str">
        <f>IF(NOTA[[#This Row],[JUMLAH]]="","",(NOTA[[#This Row],[JUMLAH]]-NOTA[[#This Row],[DISC 1-]])*NOTA[[#This Row],[DISC 2]])</f>
        <v/>
      </c>
      <c r="AA1003" s="37" t="str">
        <f>IF(NOTA[[#This Row],[JUMLAH]]="","",(NOTA[[#This Row],[JUMLAH]]-NOTA[[#This Row],[DISC 1-]]-NOTA[[#This Row],[DISC 2-]])*NOTA[[#This Row],[DISC 3]])</f>
        <v/>
      </c>
      <c r="AB1003" s="37" t="str">
        <f>IF(NOTA[[#This Row],[JUMLAH]]="","",NOTA[[#This Row],[DISC 1-]]+NOTA[[#This Row],[DISC 2-]]+NOTA[[#This Row],[DISC 3-]])</f>
        <v/>
      </c>
      <c r="AC1003" s="37" t="str">
        <f>IF(NOTA[[#This Row],[JUMLAH]]="","",NOTA[[#This Row],[JUMLAH]]-NOTA[[#This Row],[DISC]])</f>
        <v/>
      </c>
      <c r="AD1003" s="37"/>
      <c r="AE10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3" s="37" t="str">
        <f>IF(OR(NOTA[[#This Row],[QTY]]="",NOTA[[#This Row],[HARGA SATUAN]]="",),"",NOTA[[#This Row],[QTY]]*NOTA[[#This Row],[HARGA SATUAN]])</f>
        <v/>
      </c>
      <c r="AI1003" s="26" t="str">
        <f ca="1">IF(NOTA[[#This Row],[ID_H]]="","",INDEX(NOTA[TANGGAL],MATCH(,INDIRECT(ADDRESS(ROW(NOTA[TANGGAL]),COLUMN(NOTA[TANGGAL]))&amp;":"&amp;ADDRESS(ROW(),COLUMN(NOTA[TANGGAL]))),-1)))</f>
        <v/>
      </c>
      <c r="AJ1003" s="26" t="str">
        <f ca="1">IF(NOTA[[#This Row],[ID_H]]="","",INDEX(NOTA[TGL.NOTA],MATCH(,INDIRECT(ADDRESS(ROW(NOTA[TGL.NOTA]),COLUMN(NOTA[TGL.NOTA]))&amp;":"&amp;ADDRESS(ROW(),COLUMN(NOTA[TGL.NOTA]))),-1)))</f>
        <v/>
      </c>
      <c r="AK1003" s="26" t="str">
        <f ca="1">IF(NOTA[[#This Row],[ID_H]]="","",INDEX(NOTA[NO.NOTA],MATCH(NOTA[[#This Row],[ID_H]],NOTA[ID_H],0)))</f>
        <v/>
      </c>
      <c r="AL1003" s="28" t="str">
        <f ca="1">IF(NOTA[[#This Row],[NAMA BARANG]]="","",INDEX(NOTA[SUPPLIER],MATCH(,INDIRECT(ADDRESS(ROW(NOTA[ID]),COLUMN(NOTA[ID]))&amp;":"&amp;ADDRESS(ROW(),COLUMN(NOTA[ID]))),-1)))</f>
        <v/>
      </c>
      <c r="AM1003" s="28" t="str">
        <f ca="1">IF(NOTA[[#This Row],[ID_H]]="","",IF(NOTA[[#This Row],[FAKTUR]]="",INDIRECT(ADDRESS(ROW()-1,COLUMN())),NOTA[[#This Row],[FAKTUR]]))</f>
        <v/>
      </c>
      <c r="AN1003" s="25" t="str">
        <f ca="1">IF(NOTA[[#This Row],[ID]]="","",COUNTIF(NOTA[ID_H],NOTA[[#This Row],[ID_H]]))</f>
        <v/>
      </c>
      <c r="AO1003" s="25" t="str">
        <f ca="1">IF(NOTA[[#This Row],[TGL.NOTA]]="",IF(NOTA[[#This Row],[SUPPLIER_H]]="","",AO1002),MONTH(NOTA[[#This Row],[TGL.NOTA]]))</f>
        <v/>
      </c>
      <c r="AP10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3" s="25"/>
      <c r="AU1003" s="25" t="str">
        <f>IF(NOTA[[#This Row],[CONCAT1]]="","",MATCH(NOTA[[#This Row],[CONCAT1]],[3]!db[NB NOTA_C],0))</f>
        <v/>
      </c>
      <c r="AV1003" s="25" t="str">
        <f>IF(NOTA[[#This Row],[QTY/ CTN]]="","",TRUE)</f>
        <v/>
      </c>
      <c r="AW1003" s="25" t="str">
        <f ca="1">IF(NOTA[[#This Row],[ID_H]]="","",IF(NOTA[[#This Row],[Column3]]=TRUE,NOTA[[#This Row],[QTY/ CTN]],INDEX([3]!db[QTY/ CTN],NOTA[[#This Row],[//DB]])))</f>
        <v/>
      </c>
      <c r="AX10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3" s="25" t="str">
        <f ca="1">IF(NOTA[[#This Row],[ID_H]]="","",MATCH(NOTA[[#This Row],[NB NOTA_C_QTY]],[3]!db[NB NOTA_C_QTY+F],0))</f>
        <v/>
      </c>
      <c r="AZ1003" s="38" t="str">
        <f ca="1">IF(NOTA[[#This Row],[NB NOTA_C_QTY]]="","",ROW()-2)</f>
        <v/>
      </c>
    </row>
    <row r="1004" spans="1:52" ht="20.100000000000001" customHeight="1">
      <c r="A10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4" s="25" t="str">
        <f ca="1">IF(NOTA[[#This Row],[NAMA BARANG]]="","",INDEX(NOTA[ID],MATCH(,INDIRECT(ADDRESS(ROW(NOTA[ID]),COLUMN(NOTA[ID]))&amp;":"&amp;ADDRESS(ROW(),COLUMN(NOTA[ID]))),-1)))</f>
        <v/>
      </c>
      <c r="E1004" s="33"/>
      <c r="H1004" s="34"/>
      <c r="Q1004" s="29"/>
      <c r="R1004" s="35"/>
      <c r="S1004" s="36"/>
      <c r="V1004" s="37"/>
      <c r="W1004" s="32"/>
      <c r="X1004" s="37" t="str">
        <f>IF(NOTA[[#This Row],[HARGA/ CTN]]="",NOTA[[#This Row],[JUMLAH_H]],NOTA[[#This Row],[HARGA/ CTN]]*IF(NOTA[[#This Row],[C]]="",0,NOTA[[#This Row],[C]]))</f>
        <v/>
      </c>
      <c r="Y1004" s="37" t="str">
        <f>IF(NOTA[[#This Row],[JUMLAH]]="","",NOTA[[#This Row],[JUMLAH]]*NOTA[[#This Row],[DISC 1]])</f>
        <v/>
      </c>
      <c r="Z1004" s="37" t="str">
        <f>IF(NOTA[[#This Row],[JUMLAH]]="","",(NOTA[[#This Row],[JUMLAH]]-NOTA[[#This Row],[DISC 1-]])*NOTA[[#This Row],[DISC 2]])</f>
        <v/>
      </c>
      <c r="AA1004" s="37" t="str">
        <f>IF(NOTA[[#This Row],[JUMLAH]]="","",(NOTA[[#This Row],[JUMLAH]]-NOTA[[#This Row],[DISC 1-]]-NOTA[[#This Row],[DISC 2-]])*NOTA[[#This Row],[DISC 3]])</f>
        <v/>
      </c>
      <c r="AB1004" s="37" t="str">
        <f>IF(NOTA[[#This Row],[JUMLAH]]="","",NOTA[[#This Row],[DISC 1-]]+NOTA[[#This Row],[DISC 2-]]+NOTA[[#This Row],[DISC 3-]])</f>
        <v/>
      </c>
      <c r="AC1004" s="37" t="str">
        <f>IF(NOTA[[#This Row],[JUMLAH]]="","",NOTA[[#This Row],[JUMLAH]]-NOTA[[#This Row],[DISC]])</f>
        <v/>
      </c>
      <c r="AD1004" s="37"/>
      <c r="AE10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4" s="37" t="str">
        <f>IF(OR(NOTA[[#This Row],[QTY]]="",NOTA[[#This Row],[HARGA SATUAN]]="",),"",NOTA[[#This Row],[QTY]]*NOTA[[#This Row],[HARGA SATUAN]])</f>
        <v/>
      </c>
      <c r="AI1004" s="26" t="str">
        <f ca="1">IF(NOTA[[#This Row],[ID_H]]="","",INDEX(NOTA[TANGGAL],MATCH(,INDIRECT(ADDRESS(ROW(NOTA[TANGGAL]),COLUMN(NOTA[TANGGAL]))&amp;":"&amp;ADDRESS(ROW(),COLUMN(NOTA[TANGGAL]))),-1)))</f>
        <v/>
      </c>
      <c r="AJ1004" s="26" t="str">
        <f ca="1">IF(NOTA[[#This Row],[ID_H]]="","",INDEX(NOTA[TGL.NOTA],MATCH(,INDIRECT(ADDRESS(ROW(NOTA[TGL.NOTA]),COLUMN(NOTA[TGL.NOTA]))&amp;":"&amp;ADDRESS(ROW(),COLUMN(NOTA[TGL.NOTA]))),-1)))</f>
        <v/>
      </c>
      <c r="AK1004" s="26" t="str">
        <f ca="1">IF(NOTA[[#This Row],[ID_H]]="","",INDEX(NOTA[NO.NOTA],MATCH(NOTA[[#This Row],[ID_H]],NOTA[ID_H],0)))</f>
        <v/>
      </c>
      <c r="AL1004" s="28" t="str">
        <f ca="1">IF(NOTA[[#This Row],[NAMA BARANG]]="","",INDEX(NOTA[SUPPLIER],MATCH(,INDIRECT(ADDRESS(ROW(NOTA[ID]),COLUMN(NOTA[ID]))&amp;":"&amp;ADDRESS(ROW(),COLUMN(NOTA[ID]))),-1)))</f>
        <v/>
      </c>
      <c r="AM1004" s="28" t="str">
        <f ca="1">IF(NOTA[[#This Row],[ID_H]]="","",IF(NOTA[[#This Row],[FAKTUR]]="",INDIRECT(ADDRESS(ROW()-1,COLUMN())),NOTA[[#This Row],[FAKTUR]]))</f>
        <v/>
      </c>
      <c r="AN1004" s="25" t="str">
        <f ca="1">IF(NOTA[[#This Row],[ID]]="","",COUNTIF(NOTA[ID_H],NOTA[[#This Row],[ID_H]]))</f>
        <v/>
      </c>
      <c r="AO1004" s="25" t="str">
        <f ca="1">IF(NOTA[[#This Row],[TGL.NOTA]]="",IF(NOTA[[#This Row],[SUPPLIER_H]]="","",AO1003),MONTH(NOTA[[#This Row],[TGL.NOTA]]))</f>
        <v/>
      </c>
      <c r="AP10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4" s="25"/>
      <c r="AU1004" s="25" t="str">
        <f>IF(NOTA[[#This Row],[CONCAT1]]="","",MATCH(NOTA[[#This Row],[CONCAT1]],[3]!db[NB NOTA_C],0))</f>
        <v/>
      </c>
      <c r="AV1004" s="25" t="str">
        <f>IF(NOTA[[#This Row],[QTY/ CTN]]="","",TRUE)</f>
        <v/>
      </c>
      <c r="AW1004" s="25" t="str">
        <f ca="1">IF(NOTA[[#This Row],[ID_H]]="","",IF(NOTA[[#This Row],[Column3]]=TRUE,NOTA[[#This Row],[QTY/ CTN]],INDEX([3]!db[QTY/ CTN],NOTA[[#This Row],[//DB]])))</f>
        <v/>
      </c>
      <c r="AX10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4" s="25" t="str">
        <f ca="1">IF(NOTA[[#This Row],[ID_H]]="","",MATCH(NOTA[[#This Row],[NB NOTA_C_QTY]],[3]!db[NB NOTA_C_QTY+F],0))</f>
        <v/>
      </c>
      <c r="AZ1004" s="38" t="str">
        <f ca="1">IF(NOTA[[#This Row],[NB NOTA_C_QTY]]="","",ROW()-2)</f>
        <v/>
      </c>
    </row>
    <row r="1005" spans="1:52" ht="20.100000000000001" customHeight="1">
      <c r="A10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5" s="25" t="str">
        <f ca="1">IF(NOTA[[#This Row],[NAMA BARANG]]="","",INDEX(NOTA[ID],MATCH(,INDIRECT(ADDRESS(ROW(NOTA[ID]),COLUMN(NOTA[ID]))&amp;":"&amp;ADDRESS(ROW(),COLUMN(NOTA[ID]))),-1)))</f>
        <v/>
      </c>
      <c r="E1005" s="33"/>
      <c r="H1005" s="34"/>
      <c r="Q1005" s="29"/>
      <c r="R1005" s="35"/>
      <c r="S1005" s="36"/>
      <c r="V1005" s="37"/>
      <c r="W1005" s="32"/>
      <c r="X1005" s="37" t="str">
        <f>IF(NOTA[[#This Row],[HARGA/ CTN]]="",NOTA[[#This Row],[JUMLAH_H]],NOTA[[#This Row],[HARGA/ CTN]]*IF(NOTA[[#This Row],[C]]="",0,NOTA[[#This Row],[C]]))</f>
        <v/>
      </c>
      <c r="Y1005" s="37" t="str">
        <f>IF(NOTA[[#This Row],[JUMLAH]]="","",NOTA[[#This Row],[JUMLAH]]*NOTA[[#This Row],[DISC 1]])</f>
        <v/>
      </c>
      <c r="Z1005" s="37" t="str">
        <f>IF(NOTA[[#This Row],[JUMLAH]]="","",(NOTA[[#This Row],[JUMLAH]]-NOTA[[#This Row],[DISC 1-]])*NOTA[[#This Row],[DISC 2]])</f>
        <v/>
      </c>
      <c r="AA1005" s="37" t="str">
        <f>IF(NOTA[[#This Row],[JUMLAH]]="","",(NOTA[[#This Row],[JUMLAH]]-NOTA[[#This Row],[DISC 1-]]-NOTA[[#This Row],[DISC 2-]])*NOTA[[#This Row],[DISC 3]])</f>
        <v/>
      </c>
      <c r="AB1005" s="37" t="str">
        <f>IF(NOTA[[#This Row],[JUMLAH]]="","",NOTA[[#This Row],[DISC 1-]]+NOTA[[#This Row],[DISC 2-]]+NOTA[[#This Row],[DISC 3-]])</f>
        <v/>
      </c>
      <c r="AC1005" s="37" t="str">
        <f>IF(NOTA[[#This Row],[JUMLAH]]="","",NOTA[[#This Row],[JUMLAH]]-NOTA[[#This Row],[DISC]])</f>
        <v/>
      </c>
      <c r="AD1005" s="37"/>
      <c r="AE10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5" s="37" t="str">
        <f>IF(OR(NOTA[[#This Row],[QTY]]="",NOTA[[#This Row],[HARGA SATUAN]]="",),"",NOTA[[#This Row],[QTY]]*NOTA[[#This Row],[HARGA SATUAN]])</f>
        <v/>
      </c>
      <c r="AI1005" s="26" t="str">
        <f ca="1">IF(NOTA[[#This Row],[ID_H]]="","",INDEX(NOTA[TANGGAL],MATCH(,INDIRECT(ADDRESS(ROW(NOTA[TANGGAL]),COLUMN(NOTA[TANGGAL]))&amp;":"&amp;ADDRESS(ROW(),COLUMN(NOTA[TANGGAL]))),-1)))</f>
        <v/>
      </c>
      <c r="AJ1005" s="26" t="str">
        <f ca="1">IF(NOTA[[#This Row],[ID_H]]="","",INDEX(NOTA[TGL.NOTA],MATCH(,INDIRECT(ADDRESS(ROW(NOTA[TGL.NOTA]),COLUMN(NOTA[TGL.NOTA]))&amp;":"&amp;ADDRESS(ROW(),COLUMN(NOTA[TGL.NOTA]))),-1)))</f>
        <v/>
      </c>
      <c r="AK1005" s="26" t="str">
        <f ca="1">IF(NOTA[[#This Row],[ID_H]]="","",INDEX(NOTA[NO.NOTA],MATCH(NOTA[[#This Row],[ID_H]],NOTA[ID_H],0)))</f>
        <v/>
      </c>
      <c r="AL1005" s="28" t="str">
        <f ca="1">IF(NOTA[[#This Row],[NAMA BARANG]]="","",INDEX(NOTA[SUPPLIER],MATCH(,INDIRECT(ADDRESS(ROW(NOTA[ID]),COLUMN(NOTA[ID]))&amp;":"&amp;ADDRESS(ROW(),COLUMN(NOTA[ID]))),-1)))</f>
        <v/>
      </c>
      <c r="AM1005" s="28" t="str">
        <f ca="1">IF(NOTA[[#This Row],[ID_H]]="","",IF(NOTA[[#This Row],[FAKTUR]]="",INDIRECT(ADDRESS(ROW()-1,COLUMN())),NOTA[[#This Row],[FAKTUR]]))</f>
        <v/>
      </c>
      <c r="AN1005" s="25" t="str">
        <f ca="1">IF(NOTA[[#This Row],[ID]]="","",COUNTIF(NOTA[ID_H],NOTA[[#This Row],[ID_H]]))</f>
        <v/>
      </c>
      <c r="AO1005" s="25" t="str">
        <f ca="1">IF(NOTA[[#This Row],[TGL.NOTA]]="",IF(NOTA[[#This Row],[SUPPLIER_H]]="","",AO1004),MONTH(NOTA[[#This Row],[TGL.NOTA]]))</f>
        <v/>
      </c>
      <c r="AP10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5" s="25"/>
      <c r="AU1005" s="25" t="str">
        <f>IF(NOTA[[#This Row],[CONCAT1]]="","",MATCH(NOTA[[#This Row],[CONCAT1]],[3]!db[NB NOTA_C],0))</f>
        <v/>
      </c>
      <c r="AV1005" s="25" t="str">
        <f>IF(NOTA[[#This Row],[QTY/ CTN]]="","",TRUE)</f>
        <v/>
      </c>
      <c r="AW1005" s="25" t="str">
        <f ca="1">IF(NOTA[[#This Row],[ID_H]]="","",IF(NOTA[[#This Row],[Column3]]=TRUE,NOTA[[#This Row],[QTY/ CTN]],INDEX([3]!db[QTY/ CTN],NOTA[[#This Row],[//DB]])))</f>
        <v/>
      </c>
      <c r="AX10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5" s="25" t="str">
        <f ca="1">IF(NOTA[[#This Row],[ID_H]]="","",MATCH(NOTA[[#This Row],[NB NOTA_C_QTY]],[3]!db[NB NOTA_C_QTY+F],0))</f>
        <v/>
      </c>
      <c r="AZ1005" s="38" t="str">
        <f ca="1">IF(NOTA[[#This Row],[NB NOTA_C_QTY]]="","",ROW()-2)</f>
        <v/>
      </c>
    </row>
    <row r="1006" spans="1:52" ht="20.100000000000001" customHeight="1">
      <c r="A10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6" s="25" t="str">
        <f ca="1">IF(NOTA[[#This Row],[NAMA BARANG]]="","",INDEX(NOTA[ID],MATCH(,INDIRECT(ADDRESS(ROW(NOTA[ID]),COLUMN(NOTA[ID]))&amp;":"&amp;ADDRESS(ROW(),COLUMN(NOTA[ID]))),-1)))</f>
        <v/>
      </c>
      <c r="E1006" s="33"/>
      <c r="H1006" s="34"/>
      <c r="Q1006" s="29"/>
      <c r="R1006" s="35"/>
      <c r="S1006" s="36"/>
      <c r="V1006" s="37"/>
      <c r="W1006" s="32"/>
      <c r="X1006" s="37" t="str">
        <f>IF(NOTA[[#This Row],[HARGA/ CTN]]="",NOTA[[#This Row],[JUMLAH_H]],NOTA[[#This Row],[HARGA/ CTN]]*IF(NOTA[[#This Row],[C]]="",0,NOTA[[#This Row],[C]]))</f>
        <v/>
      </c>
      <c r="Y1006" s="37" t="str">
        <f>IF(NOTA[[#This Row],[JUMLAH]]="","",NOTA[[#This Row],[JUMLAH]]*NOTA[[#This Row],[DISC 1]])</f>
        <v/>
      </c>
      <c r="Z1006" s="37" t="str">
        <f>IF(NOTA[[#This Row],[JUMLAH]]="","",(NOTA[[#This Row],[JUMLAH]]-NOTA[[#This Row],[DISC 1-]])*NOTA[[#This Row],[DISC 2]])</f>
        <v/>
      </c>
      <c r="AA1006" s="37" t="str">
        <f>IF(NOTA[[#This Row],[JUMLAH]]="","",(NOTA[[#This Row],[JUMLAH]]-NOTA[[#This Row],[DISC 1-]]-NOTA[[#This Row],[DISC 2-]])*NOTA[[#This Row],[DISC 3]])</f>
        <v/>
      </c>
      <c r="AB1006" s="37" t="str">
        <f>IF(NOTA[[#This Row],[JUMLAH]]="","",NOTA[[#This Row],[DISC 1-]]+NOTA[[#This Row],[DISC 2-]]+NOTA[[#This Row],[DISC 3-]])</f>
        <v/>
      </c>
      <c r="AC1006" s="37" t="str">
        <f>IF(NOTA[[#This Row],[JUMLAH]]="","",NOTA[[#This Row],[JUMLAH]]-NOTA[[#This Row],[DISC]])</f>
        <v/>
      </c>
      <c r="AD1006" s="37"/>
      <c r="AE10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6" s="37" t="str">
        <f>IF(OR(NOTA[[#This Row],[QTY]]="",NOTA[[#This Row],[HARGA SATUAN]]="",),"",NOTA[[#This Row],[QTY]]*NOTA[[#This Row],[HARGA SATUAN]])</f>
        <v/>
      </c>
      <c r="AI1006" s="26" t="str">
        <f ca="1">IF(NOTA[[#This Row],[ID_H]]="","",INDEX(NOTA[TANGGAL],MATCH(,INDIRECT(ADDRESS(ROW(NOTA[TANGGAL]),COLUMN(NOTA[TANGGAL]))&amp;":"&amp;ADDRESS(ROW(),COLUMN(NOTA[TANGGAL]))),-1)))</f>
        <v/>
      </c>
      <c r="AJ1006" s="26" t="str">
        <f ca="1">IF(NOTA[[#This Row],[ID_H]]="","",INDEX(NOTA[TGL.NOTA],MATCH(,INDIRECT(ADDRESS(ROW(NOTA[TGL.NOTA]),COLUMN(NOTA[TGL.NOTA]))&amp;":"&amp;ADDRESS(ROW(),COLUMN(NOTA[TGL.NOTA]))),-1)))</f>
        <v/>
      </c>
      <c r="AK1006" s="26" t="str">
        <f ca="1">IF(NOTA[[#This Row],[ID_H]]="","",INDEX(NOTA[NO.NOTA],MATCH(NOTA[[#This Row],[ID_H]],NOTA[ID_H],0)))</f>
        <v/>
      </c>
      <c r="AL1006" s="28" t="str">
        <f ca="1">IF(NOTA[[#This Row],[NAMA BARANG]]="","",INDEX(NOTA[SUPPLIER],MATCH(,INDIRECT(ADDRESS(ROW(NOTA[ID]),COLUMN(NOTA[ID]))&amp;":"&amp;ADDRESS(ROW(),COLUMN(NOTA[ID]))),-1)))</f>
        <v/>
      </c>
      <c r="AM1006" s="28" t="str">
        <f ca="1">IF(NOTA[[#This Row],[ID_H]]="","",IF(NOTA[[#This Row],[FAKTUR]]="",INDIRECT(ADDRESS(ROW()-1,COLUMN())),NOTA[[#This Row],[FAKTUR]]))</f>
        <v/>
      </c>
      <c r="AN1006" s="25" t="str">
        <f ca="1">IF(NOTA[[#This Row],[ID]]="","",COUNTIF(NOTA[ID_H],NOTA[[#This Row],[ID_H]]))</f>
        <v/>
      </c>
      <c r="AO1006" s="25" t="str">
        <f ca="1">IF(NOTA[[#This Row],[TGL.NOTA]]="",IF(NOTA[[#This Row],[SUPPLIER_H]]="","",AO1005),MONTH(NOTA[[#This Row],[TGL.NOTA]]))</f>
        <v/>
      </c>
      <c r="AP10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6" s="25"/>
      <c r="AU1006" s="25" t="str">
        <f>IF(NOTA[[#This Row],[CONCAT1]]="","",MATCH(NOTA[[#This Row],[CONCAT1]],[3]!db[NB NOTA_C],0))</f>
        <v/>
      </c>
      <c r="AV1006" s="25" t="str">
        <f>IF(NOTA[[#This Row],[QTY/ CTN]]="","",TRUE)</f>
        <v/>
      </c>
      <c r="AW1006" s="25" t="str">
        <f ca="1">IF(NOTA[[#This Row],[ID_H]]="","",IF(NOTA[[#This Row],[Column3]]=TRUE,NOTA[[#This Row],[QTY/ CTN]],INDEX([3]!db[QTY/ CTN],NOTA[[#This Row],[//DB]])))</f>
        <v/>
      </c>
      <c r="AX10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6" s="25" t="str">
        <f ca="1">IF(NOTA[[#This Row],[ID_H]]="","",MATCH(NOTA[[#This Row],[NB NOTA_C_QTY]],[3]!db[NB NOTA_C_QTY+F],0))</f>
        <v/>
      </c>
      <c r="AZ1006" s="38" t="str">
        <f ca="1">IF(NOTA[[#This Row],[NB NOTA_C_QTY]]="","",ROW()-2)</f>
        <v/>
      </c>
    </row>
    <row r="1007" spans="1:52" ht="20.100000000000001" customHeight="1">
      <c r="A10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7" s="25" t="str">
        <f ca="1">IF(NOTA[[#This Row],[NAMA BARANG]]="","",INDEX(NOTA[ID],MATCH(,INDIRECT(ADDRESS(ROW(NOTA[ID]),COLUMN(NOTA[ID]))&amp;":"&amp;ADDRESS(ROW(),COLUMN(NOTA[ID]))),-1)))</f>
        <v/>
      </c>
      <c r="E1007" s="33"/>
      <c r="H1007" s="34"/>
      <c r="Q1007" s="29"/>
      <c r="R1007" s="35"/>
      <c r="S1007" s="36"/>
      <c r="V1007" s="37"/>
      <c r="W1007" s="32"/>
      <c r="X1007" s="37" t="str">
        <f>IF(NOTA[[#This Row],[HARGA/ CTN]]="",NOTA[[#This Row],[JUMLAH_H]],NOTA[[#This Row],[HARGA/ CTN]]*IF(NOTA[[#This Row],[C]]="",0,NOTA[[#This Row],[C]]))</f>
        <v/>
      </c>
      <c r="Y1007" s="37" t="str">
        <f>IF(NOTA[[#This Row],[JUMLAH]]="","",NOTA[[#This Row],[JUMLAH]]*NOTA[[#This Row],[DISC 1]])</f>
        <v/>
      </c>
      <c r="Z1007" s="37" t="str">
        <f>IF(NOTA[[#This Row],[JUMLAH]]="","",(NOTA[[#This Row],[JUMLAH]]-NOTA[[#This Row],[DISC 1-]])*NOTA[[#This Row],[DISC 2]])</f>
        <v/>
      </c>
      <c r="AA1007" s="37" t="str">
        <f>IF(NOTA[[#This Row],[JUMLAH]]="","",(NOTA[[#This Row],[JUMLAH]]-NOTA[[#This Row],[DISC 1-]]-NOTA[[#This Row],[DISC 2-]])*NOTA[[#This Row],[DISC 3]])</f>
        <v/>
      </c>
      <c r="AB1007" s="37" t="str">
        <f>IF(NOTA[[#This Row],[JUMLAH]]="","",NOTA[[#This Row],[DISC 1-]]+NOTA[[#This Row],[DISC 2-]]+NOTA[[#This Row],[DISC 3-]])</f>
        <v/>
      </c>
      <c r="AC1007" s="37" t="str">
        <f>IF(NOTA[[#This Row],[JUMLAH]]="","",NOTA[[#This Row],[JUMLAH]]-NOTA[[#This Row],[DISC]])</f>
        <v/>
      </c>
      <c r="AD1007" s="37"/>
      <c r="AE10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7" s="37" t="str">
        <f>IF(OR(NOTA[[#This Row],[QTY]]="",NOTA[[#This Row],[HARGA SATUAN]]="",),"",NOTA[[#This Row],[QTY]]*NOTA[[#This Row],[HARGA SATUAN]])</f>
        <v/>
      </c>
      <c r="AI1007" s="26" t="str">
        <f ca="1">IF(NOTA[[#This Row],[ID_H]]="","",INDEX(NOTA[TANGGAL],MATCH(,INDIRECT(ADDRESS(ROW(NOTA[TANGGAL]),COLUMN(NOTA[TANGGAL]))&amp;":"&amp;ADDRESS(ROW(),COLUMN(NOTA[TANGGAL]))),-1)))</f>
        <v/>
      </c>
      <c r="AJ1007" s="26" t="str">
        <f ca="1">IF(NOTA[[#This Row],[ID_H]]="","",INDEX(NOTA[TGL.NOTA],MATCH(,INDIRECT(ADDRESS(ROW(NOTA[TGL.NOTA]),COLUMN(NOTA[TGL.NOTA]))&amp;":"&amp;ADDRESS(ROW(),COLUMN(NOTA[TGL.NOTA]))),-1)))</f>
        <v/>
      </c>
      <c r="AK1007" s="26" t="str">
        <f ca="1">IF(NOTA[[#This Row],[ID_H]]="","",INDEX(NOTA[NO.NOTA],MATCH(NOTA[[#This Row],[ID_H]],NOTA[ID_H],0)))</f>
        <v/>
      </c>
      <c r="AL1007" s="28" t="str">
        <f ca="1">IF(NOTA[[#This Row],[NAMA BARANG]]="","",INDEX(NOTA[SUPPLIER],MATCH(,INDIRECT(ADDRESS(ROW(NOTA[ID]),COLUMN(NOTA[ID]))&amp;":"&amp;ADDRESS(ROW(),COLUMN(NOTA[ID]))),-1)))</f>
        <v/>
      </c>
      <c r="AM1007" s="28" t="str">
        <f ca="1">IF(NOTA[[#This Row],[ID_H]]="","",IF(NOTA[[#This Row],[FAKTUR]]="",INDIRECT(ADDRESS(ROW()-1,COLUMN())),NOTA[[#This Row],[FAKTUR]]))</f>
        <v/>
      </c>
      <c r="AN1007" s="25" t="str">
        <f ca="1">IF(NOTA[[#This Row],[ID]]="","",COUNTIF(NOTA[ID_H],NOTA[[#This Row],[ID_H]]))</f>
        <v/>
      </c>
      <c r="AO1007" s="25" t="str">
        <f ca="1">IF(NOTA[[#This Row],[TGL.NOTA]]="",IF(NOTA[[#This Row],[SUPPLIER_H]]="","",AO1006),MONTH(NOTA[[#This Row],[TGL.NOTA]]))</f>
        <v/>
      </c>
      <c r="AP10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7" s="25"/>
      <c r="AU1007" s="25" t="str">
        <f>IF(NOTA[[#This Row],[CONCAT1]]="","",MATCH(NOTA[[#This Row],[CONCAT1]],[3]!db[NB NOTA_C],0))</f>
        <v/>
      </c>
      <c r="AV1007" s="25" t="str">
        <f>IF(NOTA[[#This Row],[QTY/ CTN]]="","",TRUE)</f>
        <v/>
      </c>
      <c r="AW1007" s="25" t="str">
        <f ca="1">IF(NOTA[[#This Row],[ID_H]]="","",IF(NOTA[[#This Row],[Column3]]=TRUE,NOTA[[#This Row],[QTY/ CTN]],INDEX([3]!db[QTY/ CTN],NOTA[[#This Row],[//DB]])))</f>
        <v/>
      </c>
      <c r="AX10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7" s="25" t="str">
        <f ca="1">IF(NOTA[[#This Row],[ID_H]]="","",MATCH(NOTA[[#This Row],[NB NOTA_C_QTY]],[3]!db[NB NOTA_C_QTY+F],0))</f>
        <v/>
      </c>
      <c r="AZ1007" s="38" t="str">
        <f ca="1">IF(NOTA[[#This Row],[NB NOTA_C_QTY]]="","",ROW()-2)</f>
        <v/>
      </c>
    </row>
    <row r="1008" spans="1:52" ht="20.100000000000001" customHeight="1">
      <c r="A10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8" s="25" t="str">
        <f ca="1">IF(NOTA[[#This Row],[NAMA BARANG]]="","",INDEX(NOTA[ID],MATCH(,INDIRECT(ADDRESS(ROW(NOTA[ID]),COLUMN(NOTA[ID]))&amp;":"&amp;ADDRESS(ROW(),COLUMN(NOTA[ID]))),-1)))</f>
        <v/>
      </c>
      <c r="E1008" s="33"/>
      <c r="H1008" s="34"/>
      <c r="Q1008" s="29"/>
      <c r="R1008" s="35"/>
      <c r="S1008" s="36"/>
      <c r="V1008" s="37"/>
      <c r="W1008" s="32"/>
      <c r="X1008" s="37" t="str">
        <f>IF(NOTA[[#This Row],[HARGA/ CTN]]="",NOTA[[#This Row],[JUMLAH_H]],NOTA[[#This Row],[HARGA/ CTN]]*IF(NOTA[[#This Row],[C]]="",0,NOTA[[#This Row],[C]]))</f>
        <v/>
      </c>
      <c r="Y1008" s="37" t="str">
        <f>IF(NOTA[[#This Row],[JUMLAH]]="","",NOTA[[#This Row],[JUMLAH]]*NOTA[[#This Row],[DISC 1]])</f>
        <v/>
      </c>
      <c r="Z1008" s="37" t="str">
        <f>IF(NOTA[[#This Row],[JUMLAH]]="","",(NOTA[[#This Row],[JUMLAH]]-NOTA[[#This Row],[DISC 1-]])*NOTA[[#This Row],[DISC 2]])</f>
        <v/>
      </c>
      <c r="AA1008" s="37" t="str">
        <f>IF(NOTA[[#This Row],[JUMLAH]]="","",(NOTA[[#This Row],[JUMLAH]]-NOTA[[#This Row],[DISC 1-]]-NOTA[[#This Row],[DISC 2-]])*NOTA[[#This Row],[DISC 3]])</f>
        <v/>
      </c>
      <c r="AB1008" s="37" t="str">
        <f>IF(NOTA[[#This Row],[JUMLAH]]="","",NOTA[[#This Row],[DISC 1-]]+NOTA[[#This Row],[DISC 2-]]+NOTA[[#This Row],[DISC 3-]])</f>
        <v/>
      </c>
      <c r="AC1008" s="37" t="str">
        <f>IF(NOTA[[#This Row],[JUMLAH]]="","",NOTA[[#This Row],[JUMLAH]]-NOTA[[#This Row],[DISC]])</f>
        <v/>
      </c>
      <c r="AD1008" s="37"/>
      <c r="AE10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8" s="37" t="str">
        <f>IF(OR(NOTA[[#This Row],[QTY]]="",NOTA[[#This Row],[HARGA SATUAN]]="",),"",NOTA[[#This Row],[QTY]]*NOTA[[#This Row],[HARGA SATUAN]])</f>
        <v/>
      </c>
      <c r="AI1008" s="26" t="str">
        <f ca="1">IF(NOTA[[#This Row],[ID_H]]="","",INDEX(NOTA[TANGGAL],MATCH(,INDIRECT(ADDRESS(ROW(NOTA[TANGGAL]),COLUMN(NOTA[TANGGAL]))&amp;":"&amp;ADDRESS(ROW(),COLUMN(NOTA[TANGGAL]))),-1)))</f>
        <v/>
      </c>
      <c r="AJ1008" s="26" t="str">
        <f ca="1">IF(NOTA[[#This Row],[ID_H]]="","",INDEX(NOTA[TGL.NOTA],MATCH(,INDIRECT(ADDRESS(ROW(NOTA[TGL.NOTA]),COLUMN(NOTA[TGL.NOTA]))&amp;":"&amp;ADDRESS(ROW(),COLUMN(NOTA[TGL.NOTA]))),-1)))</f>
        <v/>
      </c>
      <c r="AK1008" s="26" t="str">
        <f ca="1">IF(NOTA[[#This Row],[ID_H]]="","",INDEX(NOTA[NO.NOTA],MATCH(NOTA[[#This Row],[ID_H]],NOTA[ID_H],0)))</f>
        <v/>
      </c>
      <c r="AL1008" s="28" t="str">
        <f ca="1">IF(NOTA[[#This Row],[NAMA BARANG]]="","",INDEX(NOTA[SUPPLIER],MATCH(,INDIRECT(ADDRESS(ROW(NOTA[ID]),COLUMN(NOTA[ID]))&amp;":"&amp;ADDRESS(ROW(),COLUMN(NOTA[ID]))),-1)))</f>
        <v/>
      </c>
      <c r="AM1008" s="28" t="str">
        <f ca="1">IF(NOTA[[#This Row],[ID_H]]="","",IF(NOTA[[#This Row],[FAKTUR]]="",INDIRECT(ADDRESS(ROW()-1,COLUMN())),NOTA[[#This Row],[FAKTUR]]))</f>
        <v/>
      </c>
      <c r="AN1008" s="25" t="str">
        <f ca="1">IF(NOTA[[#This Row],[ID]]="","",COUNTIF(NOTA[ID_H],NOTA[[#This Row],[ID_H]]))</f>
        <v/>
      </c>
      <c r="AO1008" s="25" t="str">
        <f ca="1">IF(NOTA[[#This Row],[TGL.NOTA]]="",IF(NOTA[[#This Row],[SUPPLIER_H]]="","",AO1007),MONTH(NOTA[[#This Row],[TGL.NOTA]]))</f>
        <v/>
      </c>
      <c r="AP10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8" s="25"/>
      <c r="AU1008" s="25" t="str">
        <f>IF(NOTA[[#This Row],[CONCAT1]]="","",MATCH(NOTA[[#This Row],[CONCAT1]],[3]!db[NB NOTA_C],0))</f>
        <v/>
      </c>
      <c r="AV1008" s="25" t="str">
        <f>IF(NOTA[[#This Row],[QTY/ CTN]]="","",TRUE)</f>
        <v/>
      </c>
      <c r="AW1008" s="25" t="str">
        <f ca="1">IF(NOTA[[#This Row],[ID_H]]="","",IF(NOTA[[#This Row],[Column3]]=TRUE,NOTA[[#This Row],[QTY/ CTN]],INDEX([3]!db[QTY/ CTN],NOTA[[#This Row],[//DB]])))</f>
        <v/>
      </c>
      <c r="AX10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8" s="25" t="str">
        <f ca="1">IF(NOTA[[#This Row],[ID_H]]="","",MATCH(NOTA[[#This Row],[NB NOTA_C_QTY]],[3]!db[NB NOTA_C_QTY+F],0))</f>
        <v/>
      </c>
      <c r="AZ1008" s="38" t="str">
        <f ca="1">IF(NOTA[[#This Row],[NB NOTA_C_QTY]]="","",ROW()-2)</f>
        <v/>
      </c>
    </row>
    <row r="1009" spans="1:52" ht="20.100000000000001" customHeight="1">
      <c r="A10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9" s="25" t="str">
        <f ca="1">IF(NOTA[[#This Row],[NAMA BARANG]]="","",INDEX(NOTA[ID],MATCH(,INDIRECT(ADDRESS(ROW(NOTA[ID]),COLUMN(NOTA[ID]))&amp;":"&amp;ADDRESS(ROW(),COLUMN(NOTA[ID]))),-1)))</f>
        <v/>
      </c>
      <c r="E1009" s="33"/>
      <c r="H1009" s="34"/>
      <c r="Q1009" s="29"/>
      <c r="R1009" s="35"/>
      <c r="S1009" s="36"/>
      <c r="V1009" s="37"/>
      <c r="W1009" s="32"/>
      <c r="X1009" s="37" t="str">
        <f>IF(NOTA[[#This Row],[HARGA/ CTN]]="",NOTA[[#This Row],[JUMLAH_H]],NOTA[[#This Row],[HARGA/ CTN]]*IF(NOTA[[#This Row],[C]]="",0,NOTA[[#This Row],[C]]))</f>
        <v/>
      </c>
      <c r="Y1009" s="37" t="str">
        <f>IF(NOTA[[#This Row],[JUMLAH]]="","",NOTA[[#This Row],[JUMLAH]]*NOTA[[#This Row],[DISC 1]])</f>
        <v/>
      </c>
      <c r="Z1009" s="37" t="str">
        <f>IF(NOTA[[#This Row],[JUMLAH]]="","",(NOTA[[#This Row],[JUMLAH]]-NOTA[[#This Row],[DISC 1-]])*NOTA[[#This Row],[DISC 2]])</f>
        <v/>
      </c>
      <c r="AA1009" s="37" t="str">
        <f>IF(NOTA[[#This Row],[JUMLAH]]="","",(NOTA[[#This Row],[JUMLAH]]-NOTA[[#This Row],[DISC 1-]]-NOTA[[#This Row],[DISC 2-]])*NOTA[[#This Row],[DISC 3]])</f>
        <v/>
      </c>
      <c r="AB1009" s="37" t="str">
        <f>IF(NOTA[[#This Row],[JUMLAH]]="","",NOTA[[#This Row],[DISC 1-]]+NOTA[[#This Row],[DISC 2-]]+NOTA[[#This Row],[DISC 3-]])</f>
        <v/>
      </c>
      <c r="AC1009" s="37" t="str">
        <f>IF(NOTA[[#This Row],[JUMLAH]]="","",NOTA[[#This Row],[JUMLAH]]-NOTA[[#This Row],[DISC]])</f>
        <v/>
      </c>
      <c r="AD1009" s="37"/>
      <c r="AE10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9" s="37" t="str">
        <f>IF(OR(NOTA[[#This Row],[QTY]]="",NOTA[[#This Row],[HARGA SATUAN]]="",),"",NOTA[[#This Row],[QTY]]*NOTA[[#This Row],[HARGA SATUAN]])</f>
        <v/>
      </c>
      <c r="AI1009" s="26" t="str">
        <f ca="1">IF(NOTA[[#This Row],[ID_H]]="","",INDEX(NOTA[TANGGAL],MATCH(,INDIRECT(ADDRESS(ROW(NOTA[TANGGAL]),COLUMN(NOTA[TANGGAL]))&amp;":"&amp;ADDRESS(ROW(),COLUMN(NOTA[TANGGAL]))),-1)))</f>
        <v/>
      </c>
      <c r="AJ1009" s="26" t="str">
        <f ca="1">IF(NOTA[[#This Row],[ID_H]]="","",INDEX(NOTA[TGL.NOTA],MATCH(,INDIRECT(ADDRESS(ROW(NOTA[TGL.NOTA]),COLUMN(NOTA[TGL.NOTA]))&amp;":"&amp;ADDRESS(ROW(),COLUMN(NOTA[TGL.NOTA]))),-1)))</f>
        <v/>
      </c>
      <c r="AK1009" s="26" t="str">
        <f ca="1">IF(NOTA[[#This Row],[ID_H]]="","",INDEX(NOTA[NO.NOTA],MATCH(NOTA[[#This Row],[ID_H]],NOTA[ID_H],0)))</f>
        <v/>
      </c>
      <c r="AL1009" s="28" t="str">
        <f ca="1">IF(NOTA[[#This Row],[NAMA BARANG]]="","",INDEX(NOTA[SUPPLIER],MATCH(,INDIRECT(ADDRESS(ROW(NOTA[ID]),COLUMN(NOTA[ID]))&amp;":"&amp;ADDRESS(ROW(),COLUMN(NOTA[ID]))),-1)))</f>
        <v/>
      </c>
      <c r="AM1009" s="28" t="str">
        <f ca="1">IF(NOTA[[#This Row],[ID_H]]="","",IF(NOTA[[#This Row],[FAKTUR]]="",INDIRECT(ADDRESS(ROW()-1,COLUMN())),NOTA[[#This Row],[FAKTUR]]))</f>
        <v/>
      </c>
      <c r="AN1009" s="25" t="str">
        <f ca="1">IF(NOTA[[#This Row],[ID]]="","",COUNTIF(NOTA[ID_H],NOTA[[#This Row],[ID_H]]))</f>
        <v/>
      </c>
      <c r="AO1009" s="25" t="str">
        <f ca="1">IF(NOTA[[#This Row],[TGL.NOTA]]="",IF(NOTA[[#This Row],[SUPPLIER_H]]="","",AO1008),MONTH(NOTA[[#This Row],[TGL.NOTA]]))</f>
        <v/>
      </c>
      <c r="AP10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9" s="25"/>
      <c r="AU1009" s="25" t="str">
        <f>IF(NOTA[[#This Row],[CONCAT1]]="","",MATCH(NOTA[[#This Row],[CONCAT1]],[3]!db[NB NOTA_C],0))</f>
        <v/>
      </c>
      <c r="AV1009" s="25" t="str">
        <f>IF(NOTA[[#This Row],[QTY/ CTN]]="","",TRUE)</f>
        <v/>
      </c>
      <c r="AW1009" s="25" t="str">
        <f ca="1">IF(NOTA[[#This Row],[ID_H]]="","",IF(NOTA[[#This Row],[Column3]]=TRUE,NOTA[[#This Row],[QTY/ CTN]],INDEX([3]!db[QTY/ CTN],NOTA[[#This Row],[//DB]])))</f>
        <v/>
      </c>
      <c r="AX10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9" s="25" t="str">
        <f ca="1">IF(NOTA[[#This Row],[ID_H]]="","",MATCH(NOTA[[#This Row],[NB NOTA_C_QTY]],[3]!db[NB NOTA_C_QTY+F],0))</f>
        <v/>
      </c>
      <c r="AZ1009" s="38" t="str">
        <f ca="1">IF(NOTA[[#This Row],[NB NOTA_C_QTY]]="","",ROW()-2)</f>
        <v/>
      </c>
    </row>
    <row r="1010" spans="1:52" ht="20.100000000000001" customHeight="1">
      <c r="A10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10" s="25" t="str">
        <f ca="1">IF(NOTA[[#This Row],[NAMA BARANG]]="","",INDEX(NOTA[ID],MATCH(,INDIRECT(ADDRESS(ROW(NOTA[ID]),COLUMN(NOTA[ID]))&amp;":"&amp;ADDRESS(ROW(),COLUMN(NOTA[ID]))),-1)))</f>
        <v/>
      </c>
      <c r="E1010" s="33"/>
      <c r="H1010" s="34"/>
      <c r="Q1010" s="29"/>
      <c r="R1010" s="35"/>
      <c r="S1010" s="36"/>
      <c r="V1010" s="37"/>
      <c r="W1010" s="32"/>
      <c r="X1010" s="37" t="str">
        <f>IF(NOTA[[#This Row],[HARGA/ CTN]]="",NOTA[[#This Row],[JUMLAH_H]],NOTA[[#This Row],[HARGA/ CTN]]*IF(NOTA[[#This Row],[C]]="",0,NOTA[[#This Row],[C]]))</f>
        <v/>
      </c>
      <c r="Y1010" s="37" t="str">
        <f>IF(NOTA[[#This Row],[JUMLAH]]="","",NOTA[[#This Row],[JUMLAH]]*NOTA[[#This Row],[DISC 1]])</f>
        <v/>
      </c>
      <c r="Z1010" s="37" t="str">
        <f>IF(NOTA[[#This Row],[JUMLAH]]="","",(NOTA[[#This Row],[JUMLAH]]-NOTA[[#This Row],[DISC 1-]])*NOTA[[#This Row],[DISC 2]])</f>
        <v/>
      </c>
      <c r="AA1010" s="37" t="str">
        <f>IF(NOTA[[#This Row],[JUMLAH]]="","",(NOTA[[#This Row],[JUMLAH]]-NOTA[[#This Row],[DISC 1-]]-NOTA[[#This Row],[DISC 2-]])*NOTA[[#This Row],[DISC 3]])</f>
        <v/>
      </c>
      <c r="AB1010" s="37" t="str">
        <f>IF(NOTA[[#This Row],[JUMLAH]]="","",NOTA[[#This Row],[DISC 1-]]+NOTA[[#This Row],[DISC 2-]]+NOTA[[#This Row],[DISC 3-]])</f>
        <v/>
      </c>
      <c r="AC1010" s="37" t="str">
        <f>IF(NOTA[[#This Row],[JUMLAH]]="","",NOTA[[#This Row],[JUMLAH]]-NOTA[[#This Row],[DISC]])</f>
        <v/>
      </c>
      <c r="AD1010" s="37"/>
      <c r="AE10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10" s="37" t="str">
        <f>IF(OR(NOTA[[#This Row],[QTY]]="",NOTA[[#This Row],[HARGA SATUAN]]="",),"",NOTA[[#This Row],[QTY]]*NOTA[[#This Row],[HARGA SATUAN]])</f>
        <v/>
      </c>
      <c r="AI1010" s="26" t="str">
        <f ca="1">IF(NOTA[[#This Row],[ID_H]]="","",INDEX(NOTA[TANGGAL],MATCH(,INDIRECT(ADDRESS(ROW(NOTA[TANGGAL]),COLUMN(NOTA[TANGGAL]))&amp;":"&amp;ADDRESS(ROW(),COLUMN(NOTA[TANGGAL]))),-1)))</f>
        <v/>
      </c>
      <c r="AJ1010" s="26" t="str">
        <f ca="1">IF(NOTA[[#This Row],[ID_H]]="","",INDEX(NOTA[TGL.NOTA],MATCH(,INDIRECT(ADDRESS(ROW(NOTA[TGL.NOTA]),COLUMN(NOTA[TGL.NOTA]))&amp;":"&amp;ADDRESS(ROW(),COLUMN(NOTA[TGL.NOTA]))),-1)))</f>
        <v/>
      </c>
      <c r="AK1010" s="26" t="str">
        <f ca="1">IF(NOTA[[#This Row],[ID_H]]="","",INDEX(NOTA[NO.NOTA],MATCH(NOTA[[#This Row],[ID_H]],NOTA[ID_H],0)))</f>
        <v/>
      </c>
      <c r="AL1010" s="28" t="str">
        <f ca="1">IF(NOTA[[#This Row],[NAMA BARANG]]="","",INDEX(NOTA[SUPPLIER],MATCH(,INDIRECT(ADDRESS(ROW(NOTA[ID]),COLUMN(NOTA[ID]))&amp;":"&amp;ADDRESS(ROW(),COLUMN(NOTA[ID]))),-1)))</f>
        <v/>
      </c>
      <c r="AM1010" s="28" t="str">
        <f ca="1">IF(NOTA[[#This Row],[ID_H]]="","",IF(NOTA[[#This Row],[FAKTUR]]="",INDIRECT(ADDRESS(ROW()-1,COLUMN())),NOTA[[#This Row],[FAKTUR]]))</f>
        <v/>
      </c>
      <c r="AN1010" s="25" t="str">
        <f ca="1">IF(NOTA[[#This Row],[ID]]="","",COUNTIF(NOTA[ID_H],NOTA[[#This Row],[ID_H]]))</f>
        <v/>
      </c>
      <c r="AO1010" s="25" t="str">
        <f ca="1">IF(NOTA[[#This Row],[TGL.NOTA]]="",IF(NOTA[[#This Row],[SUPPLIER_H]]="","",AO1009),MONTH(NOTA[[#This Row],[TGL.NOTA]]))</f>
        <v/>
      </c>
      <c r="AP10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10" s="25"/>
      <c r="AU1010" s="25" t="str">
        <f>IF(NOTA[[#This Row],[CONCAT1]]="","",MATCH(NOTA[[#This Row],[CONCAT1]],[3]!db[NB NOTA_C],0))</f>
        <v/>
      </c>
      <c r="AV1010" s="25" t="str">
        <f>IF(NOTA[[#This Row],[QTY/ CTN]]="","",TRUE)</f>
        <v/>
      </c>
      <c r="AW1010" s="25" t="str">
        <f ca="1">IF(NOTA[[#This Row],[ID_H]]="","",IF(NOTA[[#This Row],[Column3]]=TRUE,NOTA[[#This Row],[QTY/ CTN]],INDEX([3]!db[QTY/ CTN],NOTA[[#This Row],[//DB]])))</f>
        <v/>
      </c>
      <c r="AX10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10" s="25" t="str">
        <f ca="1">IF(NOTA[[#This Row],[ID_H]]="","",MATCH(NOTA[[#This Row],[NB NOTA_C_QTY]],[3]!db[NB NOTA_C_QTY+F],0))</f>
        <v/>
      </c>
      <c r="AZ1010" s="38" t="str">
        <f ca="1">IF(NOTA[[#This Row],[NB NOTA_C_QTY]]="","",ROW()-2)</f>
        <v/>
      </c>
    </row>
    <row r="1011" spans="1:52" ht="20.100000000000001" customHeight="1">
      <c r="A10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11" s="25" t="str">
        <f ca="1">IF(NOTA[[#This Row],[NAMA BARANG]]="","",INDEX(NOTA[ID],MATCH(,INDIRECT(ADDRESS(ROW(NOTA[ID]),COLUMN(NOTA[ID]))&amp;":"&amp;ADDRESS(ROW(),COLUMN(NOTA[ID]))),-1)))</f>
        <v/>
      </c>
      <c r="E1011" s="33"/>
      <c r="H1011" s="34"/>
      <c r="Q1011" s="29"/>
      <c r="R1011" s="35"/>
      <c r="S1011" s="36"/>
      <c r="V1011" s="37"/>
      <c r="W1011" s="32"/>
      <c r="X1011" s="37" t="str">
        <f>IF(NOTA[[#This Row],[HARGA/ CTN]]="",NOTA[[#This Row],[JUMLAH_H]],NOTA[[#This Row],[HARGA/ CTN]]*IF(NOTA[[#This Row],[C]]="",0,NOTA[[#This Row],[C]]))</f>
        <v/>
      </c>
      <c r="Y1011" s="37" t="str">
        <f>IF(NOTA[[#This Row],[JUMLAH]]="","",NOTA[[#This Row],[JUMLAH]]*NOTA[[#This Row],[DISC 1]])</f>
        <v/>
      </c>
      <c r="Z1011" s="37" t="str">
        <f>IF(NOTA[[#This Row],[JUMLAH]]="","",(NOTA[[#This Row],[JUMLAH]]-NOTA[[#This Row],[DISC 1-]])*NOTA[[#This Row],[DISC 2]])</f>
        <v/>
      </c>
      <c r="AA1011" s="37" t="str">
        <f>IF(NOTA[[#This Row],[JUMLAH]]="","",(NOTA[[#This Row],[JUMLAH]]-NOTA[[#This Row],[DISC 1-]]-NOTA[[#This Row],[DISC 2-]])*NOTA[[#This Row],[DISC 3]])</f>
        <v/>
      </c>
      <c r="AB1011" s="37" t="str">
        <f>IF(NOTA[[#This Row],[JUMLAH]]="","",NOTA[[#This Row],[DISC 1-]]+NOTA[[#This Row],[DISC 2-]]+NOTA[[#This Row],[DISC 3-]])</f>
        <v/>
      </c>
      <c r="AC1011" s="37" t="str">
        <f>IF(NOTA[[#This Row],[JUMLAH]]="","",NOTA[[#This Row],[JUMLAH]]-NOTA[[#This Row],[DISC]])</f>
        <v/>
      </c>
      <c r="AD1011" s="37"/>
      <c r="AE10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11" s="37" t="str">
        <f>IF(OR(NOTA[[#This Row],[QTY]]="",NOTA[[#This Row],[HARGA SATUAN]]="",),"",NOTA[[#This Row],[QTY]]*NOTA[[#This Row],[HARGA SATUAN]])</f>
        <v/>
      </c>
      <c r="AI1011" s="26" t="str">
        <f ca="1">IF(NOTA[[#This Row],[ID_H]]="","",INDEX(NOTA[TANGGAL],MATCH(,INDIRECT(ADDRESS(ROW(NOTA[TANGGAL]),COLUMN(NOTA[TANGGAL]))&amp;":"&amp;ADDRESS(ROW(),COLUMN(NOTA[TANGGAL]))),-1)))</f>
        <v/>
      </c>
      <c r="AJ1011" s="26" t="str">
        <f ca="1">IF(NOTA[[#This Row],[ID_H]]="","",INDEX(NOTA[TGL.NOTA],MATCH(,INDIRECT(ADDRESS(ROW(NOTA[TGL.NOTA]),COLUMN(NOTA[TGL.NOTA]))&amp;":"&amp;ADDRESS(ROW(),COLUMN(NOTA[TGL.NOTA]))),-1)))</f>
        <v/>
      </c>
      <c r="AK1011" s="26" t="str">
        <f ca="1">IF(NOTA[[#This Row],[ID_H]]="","",INDEX(NOTA[NO.NOTA],MATCH(NOTA[[#This Row],[ID_H]],NOTA[ID_H],0)))</f>
        <v/>
      </c>
      <c r="AL1011" s="28" t="str">
        <f ca="1">IF(NOTA[[#This Row],[NAMA BARANG]]="","",INDEX(NOTA[SUPPLIER],MATCH(,INDIRECT(ADDRESS(ROW(NOTA[ID]),COLUMN(NOTA[ID]))&amp;":"&amp;ADDRESS(ROW(),COLUMN(NOTA[ID]))),-1)))</f>
        <v/>
      </c>
      <c r="AM1011" s="28" t="str">
        <f ca="1">IF(NOTA[[#This Row],[ID_H]]="","",IF(NOTA[[#This Row],[FAKTUR]]="",INDIRECT(ADDRESS(ROW()-1,COLUMN())),NOTA[[#This Row],[FAKTUR]]))</f>
        <v/>
      </c>
      <c r="AN1011" s="25" t="str">
        <f ca="1">IF(NOTA[[#This Row],[ID]]="","",COUNTIF(NOTA[ID_H],NOTA[[#This Row],[ID_H]]))</f>
        <v/>
      </c>
      <c r="AO1011" s="25" t="str">
        <f ca="1">IF(NOTA[[#This Row],[TGL.NOTA]]="",IF(NOTA[[#This Row],[SUPPLIER_H]]="","",AO1010),MONTH(NOTA[[#This Row],[TGL.NOTA]]))</f>
        <v/>
      </c>
      <c r="AP10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11" s="25"/>
      <c r="AU1011" s="25" t="str">
        <f>IF(NOTA[[#This Row],[CONCAT1]]="","",MATCH(NOTA[[#This Row],[CONCAT1]],[3]!db[NB NOTA_C],0))</f>
        <v/>
      </c>
      <c r="AV1011" s="25" t="str">
        <f>IF(NOTA[[#This Row],[QTY/ CTN]]="","",TRUE)</f>
        <v/>
      </c>
      <c r="AW1011" s="25" t="str">
        <f ca="1">IF(NOTA[[#This Row],[ID_H]]="","",IF(NOTA[[#This Row],[Column3]]=TRUE,NOTA[[#This Row],[QTY/ CTN]],INDEX([3]!db[QTY/ CTN],NOTA[[#This Row],[//DB]])))</f>
        <v/>
      </c>
      <c r="AX10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11" s="25" t="str">
        <f ca="1">IF(NOTA[[#This Row],[ID_H]]="","",MATCH(NOTA[[#This Row],[NB NOTA_C_QTY]],[3]!db[NB NOTA_C_QTY+F],0))</f>
        <v/>
      </c>
      <c r="AZ1011" s="38" t="str">
        <f ca="1">IF(NOTA[[#This Row],[NB NOTA_C_QTY]]="","",ROW()-2)</f>
        <v/>
      </c>
    </row>
  </sheetData>
  <conditionalFormatting sqref="B1:B174 B176:B1048576">
    <cfRule type="duplicateValues" dxfId="92" priority="2097"/>
  </conditionalFormatting>
  <conditionalFormatting sqref="B1:C174 B176:C1048576">
    <cfRule type="duplicateValues" dxfId="91" priority="2101"/>
    <cfRule type="duplicateValues" dxfId="90" priority="2100"/>
  </conditionalFormatting>
  <conditionalFormatting sqref="H3:H104 H106:H174 H176:H284 H286:H1011">
    <cfRule type="duplicateValues" dxfId="89" priority="2141"/>
  </conditionalFormatting>
  <conditionalFormatting sqref="H40:H104 H1:H38 H106:H174 H176:H284 H286:H1048576">
    <cfRule type="duplicateValues" dxfId="88" priority="2107"/>
  </conditionalFormatting>
  <conditionalFormatting sqref="K289">
    <cfRule type="duplicateValues" dxfId="87" priority="33"/>
    <cfRule type="duplicateValues" dxfId="86" priority="34"/>
  </conditionalFormatting>
  <conditionalFormatting sqref="L4">
    <cfRule type="duplicateValues" dxfId="85" priority="88"/>
    <cfRule type="duplicateValues" dxfId="84" priority="87"/>
  </conditionalFormatting>
  <conditionalFormatting sqref="L6">
    <cfRule type="duplicateValues" dxfId="83" priority="86"/>
    <cfRule type="duplicateValues" dxfId="82" priority="85"/>
  </conditionalFormatting>
  <conditionalFormatting sqref="L28">
    <cfRule type="duplicateValues" dxfId="81" priority="84"/>
    <cfRule type="duplicateValues" dxfId="80" priority="83"/>
  </conditionalFormatting>
  <conditionalFormatting sqref="L29">
    <cfRule type="duplicateValues" dxfId="79" priority="82"/>
    <cfRule type="duplicateValues" dxfId="78" priority="81"/>
  </conditionalFormatting>
  <conditionalFormatting sqref="L42">
    <cfRule type="duplicateValues" dxfId="77" priority="80"/>
    <cfRule type="duplicateValues" dxfId="76" priority="79"/>
  </conditionalFormatting>
  <conditionalFormatting sqref="L43:L44">
    <cfRule type="duplicateValues" dxfId="75" priority="78"/>
  </conditionalFormatting>
  <conditionalFormatting sqref="L81">
    <cfRule type="duplicateValues" dxfId="74" priority="76"/>
    <cfRule type="duplicateValues" dxfId="73" priority="77"/>
  </conditionalFormatting>
  <conditionalFormatting sqref="L82">
    <cfRule type="duplicateValues" dxfId="72" priority="74"/>
    <cfRule type="duplicateValues" dxfId="71" priority="75"/>
  </conditionalFormatting>
  <conditionalFormatting sqref="L84:L89">
    <cfRule type="duplicateValues" dxfId="70" priority="72"/>
    <cfRule type="duplicateValues" dxfId="69" priority="73"/>
  </conditionalFormatting>
  <conditionalFormatting sqref="L90:L93">
    <cfRule type="duplicateValues" dxfId="68" priority="71"/>
    <cfRule type="duplicateValues" dxfId="67" priority="70"/>
  </conditionalFormatting>
  <conditionalFormatting sqref="L95:L96">
    <cfRule type="duplicateValues" dxfId="66" priority="69"/>
    <cfRule type="duplicateValues" dxfId="65" priority="68"/>
  </conditionalFormatting>
  <conditionalFormatting sqref="L98:L100">
    <cfRule type="duplicateValues" dxfId="64" priority="59"/>
    <cfRule type="duplicateValues" dxfId="63" priority="58"/>
  </conditionalFormatting>
  <conditionalFormatting sqref="L106">
    <cfRule type="duplicateValues" dxfId="62" priority="57"/>
    <cfRule type="duplicateValues" dxfId="61" priority="56"/>
  </conditionalFormatting>
  <conditionalFormatting sqref="L129">
    <cfRule type="duplicateValues" dxfId="60" priority="54"/>
    <cfRule type="duplicateValues" dxfId="59" priority="55"/>
  </conditionalFormatting>
  <conditionalFormatting sqref="L151">
    <cfRule type="duplicateValues" dxfId="58" priority="48"/>
    <cfRule type="duplicateValues" dxfId="57" priority="47"/>
  </conditionalFormatting>
  <conditionalFormatting sqref="L152">
    <cfRule type="duplicateValues" dxfId="56" priority="51"/>
    <cfRule type="duplicateValues" dxfId="55" priority="52"/>
  </conditionalFormatting>
  <conditionalFormatting sqref="L158">
    <cfRule type="duplicateValues" dxfId="54" priority="49"/>
    <cfRule type="duplicateValues" dxfId="53" priority="50"/>
  </conditionalFormatting>
  <conditionalFormatting sqref="L232">
    <cfRule type="duplicateValues" dxfId="52" priority="61"/>
    <cfRule type="duplicateValues" dxfId="51" priority="60"/>
  </conditionalFormatting>
  <conditionalFormatting sqref="L252">
    <cfRule type="duplicateValues" dxfId="50" priority="66"/>
    <cfRule type="duplicateValues" dxfId="49" priority="67"/>
  </conditionalFormatting>
  <conditionalFormatting sqref="L253">
    <cfRule type="duplicateValues" dxfId="48" priority="64"/>
    <cfRule type="duplicateValues" dxfId="47" priority="65"/>
  </conditionalFormatting>
  <conditionalFormatting sqref="L254:L255">
    <cfRule type="duplicateValues" dxfId="46" priority="62"/>
    <cfRule type="duplicateValues" dxfId="45" priority="63"/>
  </conditionalFormatting>
  <conditionalFormatting sqref="L257">
    <cfRule type="duplicateValues" dxfId="44" priority="45"/>
    <cfRule type="duplicateValues" dxfId="43" priority="46"/>
  </conditionalFormatting>
  <conditionalFormatting sqref="L259">
    <cfRule type="duplicateValues" dxfId="42" priority="44"/>
    <cfRule type="duplicateValues" dxfId="41" priority="43"/>
  </conditionalFormatting>
  <conditionalFormatting sqref="L261">
    <cfRule type="duplicateValues" dxfId="40" priority="42"/>
    <cfRule type="duplicateValues" dxfId="39" priority="41"/>
  </conditionalFormatting>
  <conditionalFormatting sqref="L262">
    <cfRule type="duplicateValues" dxfId="38" priority="40"/>
    <cfRule type="duplicateValues" dxfId="37" priority="39"/>
  </conditionalFormatting>
  <conditionalFormatting sqref="L263">
    <cfRule type="duplicateValues" dxfId="36" priority="38"/>
    <cfRule type="duplicateValues" dxfId="35" priority="37"/>
  </conditionalFormatting>
  <conditionalFormatting sqref="L283">
    <cfRule type="duplicateValues" dxfId="34" priority="5"/>
    <cfRule type="duplicateValues" dxfId="33" priority="6"/>
  </conditionalFormatting>
  <conditionalFormatting sqref="L287">
    <cfRule type="duplicateValues" dxfId="32" priority="35"/>
    <cfRule type="duplicateValues" dxfId="31" priority="36"/>
  </conditionalFormatting>
  <conditionalFormatting sqref="L289">
    <cfRule type="duplicateValues" dxfId="30" priority="31"/>
    <cfRule type="duplicateValues" dxfId="29" priority="32"/>
  </conditionalFormatting>
  <conditionalFormatting sqref="L290">
    <cfRule type="duplicateValues" dxfId="28" priority="30"/>
    <cfRule type="duplicateValues" dxfId="27" priority="29"/>
  </conditionalFormatting>
  <conditionalFormatting sqref="L291">
    <cfRule type="duplicateValues" dxfId="26" priority="28"/>
    <cfRule type="duplicateValues" dxfId="25" priority="27"/>
  </conditionalFormatting>
  <conditionalFormatting sqref="L292">
    <cfRule type="duplicateValues" dxfId="24" priority="3"/>
    <cfRule type="duplicateValues" dxfId="23" priority="4"/>
  </conditionalFormatting>
  <conditionalFormatting sqref="L293">
    <cfRule type="duplicateValues" dxfId="22" priority="2"/>
    <cfRule type="duplicateValues" dxfId="21" priority="1"/>
  </conditionalFormatting>
  <conditionalFormatting sqref="L294:L297">
    <cfRule type="duplicateValues" dxfId="20" priority="24"/>
    <cfRule type="duplicateValues" dxfId="19" priority="23"/>
  </conditionalFormatting>
  <conditionalFormatting sqref="L299">
    <cfRule type="duplicateValues" dxfId="18" priority="22"/>
    <cfRule type="duplicateValues" dxfId="17" priority="21"/>
  </conditionalFormatting>
  <conditionalFormatting sqref="L308">
    <cfRule type="duplicateValues" dxfId="16" priority="20"/>
    <cfRule type="duplicateValues" dxfId="15" priority="19"/>
  </conditionalFormatting>
  <conditionalFormatting sqref="L309">
    <cfRule type="duplicateValues" dxfId="14" priority="18"/>
    <cfRule type="duplicateValues" dxfId="13" priority="17"/>
  </conditionalFormatting>
  <conditionalFormatting sqref="L311:L312">
    <cfRule type="duplicateValues" dxfId="12" priority="16"/>
    <cfRule type="duplicateValues" dxfId="11" priority="15"/>
  </conditionalFormatting>
  <conditionalFormatting sqref="L313">
    <cfRule type="duplicateValues" dxfId="10" priority="14"/>
    <cfRule type="duplicateValues" dxfId="9" priority="13"/>
  </conditionalFormatting>
  <conditionalFormatting sqref="L314:L316">
    <cfRule type="duplicateValues" dxfId="8" priority="12"/>
    <cfRule type="duplicateValues" dxfId="7" priority="11"/>
  </conditionalFormatting>
  <conditionalFormatting sqref="L318:L319">
    <cfRule type="duplicateValues" dxfId="6" priority="10"/>
    <cfRule type="duplicateValues" dxfId="5" priority="9"/>
  </conditionalFormatting>
  <conditionalFormatting sqref="L321">
    <cfRule type="duplicateValues" dxfId="4" priority="8"/>
    <cfRule type="duplicateValues" dxfId="3" priority="7"/>
  </conditionalFormatting>
  <conditionalFormatting sqref="AS3:AS1011">
    <cfRule type="duplicateValues" dxfId="2" priority="2143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40"/>
  <sheetViews>
    <sheetView topLeftCell="M105" zoomScale="85" zoomScaleNormal="85" workbookViewId="0">
      <selection activeCell="Y111" sqref="Y111"/>
    </sheetView>
  </sheetViews>
  <sheetFormatPr defaultRowHeight="15"/>
  <cols>
    <col min="1" max="1" width="13.28515625" bestFit="1" customWidth="1"/>
    <col min="2" max="2" width="11.28515625" bestFit="1" customWidth="1"/>
    <col min="3" max="3" width="9.5703125" customWidth="1"/>
    <col min="4" max="4" width="11" customWidth="1"/>
    <col min="5" max="5" width="50" customWidth="1"/>
    <col min="6" max="6" width="48.42578125" customWidth="1"/>
    <col min="7" max="8" width="37" customWidth="1"/>
    <col min="9" max="9" width="48.5703125" customWidth="1"/>
    <col min="10" max="16" width="11" customWidth="1"/>
    <col min="17" max="17" width="7.140625" customWidth="1"/>
    <col min="18" max="18" width="11" customWidth="1"/>
    <col min="19" max="19" width="11" style="40" customWidth="1"/>
    <col min="20" max="21" width="11" style="4" customWidth="1"/>
    <col min="22" max="22" width="11" style="5" customWidth="1"/>
    <col min="23" max="23" width="7.140625" style="3" customWidth="1"/>
    <col min="24" max="24" width="9.85546875" style="5" customWidth="1"/>
    <col min="25" max="25" width="7.140625" style="5" customWidth="1"/>
    <col min="26" max="26" width="13.5703125" style="41" customWidth="1"/>
    <col min="27" max="29" width="13.5703125" style="42" customWidth="1"/>
    <col min="30" max="31" width="12" style="43" customWidth="1"/>
    <col min="32" max="32" width="18.28515625" style="14" customWidth="1"/>
    <col min="33" max="33" width="15.85546875" style="43" customWidth="1"/>
    <col min="34" max="35" width="12" style="44" customWidth="1"/>
    <col min="36" max="36" width="12" style="2" customWidth="1"/>
    <col min="37" max="37" width="9.140625" customWidth="1"/>
    <col min="38" max="38" width="18.28515625" customWidth="1"/>
    <col min="39" max="39" width="12" style="2" customWidth="1"/>
    <col min="40" max="40" width="35.42578125" style="2" customWidth="1"/>
    <col min="41" max="43" width="12" customWidth="1"/>
    <col min="44" max="44" width="23.42578125" style="45" customWidth="1"/>
  </cols>
  <sheetData>
    <row r="1" spans="1:44">
      <c r="A1" t="s">
        <v>85</v>
      </c>
      <c r="B1" t="s">
        <v>109</v>
      </c>
      <c r="AM1"/>
      <c r="AN1"/>
    </row>
    <row r="2" spans="1:44">
      <c r="A2" t="s">
        <v>35</v>
      </c>
      <c r="B2" t="s">
        <v>257</v>
      </c>
      <c r="AM2"/>
      <c r="AN2"/>
    </row>
    <row r="3" spans="1:44">
      <c r="AD3" s="43">
        <f>AD5*14</f>
        <v>24500000</v>
      </c>
      <c r="AM3"/>
      <c r="AN3"/>
    </row>
    <row r="4" spans="1:44">
      <c r="A4" t="s">
        <v>117</v>
      </c>
      <c r="C4" t="s">
        <v>124</v>
      </c>
      <c r="D4" t="s">
        <v>125</v>
      </c>
      <c r="E4" t="s">
        <v>149</v>
      </c>
      <c r="F4" t="s">
        <v>52</v>
      </c>
      <c r="G4" t="s">
        <v>97</v>
      </c>
      <c r="H4" t="s">
        <v>147</v>
      </c>
      <c r="I4" t="s">
        <v>104</v>
      </c>
      <c r="J4" t="s">
        <v>119</v>
      </c>
      <c r="K4" t="s">
        <v>126</v>
      </c>
      <c r="L4" t="s">
        <v>127</v>
      </c>
      <c r="M4" t="s">
        <v>128</v>
      </c>
      <c r="N4" t="s">
        <v>129</v>
      </c>
      <c r="O4" t="s">
        <v>94</v>
      </c>
      <c r="P4" t="s">
        <v>130</v>
      </c>
      <c r="Q4" t="s">
        <v>136</v>
      </c>
      <c r="R4" t="s">
        <v>135</v>
      </c>
      <c r="S4" s="40" t="s">
        <v>134</v>
      </c>
      <c r="T4" s="4" t="s">
        <v>137</v>
      </c>
      <c r="U4" s="4" t="s">
        <v>150</v>
      </c>
      <c r="V4" s="5" t="s">
        <v>131</v>
      </c>
      <c r="W4" s="3" t="s">
        <v>132</v>
      </c>
      <c r="X4" s="46" t="s">
        <v>141</v>
      </c>
      <c r="Y4" s="46" t="s">
        <v>142</v>
      </c>
      <c r="Z4" s="41" t="s">
        <v>133</v>
      </c>
      <c r="AA4" s="42" t="s">
        <v>14</v>
      </c>
      <c r="AB4" s="42" t="s">
        <v>15</v>
      </c>
      <c r="AC4" s="42" t="s">
        <v>105</v>
      </c>
      <c r="AD4" s="43" t="s">
        <v>143</v>
      </c>
      <c r="AE4" s="43" t="s">
        <v>146</v>
      </c>
      <c r="AF4" s="14" t="s">
        <v>144</v>
      </c>
      <c r="AG4" s="43" t="s">
        <v>145</v>
      </c>
      <c r="AH4" s="44" t="s">
        <v>138</v>
      </c>
      <c r="AI4" s="44" t="s">
        <v>148</v>
      </c>
      <c r="AJ4" t="s">
        <v>139</v>
      </c>
      <c r="AK4" t="s">
        <v>140</v>
      </c>
      <c r="AL4" t="s">
        <v>120</v>
      </c>
      <c r="AM4" t="s">
        <v>121</v>
      </c>
      <c r="AN4" s="47" t="s">
        <v>2</v>
      </c>
      <c r="AO4" t="s">
        <v>122</v>
      </c>
      <c r="AP4" t="s">
        <v>123</v>
      </c>
      <c r="AR4" s="45" t="s">
        <v>151</v>
      </c>
    </row>
    <row r="5" spans="1:44">
      <c r="A5" s="3">
        <v>2</v>
      </c>
      <c r="C5">
        <f>INDEX(NOTA[//DB],Sheet1!A:A)</f>
        <v>933</v>
      </c>
      <c r="D5">
        <f>MATCH(Table17[[#This Row],[//db]],[3]!Table2[\\],0)</f>
        <v>1027</v>
      </c>
      <c r="E5" t="str">
        <f>INDEX([3]!db[NB NOTA],Table17[[#This Row],[//db]])</f>
        <v>ENTER 30CM 675</v>
      </c>
      <c r="F5" t="str">
        <f>INDEX([3]!db[NB BM],Table17[[#This Row],[//db]])</f>
        <v>GARISAN MIKA 30CM ENTER 675</v>
      </c>
      <c r="G5" t="str">
        <f>_xlfn.IFNA(INDEX([3]!Table2[NAMA],Table17[[#This Row],[dbconcat]]),"")</f>
        <v>GARISAN MIKA 30CM ENTER 675</v>
      </c>
      <c r="H5" t="str">
        <f>INDEX([3]!Table2[KODE BARANG],Table17[[#This Row],[dbconcat]])</f>
        <v>GAR-EN2</v>
      </c>
      <c r="I5" t="str">
        <f>IF(Table17[[#This Row],[Column3]]="",UPPER(Table17[[#This Row],[Column1]]),Table17[[#This Row],[Column3]])</f>
        <v>GARISAN MIKA 30CM ENTER 675</v>
      </c>
      <c r="J5">
        <f>INDEX(NOTA[C],Sheet1!A:A)</f>
        <v>5</v>
      </c>
      <c r="K5">
        <f>IF(OR(Table17[[#This Row],[Column5]]=0,Table17[[#This Row],[Column3]]=""),"",INDEX([3]!Table2[ISI2],Table17[[#This Row],[dbconcat]]))</f>
        <v>200</v>
      </c>
      <c r="L5" t="str">
        <f>IF(Table17[[#This Row],[isis]]="","",INDEX([3]!Table2[SATUAN3],Table17[[#This Row],[dbconcat]]))</f>
        <v>LSN</v>
      </c>
      <c r="M5" t="str">
        <f>IF(Table17[[#This Row],[Column5]]=0,"",IF(Table17[[#This Row],[Column3]]="",INDEX([3]!db[QTY B],Table17[[#This Row],[//db]]),""))</f>
        <v/>
      </c>
      <c r="N5" t="str">
        <f>IF(Table17[[#This Row],[isin]]="","",INDEX([3]!db[STN B],Table17[[#This Row],[//db]]))</f>
        <v/>
      </c>
      <c r="O5" t="str">
        <f>IF(AND(Table17[[#This Row],[isis]]="",Table17[[#This Row],[isin]]=""),INDEX(NOTA[QTY],Sheet1!A:A)/IF(Table17[[#This Row],[Column5]]=0,1,Table17[[#This Row],[Column5]]),"")</f>
        <v/>
      </c>
      <c r="P5" t="str">
        <f>IF(Table17[[#This Row],[Column2]]="","",INDEX(NOTA[STN],Sheet1!A:A))</f>
        <v/>
      </c>
      <c r="Q5" s="5" t="str">
        <f>INDEX([3]!db[QTY B],Table17[[#This Row],[//db]])</f>
        <v>200</v>
      </c>
      <c r="R5" t="str">
        <f>INDEX([3]!db[STN B],Table17[[#This Row],[//db]])</f>
        <v>LSN</v>
      </c>
      <c r="S5" s="40" t="str">
        <f>IF(Table17[[#This Row],[Column5]]=0,Table17[[#This Row],[Column23]]/Table17[[#This Row],[Column224]],"")</f>
        <v/>
      </c>
      <c r="T5" s="4">
        <f>IF(Table17[[#This Row],[Column222]]="",Table17[[#This Row],[Column5]],Table17[[#This Row],[Column222]])</f>
        <v>5</v>
      </c>
      <c r="U5" s="4" t="str">
        <f>IF(Table17[[#This Row],[Column223]]=Table17[[#This Row],[Column24]],"",1)</f>
        <v/>
      </c>
      <c r="V5" s="5">
        <f>IF(Table17[[#This Row],[isis]]="",IF(Table17[[#This Row],[isin]]="",Table17[[#This Row],[Column2]],Table17[[#This Row],[isin]]),Table17[[#This Row],[isis]])</f>
        <v>200</v>
      </c>
      <c r="W5" s="3" t="str">
        <f>IF(Table17[[#This Row],[isis]]="",IF(Table17[[#This Row],[isin]]="",Table17[[#This Row],[Column22]],Table17[[#This Row],[stnn]]),Table17[[#This Row],[stns]])</f>
        <v>LSN</v>
      </c>
      <c r="X5" s="5">
        <f>IF(Table17[[#This Row],[Column2222]]&lt;1,Table17[[#This Row],[Column23]],Table17[[#This Row],[Column23]]*Table17[[#This Row],[Column2222]])</f>
        <v>1000</v>
      </c>
      <c r="Y5" s="3" t="str">
        <f>Table17[[#This Row],[Column24]]</f>
        <v>LSN</v>
      </c>
      <c r="Z5" s="5">
        <f>Table17[[#This Row],[HRG / CTN]]/Table17[[#This Row],[Column23]]</f>
        <v>8750</v>
      </c>
      <c r="AA5" s="42" t="str">
        <f>IF(INDEX(NOTA[DISC 1],Sheet1!A:A)=0,"",INDEX(NOTA[DISC 1],Sheet1!A:A))</f>
        <v/>
      </c>
      <c r="AB5" s="42" t="str">
        <f>IF(INDEX(NOTA[DISC 2],Sheet1!A:A)=0,"",INDEX(NOTA[DISC 2],Sheet1!A:A))</f>
        <v/>
      </c>
      <c r="AC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" s="43">
        <f>INDEX(NOTA[HARGA/ CTN_H],Sheet1!A:A)</f>
        <v>1750000</v>
      </c>
      <c r="AE5" s="43">
        <f>IF(Table17[[#This Row],[DISC 3]]="",Table17[[#This Row],[HRG / CTN]],Table17[[#This Row],[HRG / CTN]]-(Table17[[#This Row],[HRG / CTN]]*Table17[[#This Row],[DISC 3]]))</f>
        <v>1750000</v>
      </c>
      <c r="AF5" s="14">
        <f>IF(Table17[[#This Row],[Column2222]]&lt;1,Table17[[#This Row],[Column9]],Table17[[#This Row],[Column9]]*Table17[[#This Row],[Column2222]])</f>
        <v>8750000</v>
      </c>
      <c r="AG5" s="43">
        <f ca="1">IF(NOT(AL6=Table17[[#This Row],[Column6]]),SUMIF(Table17[Column6],Table17[[#This Row],[Column6]],Table17[Column7]),"")</f>
        <v>8750000</v>
      </c>
      <c r="AH5" s="44">
        <f ca="1">INDEX(NOTA[TGL_H],Sheet1!A:A)</f>
        <v>45440</v>
      </c>
      <c r="AI5" s="44">
        <f ca="1">INDEX(NOTA[TGL.NOTA_H],Sheet1!A:A)</f>
        <v>45434</v>
      </c>
      <c r="AJ5" s="2">
        <v>45398</v>
      </c>
      <c r="AK5" t="str">
        <f>IF(INDEX(NOTA[KETERANGAN],A:A)="","",INDEX(NOTA[KETERANGAN],A:A))</f>
        <v/>
      </c>
      <c r="AL5" t="str">
        <f ca="1">INDEX(NOTA[NO.NOTA_H],Sheet1!A:A)</f>
        <v>G61.24</v>
      </c>
      <c r="AM5">
        <f>INDEX(NOTA[KETERANGAN],Sheet1!A:A)</f>
        <v>0</v>
      </c>
      <c r="AN5" t="str">
        <f ca="1">INDEX(NOTA[SUPPLIER_H],Sheet1!A:A)</f>
        <v>ETJ</v>
      </c>
      <c r="AO5" t="e">
        <f t="shared" ref="AO5:AO42" ca="1" si="0">MATCH(AL:AL,AR:AR,0)</f>
        <v>#N/A</v>
      </c>
      <c r="AR5" s="45" t="s">
        <v>152</v>
      </c>
    </row>
    <row r="6" spans="1:44">
      <c r="A6" s="3">
        <v>4</v>
      </c>
      <c r="C6">
        <f>INDEX(NOTA[//DB],Sheet1!A:A)</f>
        <v>2370</v>
      </c>
      <c r="D6" t="e">
        <f>MATCH(Table17[[#This Row],[//db]],[3]!Table2[\\],0)</f>
        <v>#N/A</v>
      </c>
      <c r="E6" t="str">
        <f>INDEX([3]!db[NB NOTA],Table17[[#This Row],[//db]])</f>
        <v>PAPER BAG COKLAT BESAR TEBAL</v>
      </c>
      <c r="F6" t="str">
        <f>INDEX([3]!db[NB BM],Table17[[#This Row],[//db]])</f>
        <v>Tas Coklat Tebal Besar</v>
      </c>
      <c r="G6" t="str">
        <f>_xlfn.IFNA(INDEX([3]!Table2[NAMA],Table17[[#This Row],[dbconcat]]),"")</f>
        <v/>
      </c>
      <c r="H6" t="e">
        <f>INDEX([3]!Table2[KODE BARANG],Table17[[#This Row],[dbconcat]])</f>
        <v>#N/A</v>
      </c>
      <c r="I6" t="str">
        <f>IF(Table17[[#This Row],[Column3]]="",UPPER(Table17[[#This Row],[Column1]]),Table17[[#This Row],[Column3]])</f>
        <v>TAS COKLAT TEBAL BESAR</v>
      </c>
      <c r="J6">
        <f>INDEX(NOTA[C],Sheet1!A:A)</f>
        <v>4</v>
      </c>
      <c r="K6" t="str">
        <f>IF(OR(Table17[[#This Row],[Column5]]=0,Table17[[#This Row],[Column3]]=""),"",INDEX([3]!Table2[ISI2],Table17[[#This Row],[dbconcat]]))</f>
        <v/>
      </c>
      <c r="L6" t="str">
        <f>IF(Table17[[#This Row],[isis]]="","",INDEX([3]!Table2[SATUAN3],Table17[[#This Row],[dbconcat]]))</f>
        <v/>
      </c>
      <c r="M6" t="str">
        <f>IF(Table17[[#This Row],[Column5]]=0,"",IF(Table17[[#This Row],[Column3]]="",INDEX([3]!db[QTY B],Table17[[#This Row],[//db]]),""))</f>
        <v>30</v>
      </c>
      <c r="N6" t="str">
        <f>IF(Table17[[#This Row],[isin]]="","",INDEX([3]!db[STN B],Table17[[#This Row],[//db]]))</f>
        <v>LSN</v>
      </c>
      <c r="O6" t="str">
        <f>IF(AND(Table17[[#This Row],[isis]]="",Table17[[#This Row],[isin]]=""),INDEX(NOTA[QTY],Sheet1!A:A)/IF(Table17[[#This Row],[Column5]]=0,1,Table17[[#This Row],[Column5]]),"")</f>
        <v/>
      </c>
      <c r="P6" t="str">
        <f>IF(Table17[[#This Row],[Column2]]="","",INDEX(NOTA[STN],Sheet1!A:A))</f>
        <v/>
      </c>
      <c r="Q6" s="5" t="str">
        <f>INDEX([3]!db[QTY B],Table17[[#This Row],[//db]])</f>
        <v>30</v>
      </c>
      <c r="R6" t="str">
        <f>INDEX([3]!db[STN B],Table17[[#This Row],[//db]])</f>
        <v>LSN</v>
      </c>
      <c r="S6" s="40" t="str">
        <f>IF(Table17[[#This Row],[Column5]]=0,Table17[[#This Row],[Column23]]/Table17[[#This Row],[Column224]],"")</f>
        <v/>
      </c>
      <c r="T6" s="4">
        <f>IF(Table17[[#This Row],[Column222]]="",Table17[[#This Row],[Column5]],Table17[[#This Row],[Column222]])</f>
        <v>4</v>
      </c>
      <c r="U6" s="4" t="str">
        <f>IF(Table17[[#This Row],[Column223]]=Table17[[#This Row],[Column24]],"",1)</f>
        <v/>
      </c>
      <c r="V6" s="5" t="str">
        <f>IF(Table17[[#This Row],[isis]]="",IF(Table17[[#This Row],[isin]]="",Table17[[#This Row],[Column2]],Table17[[#This Row],[isin]]),Table17[[#This Row],[isis]])</f>
        <v>30</v>
      </c>
      <c r="W6" s="3" t="str">
        <f>IF(Table17[[#This Row],[isis]]="",IF(Table17[[#This Row],[isin]]="",Table17[[#This Row],[Column22]],Table17[[#This Row],[stnn]]),Table17[[#This Row],[stns]])</f>
        <v>LSN</v>
      </c>
      <c r="X6" s="5">
        <f>IF(Table17[[#This Row],[Column2222]]&lt;1,Table17[[#This Row],[Column23]],Table17[[#This Row],[Column23]]*Table17[[#This Row],[Column2222]])</f>
        <v>120</v>
      </c>
      <c r="Y6" s="3" t="str">
        <f>Table17[[#This Row],[Column24]]</f>
        <v>LSN</v>
      </c>
      <c r="Z6" s="5">
        <f>Table17[[#This Row],[HRG / CTN]]/Table17[[#This Row],[Column23]]</f>
        <v>25500</v>
      </c>
      <c r="AA6" s="42">
        <f>IF(INDEX(NOTA[DISC 1],Sheet1!A:A)=0,"",INDEX(NOTA[DISC 1],Sheet1!A:A))</f>
        <v>0.05</v>
      </c>
      <c r="AB6" s="42">
        <f>IF(INDEX(NOTA[DISC 2],Sheet1!A:A)=0,"",INDEX(NOTA[DISC 2],Sheet1!A:A))</f>
        <v>0.03</v>
      </c>
      <c r="AC6" s="42">
        <f>IF(Table17[[#This Row],[DISC 1]]="","",IF(Table17[[#This Row],[DISC 2]]="",Table17[[#This Row],[DISC 1]],Table17[[#This Row],[DISC 1]]+Table17[[#This Row],[DISC 2]]-(Table17[[#This Row],[DISC 1]]*Table17[[#This Row],[DISC 2]])))</f>
        <v>7.85E-2</v>
      </c>
      <c r="AD6" s="43">
        <f>INDEX(NOTA[HARGA/ CTN_H],Sheet1!A:A)</f>
        <v>765000</v>
      </c>
      <c r="AE6" s="43">
        <f>IF(Table17[[#This Row],[DISC 3]]="",Table17[[#This Row],[HRG / CTN]],Table17[[#This Row],[HRG / CTN]]-(Table17[[#This Row],[HRG / CTN]]*Table17[[#This Row],[DISC 3]]))</f>
        <v>704947.5</v>
      </c>
      <c r="AF6" s="14">
        <f>IF(Table17[[#This Row],[Column2222]]&lt;1,Table17[[#This Row],[Column9]],Table17[[#This Row],[Column9]]*Table17[[#This Row],[Column2222]])</f>
        <v>2819790</v>
      </c>
      <c r="AG6" s="43">
        <f ca="1">IF(NOT(AL7=Table17[[#This Row],[Column6]]),SUMIF(Table17[Column6],Table17[[#This Row],[Column6]],Table17[Column7]),"")</f>
        <v>2819790</v>
      </c>
      <c r="AH6" s="44">
        <f ca="1">INDEX(NOTA[TGL_H],Sheet1!A:A)</f>
        <v>45440</v>
      </c>
      <c r="AI6" s="44">
        <f ca="1">INDEX(NOTA[TGL.NOTA_H],Sheet1!A:A)</f>
        <v>45437</v>
      </c>
      <c r="AJ6" s="2">
        <v>45398</v>
      </c>
      <c r="AK6" t="str">
        <f>IF(INDEX(NOTA[KETERANGAN],A:A)="","",INDEX(NOTA[KETERANGAN],A:A))</f>
        <v/>
      </c>
      <c r="AL6" t="str">
        <f ca="1">INDEX(NOTA[NO.NOTA_H],Sheet1!A:A)</f>
        <v>SO2024050085691</v>
      </c>
      <c r="AM6">
        <f>INDEX(NOTA[KETERANGAN],Sheet1!A:A)</f>
        <v>0</v>
      </c>
      <c r="AN6" t="str">
        <f ca="1">INDEX(NOTA[SUPPLIER_H],Sheet1!A:A)</f>
        <v>BINTANG SAUDARA</v>
      </c>
      <c r="AO6" t="e">
        <f t="shared" ca="1" si="0"/>
        <v>#N/A</v>
      </c>
      <c r="AR6" s="45" t="s">
        <v>152</v>
      </c>
    </row>
    <row r="7" spans="1:44">
      <c r="A7" s="3">
        <v>6</v>
      </c>
      <c r="C7">
        <f>INDEX(NOTA[//DB],Sheet1!A:A)</f>
        <v>1268</v>
      </c>
      <c r="D7">
        <f>MATCH(Table17[[#This Row],[//db]],[3]!Table2[\\],0)</f>
        <v>738</v>
      </c>
      <c r="E7" t="str">
        <f>INDEX([3]!db[NB NOTA],Table17[[#This Row],[//db]])</f>
        <v>GEL ZHIXIN + REFILL G-3122</v>
      </c>
      <c r="F7" t="str">
        <f>INDEX([3]!db[NB BM],Table17[[#This Row],[//db]])</f>
        <v>BP GEL ZHIXIN G 3122</v>
      </c>
      <c r="G7" t="str">
        <f>_xlfn.IFNA(INDEX([3]!Table2[NAMA],Table17[[#This Row],[dbconcat]]),"")</f>
        <v>BP GEL ZHIXIN G 3122</v>
      </c>
      <c r="H7" t="str">
        <f>INDEX([3]!Table2[KODE BARANG],Table17[[#This Row],[dbconcat]])</f>
        <v>BOL-ZI365</v>
      </c>
      <c r="I7" t="str">
        <f>IF(Table17[[#This Row],[Column3]]="",UPPER(Table17[[#This Row],[Column1]]),Table17[[#This Row],[Column3]])</f>
        <v>BP GEL ZHIXIN G 3122</v>
      </c>
      <c r="J7">
        <f>INDEX(NOTA[C],Sheet1!A:A)</f>
        <v>2</v>
      </c>
      <c r="K7">
        <f>IF(OR(Table17[[#This Row],[Column5]]=0,Table17[[#This Row],[Column3]]=""),"",INDEX([3]!Table2[ISI2],Table17[[#This Row],[dbconcat]]))</f>
        <v>120</v>
      </c>
      <c r="L7" t="str">
        <f>IF(Table17[[#This Row],[isis]]="","",INDEX([3]!Table2[SATUAN3],Table17[[#This Row],[dbconcat]]))</f>
        <v>LSN</v>
      </c>
      <c r="M7" t="str">
        <f>IF(Table17[[#This Row],[Column5]]=0,"",IF(Table17[[#This Row],[Column3]]="",INDEX([3]!db[QTY B],Table17[[#This Row],[//db]]),""))</f>
        <v/>
      </c>
      <c r="N7" t="str">
        <f>IF(Table17[[#This Row],[isin]]="","",INDEX([3]!db[STN B],Table17[[#This Row],[//db]]))</f>
        <v/>
      </c>
      <c r="O7" t="str">
        <f>IF(AND(Table17[[#This Row],[isis]]="",Table17[[#This Row],[isin]]=""),INDEX(NOTA[QTY],Sheet1!A:A)/IF(Table17[[#This Row],[Column5]]=0,1,Table17[[#This Row],[Column5]]),"")</f>
        <v/>
      </c>
      <c r="P7" t="str">
        <f>IF(Table17[[#This Row],[Column2]]="","",INDEX(NOTA[STN],Sheet1!A:A))</f>
        <v/>
      </c>
      <c r="Q7" s="5" t="str">
        <f>INDEX([3]!db[QTY B],Table17[[#This Row],[//db]])</f>
        <v>120</v>
      </c>
      <c r="R7" t="str">
        <f>INDEX([3]!db[STN B],Table17[[#This Row],[//db]])</f>
        <v>LSN</v>
      </c>
      <c r="S7" s="40" t="str">
        <f>IF(Table17[[#This Row],[Column5]]=0,Table17[[#This Row],[Column23]]/Table17[[#This Row],[Column224]],"")</f>
        <v/>
      </c>
      <c r="T7" s="4">
        <f>IF(Table17[[#This Row],[Column222]]="",Table17[[#This Row],[Column5]],Table17[[#This Row],[Column222]])</f>
        <v>2</v>
      </c>
      <c r="U7" s="4" t="str">
        <f>IF(Table17[[#This Row],[Column223]]=Table17[[#This Row],[Column24]],"",1)</f>
        <v/>
      </c>
      <c r="V7" s="5">
        <f>IF(Table17[[#This Row],[isis]]="",IF(Table17[[#This Row],[isin]]="",Table17[[#This Row],[Column2]],Table17[[#This Row],[isin]]),Table17[[#This Row],[isis]])</f>
        <v>120</v>
      </c>
      <c r="W7" s="3" t="str">
        <f>IF(Table17[[#This Row],[isis]]="",IF(Table17[[#This Row],[isin]]="",Table17[[#This Row],[Column22]],Table17[[#This Row],[stnn]]),Table17[[#This Row],[stns]])</f>
        <v>LSN</v>
      </c>
      <c r="X7" s="5">
        <f>IF(Table17[[#This Row],[Column2222]]&lt;1,Table17[[#This Row],[Column23]],Table17[[#This Row],[Column23]]*Table17[[#This Row],[Column2222]])</f>
        <v>240</v>
      </c>
      <c r="Y7" s="3" t="str">
        <f>Table17[[#This Row],[Column24]]</f>
        <v>LSN</v>
      </c>
      <c r="Z7" s="5">
        <f>Table17[[#This Row],[HRG / CTN]]/Table17[[#This Row],[Column23]]</f>
        <v>18250</v>
      </c>
      <c r="AA7" s="42" t="str">
        <f>IF(INDEX(NOTA[DISC 1],Sheet1!A:A)=0,"",INDEX(NOTA[DISC 1],Sheet1!A:A))</f>
        <v/>
      </c>
      <c r="AB7" s="42" t="str">
        <f>IF(INDEX(NOTA[DISC 2],Sheet1!A:A)=0,"",INDEX(NOTA[DISC 2],Sheet1!A:A))</f>
        <v/>
      </c>
      <c r="AC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" s="43">
        <f>INDEX(NOTA[HARGA/ CTN_H],Sheet1!A:A)</f>
        <v>2190000</v>
      </c>
      <c r="AE7" s="43">
        <f>IF(Table17[[#This Row],[DISC 3]]="",Table17[[#This Row],[HRG / CTN]],Table17[[#This Row],[HRG / CTN]]-(Table17[[#This Row],[HRG / CTN]]*Table17[[#This Row],[DISC 3]]))</f>
        <v>2190000</v>
      </c>
      <c r="AF7" s="14">
        <f>IF(Table17[[#This Row],[Column2222]]&lt;1,Table17[[#This Row],[Column9]],Table17[[#This Row],[Column9]]*Table17[[#This Row],[Column2222]])</f>
        <v>4380000</v>
      </c>
      <c r="AG7" s="43" t="str">
        <f ca="1">IF(NOT(AL8=Table17[[#This Row],[Column6]]),SUMIF(Table17[Column6],Table17[[#This Row],[Column6]],Table17[Column7]),"")</f>
        <v/>
      </c>
      <c r="AH7" s="44">
        <f ca="1">INDEX(NOTA[TGL_H],Sheet1!A:A)</f>
        <v>45440</v>
      </c>
      <c r="AI7" s="44">
        <f ca="1">INDEX(NOTA[TGL.NOTA_H],Sheet1!A:A)</f>
        <v>45437</v>
      </c>
      <c r="AJ7" s="2">
        <v>45398</v>
      </c>
      <c r="AK7" t="str">
        <f>IF(INDEX(NOTA[KETERANGAN],A:A)="","",INDEX(NOTA[KETERANGAN],A:A))</f>
        <v/>
      </c>
      <c r="AL7" t="str">
        <f ca="1">INDEX(NOTA[NO.NOTA_H],Sheet1!A:A)</f>
        <v>JUE605/24</v>
      </c>
      <c r="AM7">
        <f>INDEX(NOTA[KETERANGAN],Sheet1!A:A)</f>
        <v>0</v>
      </c>
      <c r="AN7" t="str">
        <f ca="1">INDEX(NOTA[SUPPLIER_H],Sheet1!A:A)</f>
        <v>DB STATIONERY</v>
      </c>
      <c r="AO7" t="e">
        <f t="shared" ca="1" si="0"/>
        <v>#N/A</v>
      </c>
      <c r="AR7" s="45" t="s">
        <v>152</v>
      </c>
    </row>
    <row r="8" spans="1:44">
      <c r="A8" s="3">
        <v>7</v>
      </c>
      <c r="C8">
        <f>INDEX(NOTA[//DB],Sheet1!A:A)</f>
        <v>1269</v>
      </c>
      <c r="D8">
        <f>MATCH(Table17[[#This Row],[//db]],[3]!Table2[\\],0)</f>
        <v>739</v>
      </c>
      <c r="E8" t="str">
        <f>INDEX([3]!db[NB NOTA],Table17[[#This Row],[//db]])</f>
        <v>GEL ZHIXIN + REFILL G-3164</v>
      </c>
      <c r="F8" t="str">
        <f>INDEX([3]!db[NB BM],Table17[[#This Row],[//db]])</f>
        <v>BP GEL ZHIXIN G 3164</v>
      </c>
      <c r="G8" t="str">
        <f>_xlfn.IFNA(INDEX([3]!Table2[NAMA],Table17[[#This Row],[dbconcat]]),"")</f>
        <v>BP GEL ZHIXIN G 3164</v>
      </c>
      <c r="H8" t="str">
        <f>INDEX([3]!Table2[KODE BARANG],Table17[[#This Row],[dbconcat]])</f>
        <v>BOL-ZI366</v>
      </c>
      <c r="I8" t="str">
        <f>IF(Table17[[#This Row],[Column3]]="",UPPER(Table17[[#This Row],[Column1]]),Table17[[#This Row],[Column3]])</f>
        <v>BP GEL ZHIXIN G 3164</v>
      </c>
      <c r="J8">
        <f>INDEX(NOTA[C],Sheet1!A:A)</f>
        <v>2</v>
      </c>
      <c r="K8">
        <f>IF(OR(Table17[[#This Row],[Column5]]=0,Table17[[#This Row],[Column3]]=""),"",INDEX([3]!Table2[ISI2],Table17[[#This Row],[dbconcat]]))</f>
        <v>120</v>
      </c>
      <c r="L8" t="str">
        <f>IF(Table17[[#This Row],[isis]]="","",INDEX([3]!Table2[SATUAN3],Table17[[#This Row],[dbconcat]]))</f>
        <v>LSN</v>
      </c>
      <c r="M8" t="str">
        <f>IF(Table17[[#This Row],[Column5]]=0,"",IF(Table17[[#This Row],[Column3]]="",INDEX([3]!db[QTY B],Table17[[#This Row],[//db]]),""))</f>
        <v/>
      </c>
      <c r="N8" t="str">
        <f>IF(Table17[[#This Row],[isin]]="","",INDEX([3]!db[STN B],Table17[[#This Row],[//db]]))</f>
        <v/>
      </c>
      <c r="O8" t="str">
        <f>IF(AND(Table17[[#This Row],[isis]]="",Table17[[#This Row],[isin]]=""),INDEX(NOTA[QTY],Sheet1!A:A)/IF(Table17[[#This Row],[Column5]]=0,1,Table17[[#This Row],[Column5]]),"")</f>
        <v/>
      </c>
      <c r="P8" t="str">
        <f>IF(Table17[[#This Row],[Column2]]="","",INDEX(NOTA[STN],Sheet1!A:A))</f>
        <v/>
      </c>
      <c r="Q8" s="5" t="str">
        <f>INDEX([3]!db[QTY B],Table17[[#This Row],[//db]])</f>
        <v>120</v>
      </c>
      <c r="R8" t="str">
        <f>INDEX([3]!db[STN B],Table17[[#This Row],[//db]])</f>
        <v>LSN</v>
      </c>
      <c r="S8" s="40" t="str">
        <f>IF(Table17[[#This Row],[Column5]]=0,Table17[[#This Row],[Column23]]/Table17[[#This Row],[Column224]],"")</f>
        <v/>
      </c>
      <c r="T8" s="4">
        <f>IF(Table17[[#This Row],[Column222]]="",Table17[[#This Row],[Column5]],Table17[[#This Row],[Column222]])</f>
        <v>2</v>
      </c>
      <c r="U8" s="4" t="str">
        <f>IF(Table17[[#This Row],[Column223]]=Table17[[#This Row],[Column24]],"",1)</f>
        <v/>
      </c>
      <c r="V8" s="5">
        <f>IF(Table17[[#This Row],[isis]]="",IF(Table17[[#This Row],[isin]]="",Table17[[#This Row],[Column2]],Table17[[#This Row],[isin]]),Table17[[#This Row],[isis]])</f>
        <v>120</v>
      </c>
      <c r="W8" s="3" t="str">
        <f>IF(Table17[[#This Row],[isis]]="",IF(Table17[[#This Row],[isin]]="",Table17[[#This Row],[Column22]],Table17[[#This Row],[stnn]]),Table17[[#This Row],[stns]])</f>
        <v>LSN</v>
      </c>
      <c r="X8" s="5">
        <f>IF(Table17[[#This Row],[Column2222]]&lt;1,Table17[[#This Row],[Column23]],Table17[[#This Row],[Column23]]*Table17[[#This Row],[Column2222]])</f>
        <v>240</v>
      </c>
      <c r="Y8" s="3" t="str">
        <f>Table17[[#This Row],[Column24]]</f>
        <v>LSN</v>
      </c>
      <c r="Z8" s="5">
        <f>Table17[[#This Row],[HRG / CTN]]/Table17[[#This Row],[Column23]]</f>
        <v>18250</v>
      </c>
      <c r="AA8" s="42" t="str">
        <f>IF(INDEX(NOTA[DISC 1],Sheet1!A:A)=0,"",INDEX(NOTA[DISC 1],Sheet1!A:A))</f>
        <v/>
      </c>
      <c r="AB8" s="42" t="str">
        <f>IF(INDEX(NOTA[DISC 2],Sheet1!A:A)=0,"",INDEX(NOTA[DISC 2],Sheet1!A:A))</f>
        <v/>
      </c>
      <c r="AC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" s="43">
        <f>INDEX(NOTA[HARGA/ CTN_H],Sheet1!A:A)</f>
        <v>2190000</v>
      </c>
      <c r="AE8" s="43">
        <f>IF(Table17[[#This Row],[DISC 3]]="",Table17[[#This Row],[HRG / CTN]],Table17[[#This Row],[HRG / CTN]]-(Table17[[#This Row],[HRG / CTN]]*Table17[[#This Row],[DISC 3]]))</f>
        <v>2190000</v>
      </c>
      <c r="AF8" s="14">
        <f>IF(Table17[[#This Row],[Column2222]]&lt;1,Table17[[#This Row],[Column9]],Table17[[#This Row],[Column9]]*Table17[[#This Row],[Column2222]])</f>
        <v>4380000</v>
      </c>
      <c r="AG8" s="43" t="str">
        <f ca="1">IF(NOT(AL9=Table17[[#This Row],[Column6]]),SUMIF(Table17[Column6],Table17[[#This Row],[Column6]],Table17[Column7]),"")</f>
        <v/>
      </c>
      <c r="AH8" s="44">
        <f ca="1">INDEX(NOTA[TGL_H],Sheet1!A:A)</f>
        <v>45440</v>
      </c>
      <c r="AI8" s="44">
        <f ca="1">INDEX(NOTA[TGL.NOTA_H],Sheet1!A:A)</f>
        <v>45437</v>
      </c>
      <c r="AJ8" s="2">
        <v>45398</v>
      </c>
      <c r="AK8" t="str">
        <f>IF(INDEX(NOTA[KETERANGAN],A:A)="","",INDEX(NOTA[KETERANGAN],A:A))</f>
        <v/>
      </c>
      <c r="AL8" t="str">
        <f ca="1">INDEX(NOTA[NO.NOTA_H],Sheet1!A:A)</f>
        <v>JUE605/24</v>
      </c>
      <c r="AM8">
        <f>INDEX(NOTA[KETERANGAN],Sheet1!A:A)</f>
        <v>0</v>
      </c>
      <c r="AN8" t="str">
        <f ca="1">INDEX(NOTA[SUPPLIER_H],Sheet1!A:A)</f>
        <v>DB STATIONERY</v>
      </c>
      <c r="AO8" t="e">
        <f t="shared" ca="1" si="0"/>
        <v>#N/A</v>
      </c>
      <c r="AR8" s="45" t="s">
        <v>152</v>
      </c>
    </row>
    <row r="9" spans="1:44">
      <c r="A9" s="3">
        <v>8</v>
      </c>
      <c r="C9">
        <f>INDEX(NOTA[//DB],Sheet1!A:A)</f>
        <v>1296</v>
      </c>
      <c r="D9">
        <f>MATCH(Table17[[#This Row],[//db]],[3]!Table2[\\],0)</f>
        <v>416</v>
      </c>
      <c r="E9" t="str">
        <f>INDEX([3]!db[NB NOTA],Table17[[#This Row],[//db]])</f>
        <v>GEL ZHIXIN + REFILL G-3165</v>
      </c>
      <c r="F9" t="str">
        <f>INDEX([3]!db[NB BM],Table17[[#This Row],[//db]])</f>
        <v>BP GEL ZHIXIN G 3165</v>
      </c>
      <c r="G9" t="str">
        <f>_xlfn.IFNA(INDEX([3]!Table2[NAMA],Table17[[#This Row],[dbconcat]]),"")</f>
        <v>BP GEL ZHIXIN G 3165</v>
      </c>
      <c r="H9" t="str">
        <f>INDEX([3]!Table2[KODE BARANG],Table17[[#This Row],[dbconcat]])</f>
        <v>BOL-ZI38</v>
      </c>
      <c r="I9" t="str">
        <f>IF(Table17[[#This Row],[Column3]]="",UPPER(Table17[[#This Row],[Column1]]),Table17[[#This Row],[Column3]])</f>
        <v>BP GEL ZHIXIN G 3165</v>
      </c>
      <c r="J9">
        <f>INDEX(NOTA[C],Sheet1!A:A)</f>
        <v>2</v>
      </c>
      <c r="K9">
        <f>IF(OR(Table17[[#This Row],[Column5]]=0,Table17[[#This Row],[Column3]]=""),"",INDEX([3]!Table2[ISI2],Table17[[#This Row],[dbconcat]]))</f>
        <v>120</v>
      </c>
      <c r="L9" t="str">
        <f>IF(Table17[[#This Row],[isis]]="","",INDEX([3]!Table2[SATUAN3],Table17[[#This Row],[dbconcat]]))</f>
        <v>LSN</v>
      </c>
      <c r="M9" t="str">
        <f>IF(Table17[[#This Row],[Column5]]=0,"",IF(Table17[[#This Row],[Column3]]="",INDEX([3]!db[QTY B],Table17[[#This Row],[//db]]),""))</f>
        <v/>
      </c>
      <c r="N9" t="str">
        <f>IF(Table17[[#This Row],[isin]]="","",INDEX([3]!db[STN B],Table17[[#This Row],[//db]]))</f>
        <v/>
      </c>
      <c r="O9" t="str">
        <f>IF(AND(Table17[[#This Row],[isis]]="",Table17[[#This Row],[isin]]=""),INDEX(NOTA[QTY],Sheet1!A:A)/IF(Table17[[#This Row],[Column5]]=0,1,Table17[[#This Row],[Column5]]),"")</f>
        <v/>
      </c>
      <c r="P9" t="str">
        <f>IF(Table17[[#This Row],[Column2]]="","",INDEX(NOTA[STN],Sheet1!A:A))</f>
        <v/>
      </c>
      <c r="Q9" s="5" t="str">
        <f>INDEX([3]!db[QTY B],Table17[[#This Row],[//db]])</f>
        <v>120</v>
      </c>
      <c r="R9" t="str">
        <f>INDEX([3]!db[STN B],Table17[[#This Row],[//db]])</f>
        <v>LSN</v>
      </c>
      <c r="S9" s="40" t="str">
        <f>IF(Table17[[#This Row],[Column5]]=0,Table17[[#This Row],[Column23]]/Table17[[#This Row],[Column224]],"")</f>
        <v/>
      </c>
      <c r="T9" s="4">
        <f>IF(Table17[[#This Row],[Column222]]="",Table17[[#This Row],[Column5]],Table17[[#This Row],[Column222]])</f>
        <v>2</v>
      </c>
      <c r="U9" s="4" t="str">
        <f>IF(Table17[[#This Row],[Column223]]=Table17[[#This Row],[Column24]],"",1)</f>
        <v/>
      </c>
      <c r="V9" s="5">
        <f>IF(Table17[[#This Row],[isis]]="",IF(Table17[[#This Row],[isin]]="",Table17[[#This Row],[Column2]],Table17[[#This Row],[isin]]),Table17[[#This Row],[isis]])</f>
        <v>120</v>
      </c>
      <c r="W9" s="3" t="str">
        <f>IF(Table17[[#This Row],[isis]]="",IF(Table17[[#This Row],[isin]]="",Table17[[#This Row],[Column22]],Table17[[#This Row],[stnn]]),Table17[[#This Row],[stns]])</f>
        <v>LSN</v>
      </c>
      <c r="X9" s="5">
        <f>IF(Table17[[#This Row],[Column2222]]&lt;1,Table17[[#This Row],[Column23]],Table17[[#This Row],[Column23]]*Table17[[#This Row],[Column2222]])</f>
        <v>240</v>
      </c>
      <c r="Y9" s="3" t="str">
        <f>Table17[[#This Row],[Column24]]</f>
        <v>LSN</v>
      </c>
      <c r="Z9" s="5">
        <f>Table17[[#This Row],[HRG / CTN]]/Table17[[#This Row],[Column23]]</f>
        <v>18250</v>
      </c>
      <c r="AA9" s="42" t="str">
        <f>IF(INDEX(NOTA[DISC 1],Sheet1!A:A)=0,"",INDEX(NOTA[DISC 1],Sheet1!A:A))</f>
        <v/>
      </c>
      <c r="AB9" s="42" t="str">
        <f>IF(INDEX(NOTA[DISC 2],Sheet1!A:A)=0,"",INDEX(NOTA[DISC 2],Sheet1!A:A))</f>
        <v/>
      </c>
      <c r="AC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" s="43">
        <f>INDEX(NOTA[HARGA/ CTN_H],Sheet1!A:A)</f>
        <v>2190000</v>
      </c>
      <c r="AE9" s="43">
        <f>IF(Table17[[#This Row],[DISC 3]]="",Table17[[#This Row],[HRG / CTN]],Table17[[#This Row],[HRG / CTN]]-(Table17[[#This Row],[HRG / CTN]]*Table17[[#This Row],[DISC 3]]))</f>
        <v>2190000</v>
      </c>
      <c r="AF9" s="14">
        <f>IF(Table17[[#This Row],[Column2222]]&lt;1,Table17[[#This Row],[Column9]],Table17[[#This Row],[Column9]]*Table17[[#This Row],[Column2222]])</f>
        <v>4380000</v>
      </c>
      <c r="AG9" s="43" t="str">
        <f ca="1">IF(NOT(AL10=Table17[[#This Row],[Column6]]),SUMIF(Table17[Column6],Table17[[#This Row],[Column6]],Table17[Column7]),"")</f>
        <v/>
      </c>
      <c r="AH9" s="44">
        <f ca="1">INDEX(NOTA[TGL_H],Sheet1!A:A)</f>
        <v>45440</v>
      </c>
      <c r="AI9" s="44">
        <f ca="1">INDEX(NOTA[TGL.NOTA_H],Sheet1!A:A)</f>
        <v>45437</v>
      </c>
      <c r="AJ9" s="2">
        <v>45398</v>
      </c>
      <c r="AK9" t="str">
        <f>IF(INDEX(NOTA[KETERANGAN],A:A)="","",INDEX(NOTA[KETERANGAN],A:A))</f>
        <v/>
      </c>
      <c r="AL9" t="str">
        <f ca="1">INDEX(NOTA[NO.NOTA_H],Sheet1!A:A)</f>
        <v>JUE605/24</v>
      </c>
      <c r="AM9">
        <f>INDEX(NOTA[KETERANGAN],Sheet1!A:A)</f>
        <v>0</v>
      </c>
      <c r="AN9" t="str">
        <f ca="1">INDEX(NOTA[SUPPLIER_H],Sheet1!A:A)</f>
        <v>DB STATIONERY</v>
      </c>
      <c r="AO9" t="e">
        <f t="shared" ca="1" si="0"/>
        <v>#N/A</v>
      </c>
      <c r="AR9" s="45" t="s">
        <v>152</v>
      </c>
    </row>
    <row r="10" spans="1:44">
      <c r="A10" s="3">
        <v>9</v>
      </c>
      <c r="C10">
        <f>INDEX(NOTA[//DB],Sheet1!A:A)</f>
        <v>1270</v>
      </c>
      <c r="D10">
        <f>MATCH(Table17[[#This Row],[//db]],[3]!Table2[\\],0)</f>
        <v>754</v>
      </c>
      <c r="E10" t="str">
        <f>INDEX([3]!db[NB NOTA],Table17[[#This Row],[//db]])</f>
        <v>GEL ZHIXIN + REFILL G-3156</v>
      </c>
      <c r="F10" t="str">
        <f>INDEX([3]!db[NB BM],Table17[[#This Row],[//db]])</f>
        <v>BP GEL ZHIXIN G 3156</v>
      </c>
      <c r="G10" t="str">
        <f>_xlfn.IFNA(INDEX([3]!Table2[NAMA],Table17[[#This Row],[dbconcat]]),"")</f>
        <v>BP GEL ZHIXIN G 3156</v>
      </c>
      <c r="H10" t="str">
        <f>INDEX([3]!Table2[KODE BARANG],Table17[[#This Row],[dbconcat]])</f>
        <v>BOL-ZI382</v>
      </c>
      <c r="I10" t="str">
        <f>IF(Table17[[#This Row],[Column3]]="",UPPER(Table17[[#This Row],[Column1]]),Table17[[#This Row],[Column3]])</f>
        <v>BP GEL ZHIXIN G 3156</v>
      </c>
      <c r="J10">
        <f>INDEX(NOTA[C],Sheet1!A:A)</f>
        <v>2</v>
      </c>
      <c r="K10">
        <f>IF(OR(Table17[[#This Row],[Column5]]=0,Table17[[#This Row],[Column3]]=""),"",INDEX([3]!Table2[ISI2],Table17[[#This Row],[dbconcat]]))</f>
        <v>120</v>
      </c>
      <c r="L10" t="str">
        <f>IF(Table17[[#This Row],[isis]]="","",INDEX([3]!Table2[SATUAN3],Table17[[#This Row],[dbconcat]]))</f>
        <v>LSN</v>
      </c>
      <c r="M10" t="str">
        <f>IF(Table17[[#This Row],[Column5]]=0,"",IF(Table17[[#This Row],[Column3]]="",INDEX([3]!db[QTY B],Table17[[#This Row],[//db]]),""))</f>
        <v/>
      </c>
      <c r="N10" t="str">
        <f>IF(Table17[[#This Row],[isin]]="","",INDEX([3]!db[STN B],Table17[[#This Row],[//db]]))</f>
        <v/>
      </c>
      <c r="O10" t="str">
        <f>IF(AND(Table17[[#This Row],[isis]]="",Table17[[#This Row],[isin]]=""),INDEX(NOTA[QTY],Sheet1!A:A)/IF(Table17[[#This Row],[Column5]]=0,1,Table17[[#This Row],[Column5]]),"")</f>
        <v/>
      </c>
      <c r="P10" t="str">
        <f>IF(Table17[[#This Row],[Column2]]="","",INDEX(NOTA[STN],Sheet1!A:A))</f>
        <v/>
      </c>
      <c r="Q10" s="5" t="str">
        <f>INDEX([3]!db[QTY B],Table17[[#This Row],[//db]])</f>
        <v>120</v>
      </c>
      <c r="R10" t="str">
        <f>INDEX([3]!db[STN B],Table17[[#This Row],[//db]])</f>
        <v>LSN</v>
      </c>
      <c r="S10" s="40" t="str">
        <f>IF(Table17[[#This Row],[Column5]]=0,Table17[[#This Row],[Column23]]/Table17[[#This Row],[Column224]],"")</f>
        <v/>
      </c>
      <c r="T10" s="4">
        <f>IF(Table17[[#This Row],[Column222]]="",Table17[[#This Row],[Column5]],Table17[[#This Row],[Column222]])</f>
        <v>2</v>
      </c>
      <c r="U10" s="4" t="str">
        <f>IF(Table17[[#This Row],[Column223]]=Table17[[#This Row],[Column24]],"",1)</f>
        <v/>
      </c>
      <c r="V10" s="5">
        <f>IF(Table17[[#This Row],[isis]]="",IF(Table17[[#This Row],[isin]]="",Table17[[#This Row],[Column2]],Table17[[#This Row],[isin]]),Table17[[#This Row],[isis]])</f>
        <v>120</v>
      </c>
      <c r="W10" s="3" t="str">
        <f>IF(Table17[[#This Row],[isis]]="",IF(Table17[[#This Row],[isin]]="",Table17[[#This Row],[Column22]],Table17[[#This Row],[stnn]]),Table17[[#This Row],[stns]])</f>
        <v>LSN</v>
      </c>
      <c r="X10" s="5">
        <f>IF(Table17[[#This Row],[Column2222]]&lt;1,Table17[[#This Row],[Column23]],Table17[[#This Row],[Column23]]*Table17[[#This Row],[Column2222]])</f>
        <v>240</v>
      </c>
      <c r="Y10" s="3" t="str">
        <f>Table17[[#This Row],[Column24]]</f>
        <v>LSN</v>
      </c>
      <c r="Z10" s="5">
        <f>Table17[[#This Row],[HRG / CTN]]/Table17[[#This Row],[Column23]]</f>
        <v>18250</v>
      </c>
      <c r="AA10" s="42" t="str">
        <f>IF(INDEX(NOTA[DISC 1],Sheet1!A:A)=0,"",INDEX(NOTA[DISC 1],Sheet1!A:A))</f>
        <v/>
      </c>
      <c r="AB10" s="42" t="str">
        <f>IF(INDEX(NOTA[DISC 2],Sheet1!A:A)=0,"",INDEX(NOTA[DISC 2],Sheet1!A:A))</f>
        <v/>
      </c>
      <c r="AC1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" s="43">
        <f>INDEX(NOTA[HARGA/ CTN_H],Sheet1!A:A)</f>
        <v>2190000</v>
      </c>
      <c r="AE10" s="43">
        <f>IF(Table17[[#This Row],[DISC 3]]="",Table17[[#This Row],[HRG / CTN]],Table17[[#This Row],[HRG / CTN]]-(Table17[[#This Row],[HRG / CTN]]*Table17[[#This Row],[DISC 3]]))</f>
        <v>2190000</v>
      </c>
      <c r="AF10" s="14">
        <f>IF(Table17[[#This Row],[Column2222]]&lt;1,Table17[[#This Row],[Column9]],Table17[[#This Row],[Column9]]*Table17[[#This Row],[Column2222]])</f>
        <v>4380000</v>
      </c>
      <c r="AG10" s="43" t="str">
        <f ca="1">IF(NOT(AL11=Table17[[#This Row],[Column6]]),SUMIF(Table17[Column6],Table17[[#This Row],[Column6]],Table17[Column7]),"")</f>
        <v/>
      </c>
      <c r="AH10" s="44">
        <f ca="1">INDEX(NOTA[TGL_H],Sheet1!A:A)</f>
        <v>45440</v>
      </c>
      <c r="AI10" s="44">
        <f ca="1">INDEX(NOTA[TGL.NOTA_H],Sheet1!A:A)</f>
        <v>45437</v>
      </c>
      <c r="AJ10" s="2">
        <v>45398</v>
      </c>
      <c r="AK10" t="str">
        <f>IF(INDEX(NOTA[KETERANGAN],A:A)="","",INDEX(NOTA[KETERANGAN],A:A))</f>
        <v/>
      </c>
      <c r="AL10" t="str">
        <f ca="1">INDEX(NOTA[NO.NOTA_H],Sheet1!A:A)</f>
        <v>JUE605/24</v>
      </c>
      <c r="AM10">
        <f>INDEX(NOTA[KETERANGAN],Sheet1!A:A)</f>
        <v>0</v>
      </c>
      <c r="AN10" t="str">
        <f ca="1">INDEX(NOTA[SUPPLIER_H],Sheet1!A:A)</f>
        <v>DB STATIONERY</v>
      </c>
      <c r="AO10" t="e">
        <f t="shared" ca="1" si="0"/>
        <v>#N/A</v>
      </c>
      <c r="AR10" s="45" t="s">
        <v>152</v>
      </c>
    </row>
    <row r="11" spans="1:44">
      <c r="A11" s="3">
        <v>10</v>
      </c>
      <c r="C11">
        <f>INDEX(NOTA[//DB],Sheet1!A:A)</f>
        <v>1271</v>
      </c>
      <c r="D11">
        <f>MATCH(Table17[[#This Row],[//db]],[3]!Table2[\\],0)</f>
        <v>417</v>
      </c>
      <c r="E11" t="str">
        <f>INDEX([3]!db[NB NOTA],Table17[[#This Row],[//db]])</f>
        <v>GEL ZHIXIN + REFILL G-3162</v>
      </c>
      <c r="F11" t="str">
        <f>INDEX([3]!db[NB BM],Table17[[#This Row],[//db]])</f>
        <v>BP GEL ZHIXIN G 3162</v>
      </c>
      <c r="G11" t="str">
        <f>_xlfn.IFNA(INDEX([3]!Table2[NAMA],Table17[[#This Row],[dbconcat]]),"")</f>
        <v>BP GEL ZHIXIN G 3162</v>
      </c>
      <c r="H11" t="str">
        <f>INDEX([3]!Table2[KODE BARANG],Table17[[#This Row],[dbconcat]])</f>
        <v>BOL-ZI39</v>
      </c>
      <c r="I11" t="str">
        <f>IF(Table17[[#This Row],[Column3]]="",UPPER(Table17[[#This Row],[Column1]]),Table17[[#This Row],[Column3]])</f>
        <v>BP GEL ZHIXIN G 3162</v>
      </c>
      <c r="J11">
        <f>INDEX(NOTA[C],Sheet1!A:A)</f>
        <v>2</v>
      </c>
      <c r="K11">
        <f>IF(OR(Table17[[#This Row],[Column5]]=0,Table17[[#This Row],[Column3]]=""),"",INDEX([3]!Table2[ISI2],Table17[[#This Row],[dbconcat]]))</f>
        <v>120</v>
      </c>
      <c r="L11" t="str">
        <f>IF(Table17[[#This Row],[isis]]="","",INDEX([3]!Table2[SATUAN3],Table17[[#This Row],[dbconcat]]))</f>
        <v>LSN</v>
      </c>
      <c r="M11" t="str">
        <f>IF(Table17[[#This Row],[Column5]]=0,"",IF(Table17[[#This Row],[Column3]]="",INDEX([3]!db[QTY B],Table17[[#This Row],[//db]]),""))</f>
        <v/>
      </c>
      <c r="N11" t="str">
        <f>IF(Table17[[#This Row],[isin]]="","",INDEX([3]!db[STN B],Table17[[#This Row],[//db]]))</f>
        <v/>
      </c>
      <c r="O11" t="str">
        <f>IF(AND(Table17[[#This Row],[isis]]="",Table17[[#This Row],[isin]]=""),INDEX(NOTA[QTY],Sheet1!A:A)/IF(Table17[[#This Row],[Column5]]=0,1,Table17[[#This Row],[Column5]]),"")</f>
        <v/>
      </c>
      <c r="P11" t="str">
        <f>IF(Table17[[#This Row],[Column2]]="","",INDEX(NOTA[STN],Sheet1!A:A))</f>
        <v/>
      </c>
      <c r="Q11" s="5" t="str">
        <f>INDEX([3]!db[QTY B],Table17[[#This Row],[//db]])</f>
        <v>120</v>
      </c>
      <c r="R11" t="str">
        <f>INDEX([3]!db[STN B],Table17[[#This Row],[//db]])</f>
        <v>LSN</v>
      </c>
      <c r="S11" s="40" t="str">
        <f>IF(Table17[[#This Row],[Column5]]=0,Table17[[#This Row],[Column23]]/Table17[[#This Row],[Column224]],"")</f>
        <v/>
      </c>
      <c r="T11" s="4">
        <f>IF(Table17[[#This Row],[Column222]]="",Table17[[#This Row],[Column5]],Table17[[#This Row],[Column222]])</f>
        <v>2</v>
      </c>
      <c r="U11" s="4" t="str">
        <f>IF(Table17[[#This Row],[Column223]]=Table17[[#This Row],[Column24]],"",1)</f>
        <v/>
      </c>
      <c r="V11" s="5">
        <f>IF(Table17[[#This Row],[isis]]="",IF(Table17[[#This Row],[isin]]="",Table17[[#This Row],[Column2]],Table17[[#This Row],[isin]]),Table17[[#This Row],[isis]])</f>
        <v>120</v>
      </c>
      <c r="W11" s="3" t="str">
        <f>IF(Table17[[#This Row],[isis]]="",IF(Table17[[#This Row],[isin]]="",Table17[[#This Row],[Column22]],Table17[[#This Row],[stnn]]),Table17[[#This Row],[stns]])</f>
        <v>LSN</v>
      </c>
      <c r="X11" s="5">
        <f>IF(Table17[[#This Row],[Column2222]]&lt;1,Table17[[#This Row],[Column23]],Table17[[#This Row],[Column23]]*Table17[[#This Row],[Column2222]])</f>
        <v>240</v>
      </c>
      <c r="Y11" s="3" t="str">
        <f>Table17[[#This Row],[Column24]]</f>
        <v>LSN</v>
      </c>
      <c r="Z11" s="5">
        <f>Table17[[#This Row],[HRG / CTN]]/Table17[[#This Row],[Column23]]</f>
        <v>18250</v>
      </c>
      <c r="AA11" s="42" t="str">
        <f>IF(INDEX(NOTA[DISC 1],Sheet1!A:A)=0,"",INDEX(NOTA[DISC 1],Sheet1!A:A))</f>
        <v/>
      </c>
      <c r="AB11" s="42" t="str">
        <f>IF(INDEX(NOTA[DISC 2],Sheet1!A:A)=0,"",INDEX(NOTA[DISC 2],Sheet1!A:A))</f>
        <v/>
      </c>
      <c r="AC1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" s="43">
        <f>INDEX(NOTA[HARGA/ CTN_H],Sheet1!A:A)</f>
        <v>2190000</v>
      </c>
      <c r="AE11" s="43">
        <f>IF(Table17[[#This Row],[DISC 3]]="",Table17[[#This Row],[HRG / CTN]],Table17[[#This Row],[HRG / CTN]]-(Table17[[#This Row],[HRG / CTN]]*Table17[[#This Row],[DISC 3]]))</f>
        <v>2190000</v>
      </c>
      <c r="AF11" s="14">
        <f>IF(Table17[[#This Row],[Column2222]]&lt;1,Table17[[#This Row],[Column9]],Table17[[#This Row],[Column9]]*Table17[[#This Row],[Column2222]])</f>
        <v>4380000</v>
      </c>
      <c r="AG11" s="43" t="str">
        <f ca="1">IF(NOT(AL12=Table17[[#This Row],[Column6]]),SUMIF(Table17[Column6],Table17[[#This Row],[Column6]],Table17[Column7]),"")</f>
        <v/>
      </c>
      <c r="AH11" s="44">
        <f ca="1">INDEX(NOTA[TGL_H],Sheet1!A:A)</f>
        <v>45440</v>
      </c>
      <c r="AI11" s="44">
        <f ca="1">INDEX(NOTA[TGL.NOTA_H],Sheet1!A:A)</f>
        <v>45437</v>
      </c>
      <c r="AJ11" s="2">
        <v>45398</v>
      </c>
      <c r="AK11" t="str">
        <f>IF(INDEX(NOTA[KETERANGAN],A:A)="","",INDEX(NOTA[KETERANGAN],A:A))</f>
        <v/>
      </c>
      <c r="AL11" t="str">
        <f ca="1">INDEX(NOTA[NO.NOTA_H],Sheet1!A:A)</f>
        <v>JUE605/24</v>
      </c>
      <c r="AM11">
        <f>INDEX(NOTA[KETERANGAN],Sheet1!A:A)</f>
        <v>0</v>
      </c>
      <c r="AN11" t="str">
        <f ca="1">INDEX(NOTA[SUPPLIER_H],Sheet1!A:A)</f>
        <v>DB STATIONERY</v>
      </c>
      <c r="AO11" t="e">
        <f t="shared" ca="1" si="0"/>
        <v>#N/A</v>
      </c>
      <c r="AR11" s="45" t="s">
        <v>152</v>
      </c>
    </row>
    <row r="12" spans="1:44">
      <c r="A12" s="3">
        <v>11</v>
      </c>
      <c r="C12">
        <f>INDEX(NOTA[//DB],Sheet1!A:A)</f>
        <v>1346</v>
      </c>
      <c r="D12">
        <f>MATCH(Table17[[#This Row],[//db]],[3]!Table2[\\],0)</f>
        <v>418</v>
      </c>
      <c r="E12" t="str">
        <f>INDEX([3]!db[NB NOTA],Table17[[#This Row],[//db]])</f>
        <v>GEL ZHIXIN+REFILL G-3119</v>
      </c>
      <c r="F12" t="str">
        <f>INDEX([3]!db[NB BM],Table17[[#This Row],[//db]])</f>
        <v>BP GEL ZHIXIN G 3119</v>
      </c>
      <c r="G12" t="str">
        <f>_xlfn.IFNA(INDEX([3]!Table2[NAMA],Table17[[#This Row],[dbconcat]]),"")</f>
        <v>BP GEL ZHIXIN G 3119</v>
      </c>
      <c r="H12" t="str">
        <f>INDEX([3]!Table2[KODE BARANG],Table17[[#This Row],[dbconcat]])</f>
        <v>BOL-ZI40</v>
      </c>
      <c r="I12" t="str">
        <f>IF(Table17[[#This Row],[Column3]]="",UPPER(Table17[[#This Row],[Column1]]),Table17[[#This Row],[Column3]])</f>
        <v>BP GEL ZHIXIN G 3119</v>
      </c>
      <c r="J12">
        <f>INDEX(NOTA[C],Sheet1!A:A)</f>
        <v>2</v>
      </c>
      <c r="K12">
        <f>IF(OR(Table17[[#This Row],[Column5]]=0,Table17[[#This Row],[Column3]]=""),"",INDEX([3]!Table2[ISI2],Table17[[#This Row],[dbconcat]]))</f>
        <v>120</v>
      </c>
      <c r="L12" t="str">
        <f>IF(Table17[[#This Row],[isis]]="","",INDEX([3]!Table2[SATUAN3],Table17[[#This Row],[dbconcat]]))</f>
        <v>LSN</v>
      </c>
      <c r="M12" t="str">
        <f>IF(Table17[[#This Row],[Column5]]=0,"",IF(Table17[[#This Row],[Column3]]="",INDEX([3]!db[QTY B],Table17[[#This Row],[//db]]),""))</f>
        <v/>
      </c>
      <c r="N12" t="str">
        <f>IF(Table17[[#This Row],[isin]]="","",INDEX([3]!db[STN B],Table17[[#This Row],[//db]]))</f>
        <v/>
      </c>
      <c r="O12" t="str">
        <f>IF(AND(Table17[[#This Row],[isis]]="",Table17[[#This Row],[isin]]=""),INDEX(NOTA[QTY],Sheet1!A:A)/IF(Table17[[#This Row],[Column5]]=0,1,Table17[[#This Row],[Column5]]),"")</f>
        <v/>
      </c>
      <c r="P12" t="str">
        <f>IF(Table17[[#This Row],[Column2]]="","",INDEX(NOTA[STN],Sheet1!A:A))</f>
        <v/>
      </c>
      <c r="Q12" s="5" t="str">
        <f>INDEX([3]!db[QTY B],Table17[[#This Row],[//db]])</f>
        <v>120</v>
      </c>
      <c r="R12" t="str">
        <f>INDEX([3]!db[STN B],Table17[[#This Row],[//db]])</f>
        <v>LSN</v>
      </c>
      <c r="S12" s="40" t="str">
        <f>IF(Table17[[#This Row],[Column5]]=0,Table17[[#This Row],[Column23]]/Table17[[#This Row],[Column224]],"")</f>
        <v/>
      </c>
      <c r="T12" s="4">
        <f>IF(Table17[[#This Row],[Column222]]="",Table17[[#This Row],[Column5]],Table17[[#This Row],[Column222]])</f>
        <v>2</v>
      </c>
      <c r="U12" s="4" t="str">
        <f>IF(Table17[[#This Row],[Column223]]=Table17[[#This Row],[Column24]],"",1)</f>
        <v/>
      </c>
      <c r="V12" s="5">
        <f>IF(Table17[[#This Row],[isis]]="",IF(Table17[[#This Row],[isin]]="",Table17[[#This Row],[Column2]],Table17[[#This Row],[isin]]),Table17[[#This Row],[isis]])</f>
        <v>120</v>
      </c>
      <c r="W12" s="3" t="str">
        <f>IF(Table17[[#This Row],[isis]]="",IF(Table17[[#This Row],[isin]]="",Table17[[#This Row],[Column22]],Table17[[#This Row],[stnn]]),Table17[[#This Row],[stns]])</f>
        <v>LSN</v>
      </c>
      <c r="X12" s="5">
        <f>IF(Table17[[#This Row],[Column2222]]&lt;1,Table17[[#This Row],[Column23]],Table17[[#This Row],[Column23]]*Table17[[#This Row],[Column2222]])</f>
        <v>240</v>
      </c>
      <c r="Y12" s="3" t="str">
        <f>Table17[[#This Row],[Column24]]</f>
        <v>LSN</v>
      </c>
      <c r="Z12" s="5">
        <f>Table17[[#This Row],[HRG / CTN]]/Table17[[#This Row],[Column23]]</f>
        <v>18250</v>
      </c>
      <c r="AA12" s="42" t="str">
        <f>IF(INDEX(NOTA[DISC 1],Sheet1!A:A)=0,"",INDEX(NOTA[DISC 1],Sheet1!A:A))</f>
        <v/>
      </c>
      <c r="AB12" s="42" t="str">
        <f>IF(INDEX(NOTA[DISC 2],Sheet1!A:A)=0,"",INDEX(NOTA[DISC 2],Sheet1!A:A))</f>
        <v/>
      </c>
      <c r="AC1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" s="43">
        <f>INDEX(NOTA[HARGA/ CTN_H],Sheet1!A:A)</f>
        <v>2190000</v>
      </c>
      <c r="AE12" s="43">
        <f>IF(Table17[[#This Row],[DISC 3]]="",Table17[[#This Row],[HRG / CTN]],Table17[[#This Row],[HRG / CTN]]-(Table17[[#This Row],[HRG / CTN]]*Table17[[#This Row],[DISC 3]]))</f>
        <v>2190000</v>
      </c>
      <c r="AF12" s="14">
        <f>IF(Table17[[#This Row],[Column2222]]&lt;1,Table17[[#This Row],[Column9]],Table17[[#This Row],[Column9]]*Table17[[#This Row],[Column2222]])</f>
        <v>4380000</v>
      </c>
      <c r="AG12" s="43" t="str">
        <f ca="1">IF(NOT(AL13=Table17[[#This Row],[Column6]]),SUMIF(Table17[Column6],Table17[[#This Row],[Column6]],Table17[Column7]),"")</f>
        <v/>
      </c>
      <c r="AH12" s="44">
        <f ca="1">INDEX(NOTA[TGL_H],Sheet1!A:A)</f>
        <v>45440</v>
      </c>
      <c r="AI12" s="44">
        <f ca="1">INDEX(NOTA[TGL.NOTA_H],Sheet1!A:A)</f>
        <v>45437</v>
      </c>
      <c r="AJ12" s="2">
        <v>45398</v>
      </c>
      <c r="AK12" t="str">
        <f>IF(INDEX(NOTA[KETERANGAN],A:A)="","",INDEX(NOTA[KETERANGAN],A:A))</f>
        <v/>
      </c>
      <c r="AL12" t="str">
        <f ca="1">INDEX(NOTA[NO.NOTA_H],Sheet1!A:A)</f>
        <v>JUE605/24</v>
      </c>
      <c r="AM12">
        <f>INDEX(NOTA[KETERANGAN],Sheet1!A:A)</f>
        <v>0</v>
      </c>
      <c r="AN12" t="str">
        <f ca="1">INDEX(NOTA[SUPPLIER_H],Sheet1!A:A)</f>
        <v>DB STATIONERY</v>
      </c>
      <c r="AO12" t="e">
        <f t="shared" ca="1" si="0"/>
        <v>#N/A</v>
      </c>
      <c r="AR12" s="45" t="s">
        <v>152</v>
      </c>
    </row>
    <row r="13" spans="1:44">
      <c r="A13" s="3">
        <v>12</v>
      </c>
      <c r="C13">
        <f>INDEX(NOTA[//DB],Sheet1!A:A)</f>
        <v>1297</v>
      </c>
      <c r="D13">
        <f>MATCH(Table17[[#This Row],[//db]],[3]!Table2[\\],0)</f>
        <v>740</v>
      </c>
      <c r="E13" t="str">
        <f>INDEX([3]!db[NB NOTA],Table17[[#This Row],[//db]])</f>
        <v>GEL ZHIXIN + REFILL G-5025</v>
      </c>
      <c r="F13" t="str">
        <f>INDEX([3]!db[NB BM],Table17[[#This Row],[//db]])</f>
        <v>BP GEL ZHIXIN G 5025</v>
      </c>
      <c r="G13" t="str">
        <f>_xlfn.IFNA(INDEX([3]!Table2[NAMA],Table17[[#This Row],[dbconcat]]),"")</f>
        <v>BP GEL ZHIXIN G 5025</v>
      </c>
      <c r="H13" t="str">
        <f>INDEX([3]!Table2[KODE BARANG],Table17[[#This Row],[dbconcat]])</f>
        <v>BOL-ZI367</v>
      </c>
      <c r="I13" t="str">
        <f>IF(Table17[[#This Row],[Column3]]="",UPPER(Table17[[#This Row],[Column1]]),Table17[[#This Row],[Column3]])</f>
        <v>BP GEL ZHIXIN G 5025</v>
      </c>
      <c r="J13">
        <f>INDEX(NOTA[C],Sheet1!A:A)</f>
        <v>2</v>
      </c>
      <c r="K13">
        <f>IF(OR(Table17[[#This Row],[Column5]]=0,Table17[[#This Row],[Column3]]=""),"",INDEX([3]!Table2[ISI2],Table17[[#This Row],[dbconcat]]))</f>
        <v>120</v>
      </c>
      <c r="L13" t="str">
        <f>IF(Table17[[#This Row],[isis]]="","",INDEX([3]!Table2[SATUAN3],Table17[[#This Row],[dbconcat]]))</f>
        <v>LSN</v>
      </c>
      <c r="M13" t="str">
        <f>IF(Table17[[#This Row],[Column5]]=0,"",IF(Table17[[#This Row],[Column3]]="",INDEX([3]!db[QTY B],Table17[[#This Row],[//db]]),""))</f>
        <v/>
      </c>
      <c r="N13" t="str">
        <f>IF(Table17[[#This Row],[isin]]="","",INDEX([3]!db[STN B],Table17[[#This Row],[//db]]))</f>
        <v/>
      </c>
      <c r="O13" t="str">
        <f>IF(AND(Table17[[#This Row],[isis]]="",Table17[[#This Row],[isin]]=""),INDEX(NOTA[QTY],Sheet1!A:A)/IF(Table17[[#This Row],[Column5]]=0,1,Table17[[#This Row],[Column5]]),"")</f>
        <v/>
      </c>
      <c r="P13" t="str">
        <f>IF(Table17[[#This Row],[Column2]]="","",INDEX(NOTA[STN],Sheet1!A:A))</f>
        <v/>
      </c>
      <c r="Q13" s="5" t="str">
        <f>INDEX([3]!db[QTY B],Table17[[#This Row],[//db]])</f>
        <v>120</v>
      </c>
      <c r="R13" t="str">
        <f>INDEX([3]!db[STN B],Table17[[#This Row],[//db]])</f>
        <v>LSN</v>
      </c>
      <c r="S13" s="40" t="str">
        <f>IF(Table17[[#This Row],[Column5]]=0,Table17[[#This Row],[Column23]]/Table17[[#This Row],[Column224]],"")</f>
        <v/>
      </c>
      <c r="T13" s="4">
        <f>IF(Table17[[#This Row],[Column222]]="",Table17[[#This Row],[Column5]],Table17[[#This Row],[Column222]])</f>
        <v>2</v>
      </c>
      <c r="U13" s="4" t="str">
        <f>IF(Table17[[#This Row],[Column223]]=Table17[[#This Row],[Column24]],"",1)</f>
        <v/>
      </c>
      <c r="V13" s="5">
        <f>IF(Table17[[#This Row],[isis]]="",IF(Table17[[#This Row],[isin]]="",Table17[[#This Row],[Column2]],Table17[[#This Row],[isin]]),Table17[[#This Row],[isis]])</f>
        <v>120</v>
      </c>
      <c r="W13" s="3" t="str">
        <f>IF(Table17[[#This Row],[isis]]="",IF(Table17[[#This Row],[isin]]="",Table17[[#This Row],[Column22]],Table17[[#This Row],[stnn]]),Table17[[#This Row],[stns]])</f>
        <v>LSN</v>
      </c>
      <c r="X13" s="5">
        <f>IF(Table17[[#This Row],[Column2222]]&lt;1,Table17[[#This Row],[Column23]],Table17[[#This Row],[Column23]]*Table17[[#This Row],[Column2222]])</f>
        <v>240</v>
      </c>
      <c r="Y13" s="3" t="str">
        <f>Table17[[#This Row],[Column24]]</f>
        <v>LSN</v>
      </c>
      <c r="Z13" s="5">
        <f>Table17[[#This Row],[HRG / CTN]]/Table17[[#This Row],[Column23]]</f>
        <v>18250</v>
      </c>
      <c r="AA13" s="42" t="str">
        <f>IF(INDEX(NOTA[DISC 1],Sheet1!A:A)=0,"",INDEX(NOTA[DISC 1],Sheet1!A:A))</f>
        <v/>
      </c>
      <c r="AB13" s="42" t="str">
        <f>IF(INDEX(NOTA[DISC 2],Sheet1!A:A)=0,"",INDEX(NOTA[DISC 2],Sheet1!A:A))</f>
        <v/>
      </c>
      <c r="AC1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" s="43">
        <f>INDEX(NOTA[HARGA/ CTN_H],Sheet1!A:A)</f>
        <v>2190000</v>
      </c>
      <c r="AE13" s="43">
        <f>IF(Table17[[#This Row],[DISC 3]]="",Table17[[#This Row],[HRG / CTN]],Table17[[#This Row],[HRG / CTN]]-(Table17[[#This Row],[HRG / CTN]]*Table17[[#This Row],[DISC 3]]))</f>
        <v>2190000</v>
      </c>
      <c r="AF13" s="14">
        <f>IF(Table17[[#This Row],[Column2222]]&lt;1,Table17[[#This Row],[Column9]],Table17[[#This Row],[Column9]]*Table17[[#This Row],[Column2222]])</f>
        <v>4380000</v>
      </c>
      <c r="AG13" s="43" t="str">
        <f ca="1">IF(NOT(AL14=Table17[[#This Row],[Column6]]),SUMIF(Table17[Column6],Table17[[#This Row],[Column6]],Table17[Column7]),"")</f>
        <v/>
      </c>
      <c r="AH13" s="44">
        <f ca="1">INDEX(NOTA[TGL_H],Sheet1!A:A)</f>
        <v>45440</v>
      </c>
      <c r="AI13" s="44">
        <f ca="1">INDEX(NOTA[TGL.NOTA_H],Sheet1!A:A)</f>
        <v>45437</v>
      </c>
      <c r="AJ13" s="2">
        <v>45398</v>
      </c>
      <c r="AK13" t="str">
        <f>IF(INDEX(NOTA[KETERANGAN],A:A)="","",INDEX(NOTA[KETERANGAN],A:A))</f>
        <v/>
      </c>
      <c r="AL13" t="str">
        <f ca="1">INDEX(NOTA[NO.NOTA_H],Sheet1!A:A)</f>
        <v>JUE605/24</v>
      </c>
      <c r="AM13">
        <f>INDEX(NOTA[KETERANGAN],Sheet1!A:A)</f>
        <v>0</v>
      </c>
      <c r="AN13" t="str">
        <f ca="1">INDEX(NOTA[SUPPLIER_H],Sheet1!A:A)</f>
        <v>DB STATIONERY</v>
      </c>
      <c r="AO13" t="e">
        <f t="shared" ca="1" si="0"/>
        <v>#N/A</v>
      </c>
      <c r="AR13" s="45" t="s">
        <v>152</v>
      </c>
    </row>
    <row r="14" spans="1:44">
      <c r="A14" s="3">
        <v>13</v>
      </c>
      <c r="C14">
        <f>INDEX(NOTA[//DB],Sheet1!A:A)</f>
        <v>1345</v>
      </c>
      <c r="D14">
        <f>MATCH(Table17[[#This Row],[//db]],[3]!Table2[\\],0)</f>
        <v>419</v>
      </c>
      <c r="E14" t="str">
        <f>INDEX([3]!db[NB NOTA],Table17[[#This Row],[//db]])</f>
        <v>GEL ZHIXIN+REFILL G-3118</v>
      </c>
      <c r="F14" t="str">
        <f>INDEX([3]!db[NB BM],Table17[[#This Row],[//db]])</f>
        <v>BP GEL ZHIXIN G 3118</v>
      </c>
      <c r="G14" t="str">
        <f>_xlfn.IFNA(INDEX([3]!Table2[NAMA],Table17[[#This Row],[dbconcat]]),"")</f>
        <v>BP GEL ZHIXIN G 3118</v>
      </c>
      <c r="H14" t="str">
        <f>INDEX([3]!Table2[KODE BARANG],Table17[[#This Row],[dbconcat]])</f>
        <v>BOL-ZI41</v>
      </c>
      <c r="I14" t="str">
        <f>IF(Table17[[#This Row],[Column3]]="",UPPER(Table17[[#This Row],[Column1]]),Table17[[#This Row],[Column3]])</f>
        <v>BP GEL ZHIXIN G 3118</v>
      </c>
      <c r="J14">
        <f>INDEX(NOTA[C],Sheet1!A:A)</f>
        <v>2</v>
      </c>
      <c r="K14">
        <f>IF(OR(Table17[[#This Row],[Column5]]=0,Table17[[#This Row],[Column3]]=""),"",INDEX([3]!Table2[ISI2],Table17[[#This Row],[dbconcat]]))</f>
        <v>120</v>
      </c>
      <c r="L14" t="str">
        <f>IF(Table17[[#This Row],[isis]]="","",INDEX([3]!Table2[SATUAN3],Table17[[#This Row],[dbconcat]]))</f>
        <v>LSN</v>
      </c>
      <c r="M14" t="str">
        <f>IF(Table17[[#This Row],[Column5]]=0,"",IF(Table17[[#This Row],[Column3]]="",INDEX([3]!db[QTY B],Table17[[#This Row],[//db]]),""))</f>
        <v/>
      </c>
      <c r="N14" t="str">
        <f>IF(Table17[[#This Row],[isin]]="","",INDEX([3]!db[STN B],Table17[[#This Row],[//db]]))</f>
        <v/>
      </c>
      <c r="O14" t="str">
        <f>IF(AND(Table17[[#This Row],[isis]]="",Table17[[#This Row],[isin]]=""),INDEX(NOTA[QTY],Sheet1!A:A)/IF(Table17[[#This Row],[Column5]]=0,1,Table17[[#This Row],[Column5]]),"")</f>
        <v/>
      </c>
      <c r="P14" t="str">
        <f>IF(Table17[[#This Row],[Column2]]="","",INDEX(NOTA[STN],Sheet1!A:A))</f>
        <v/>
      </c>
      <c r="Q14" s="5" t="str">
        <f>INDEX([3]!db[QTY B],Table17[[#This Row],[//db]])</f>
        <v>120</v>
      </c>
      <c r="R14" t="str">
        <f>INDEX([3]!db[STN B],Table17[[#This Row],[//db]])</f>
        <v>LSN</v>
      </c>
      <c r="S14" s="40" t="str">
        <f>IF(Table17[[#This Row],[Column5]]=0,Table17[[#This Row],[Column23]]/Table17[[#This Row],[Column224]],"")</f>
        <v/>
      </c>
      <c r="T14" s="4">
        <f>IF(Table17[[#This Row],[Column222]]="",Table17[[#This Row],[Column5]],Table17[[#This Row],[Column222]])</f>
        <v>2</v>
      </c>
      <c r="U14" s="4" t="str">
        <f>IF(Table17[[#This Row],[Column223]]=Table17[[#This Row],[Column24]],"",1)</f>
        <v/>
      </c>
      <c r="V14" s="5">
        <f>IF(Table17[[#This Row],[isis]]="",IF(Table17[[#This Row],[isin]]="",Table17[[#This Row],[Column2]],Table17[[#This Row],[isin]]),Table17[[#This Row],[isis]])</f>
        <v>120</v>
      </c>
      <c r="W14" s="3" t="str">
        <f>IF(Table17[[#This Row],[isis]]="",IF(Table17[[#This Row],[isin]]="",Table17[[#This Row],[Column22]],Table17[[#This Row],[stnn]]),Table17[[#This Row],[stns]])</f>
        <v>LSN</v>
      </c>
      <c r="X14" s="5">
        <f>IF(Table17[[#This Row],[Column2222]]&lt;1,Table17[[#This Row],[Column23]],Table17[[#This Row],[Column23]]*Table17[[#This Row],[Column2222]])</f>
        <v>240</v>
      </c>
      <c r="Y14" s="3" t="str">
        <f>Table17[[#This Row],[Column24]]</f>
        <v>LSN</v>
      </c>
      <c r="Z14" s="5">
        <f>Table17[[#This Row],[HRG / CTN]]/Table17[[#This Row],[Column23]]</f>
        <v>18250</v>
      </c>
      <c r="AA14" s="42" t="str">
        <f>IF(INDEX(NOTA[DISC 1],Sheet1!A:A)=0,"",INDEX(NOTA[DISC 1],Sheet1!A:A))</f>
        <v/>
      </c>
      <c r="AB14" s="42" t="str">
        <f>IF(INDEX(NOTA[DISC 2],Sheet1!A:A)=0,"",INDEX(NOTA[DISC 2],Sheet1!A:A))</f>
        <v/>
      </c>
      <c r="AC1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" s="43">
        <f>INDEX(NOTA[HARGA/ CTN_H],Sheet1!A:A)</f>
        <v>2190000</v>
      </c>
      <c r="AE14" s="43">
        <f>IF(Table17[[#This Row],[DISC 3]]="",Table17[[#This Row],[HRG / CTN]],Table17[[#This Row],[HRG / CTN]]-(Table17[[#This Row],[HRG / CTN]]*Table17[[#This Row],[DISC 3]]))</f>
        <v>2190000</v>
      </c>
      <c r="AF14" s="14">
        <f>IF(Table17[[#This Row],[Column2222]]&lt;1,Table17[[#This Row],[Column9]],Table17[[#This Row],[Column9]]*Table17[[#This Row],[Column2222]])</f>
        <v>4380000</v>
      </c>
      <c r="AG14" s="43" t="str">
        <f ca="1">IF(NOT(AL15=Table17[[#This Row],[Column6]]),SUMIF(Table17[Column6],Table17[[#This Row],[Column6]],Table17[Column7]),"")</f>
        <v/>
      </c>
      <c r="AH14" s="44">
        <f ca="1">INDEX(NOTA[TGL_H],Sheet1!A:A)</f>
        <v>45440</v>
      </c>
      <c r="AI14" s="44">
        <f ca="1">INDEX(NOTA[TGL.NOTA_H],Sheet1!A:A)</f>
        <v>45437</v>
      </c>
      <c r="AJ14" s="2">
        <v>45398</v>
      </c>
      <c r="AK14" t="str">
        <f>IF(INDEX(NOTA[KETERANGAN],A:A)="","",INDEX(NOTA[KETERANGAN],A:A))</f>
        <v/>
      </c>
      <c r="AL14" t="str">
        <f ca="1">INDEX(NOTA[NO.NOTA_H],Sheet1!A:A)</f>
        <v>JUE605/24</v>
      </c>
      <c r="AM14">
        <f>INDEX(NOTA[KETERANGAN],Sheet1!A:A)</f>
        <v>0</v>
      </c>
      <c r="AN14" t="str">
        <f ca="1">INDEX(NOTA[SUPPLIER_H],Sheet1!A:A)</f>
        <v>DB STATIONERY</v>
      </c>
      <c r="AO14" t="e">
        <f t="shared" ca="1" si="0"/>
        <v>#N/A</v>
      </c>
      <c r="AR14" s="45" t="s">
        <v>152</v>
      </c>
    </row>
    <row r="15" spans="1:44">
      <c r="A15" s="3">
        <v>14</v>
      </c>
      <c r="C15">
        <f>INDEX(NOTA[//DB],Sheet1!A:A)</f>
        <v>1355</v>
      </c>
      <c r="D15">
        <f>MATCH(Table17[[#This Row],[//db]],[3]!Table2[\\],0)</f>
        <v>420</v>
      </c>
      <c r="E15" t="str">
        <f>INDEX([3]!db[NB NOTA],Table17[[#This Row],[//db]])</f>
        <v>GEL ZHIXIN+REFILL G-3128</v>
      </c>
      <c r="F15" t="str">
        <f>INDEX([3]!db[NB BM],Table17[[#This Row],[//db]])</f>
        <v>BP GEL ZHIXIN G 3128</v>
      </c>
      <c r="G15" t="str">
        <f>_xlfn.IFNA(INDEX([3]!Table2[NAMA],Table17[[#This Row],[dbconcat]]),"")</f>
        <v>BP GEL ZHIXIN G 3128</v>
      </c>
      <c r="H15" t="str">
        <f>INDEX([3]!Table2[KODE BARANG],Table17[[#This Row],[dbconcat]])</f>
        <v>BOL-ZI42</v>
      </c>
      <c r="I15" t="str">
        <f>IF(Table17[[#This Row],[Column3]]="",UPPER(Table17[[#This Row],[Column1]]),Table17[[#This Row],[Column3]])</f>
        <v>BP GEL ZHIXIN G 3128</v>
      </c>
      <c r="J15">
        <f>INDEX(NOTA[C],Sheet1!A:A)</f>
        <v>2</v>
      </c>
      <c r="K15">
        <f>IF(OR(Table17[[#This Row],[Column5]]=0,Table17[[#This Row],[Column3]]=""),"",INDEX([3]!Table2[ISI2],Table17[[#This Row],[dbconcat]]))</f>
        <v>120</v>
      </c>
      <c r="L15" t="str">
        <f>IF(Table17[[#This Row],[isis]]="","",INDEX([3]!Table2[SATUAN3],Table17[[#This Row],[dbconcat]]))</f>
        <v>LSN</v>
      </c>
      <c r="M15" t="str">
        <f>IF(Table17[[#This Row],[Column5]]=0,"",IF(Table17[[#This Row],[Column3]]="",INDEX([3]!db[QTY B],Table17[[#This Row],[//db]]),""))</f>
        <v/>
      </c>
      <c r="N15" t="str">
        <f>IF(Table17[[#This Row],[isin]]="","",INDEX([3]!db[STN B],Table17[[#This Row],[//db]]))</f>
        <v/>
      </c>
      <c r="O15" t="str">
        <f>IF(AND(Table17[[#This Row],[isis]]="",Table17[[#This Row],[isin]]=""),INDEX(NOTA[QTY],Sheet1!A:A)/IF(Table17[[#This Row],[Column5]]=0,1,Table17[[#This Row],[Column5]]),"")</f>
        <v/>
      </c>
      <c r="P15" t="str">
        <f>IF(Table17[[#This Row],[Column2]]="","",INDEX(NOTA[STN],Sheet1!A:A))</f>
        <v/>
      </c>
      <c r="Q15" s="5" t="str">
        <f>INDEX([3]!db[QTY B],Table17[[#This Row],[//db]])</f>
        <v>120</v>
      </c>
      <c r="R15" t="str">
        <f>INDEX([3]!db[STN B],Table17[[#This Row],[//db]])</f>
        <v>LSN</v>
      </c>
      <c r="S15" s="40" t="str">
        <f>IF(Table17[[#This Row],[Column5]]=0,Table17[[#This Row],[Column23]]/Table17[[#This Row],[Column224]],"")</f>
        <v/>
      </c>
      <c r="T15" s="4">
        <f>IF(Table17[[#This Row],[Column222]]="",Table17[[#This Row],[Column5]],Table17[[#This Row],[Column222]])</f>
        <v>2</v>
      </c>
      <c r="U15" s="4" t="str">
        <f>IF(Table17[[#This Row],[Column223]]=Table17[[#This Row],[Column24]],"",1)</f>
        <v/>
      </c>
      <c r="V15" s="5">
        <f>IF(Table17[[#This Row],[isis]]="",IF(Table17[[#This Row],[isin]]="",Table17[[#This Row],[Column2]],Table17[[#This Row],[isin]]),Table17[[#This Row],[isis]])</f>
        <v>120</v>
      </c>
      <c r="W15" s="3" t="str">
        <f>IF(Table17[[#This Row],[isis]]="",IF(Table17[[#This Row],[isin]]="",Table17[[#This Row],[Column22]],Table17[[#This Row],[stnn]]),Table17[[#This Row],[stns]])</f>
        <v>LSN</v>
      </c>
      <c r="X15" s="5">
        <f>IF(Table17[[#This Row],[Column2222]]&lt;1,Table17[[#This Row],[Column23]],Table17[[#This Row],[Column23]]*Table17[[#This Row],[Column2222]])</f>
        <v>240</v>
      </c>
      <c r="Y15" s="3" t="str">
        <f>Table17[[#This Row],[Column24]]</f>
        <v>LSN</v>
      </c>
      <c r="Z15" s="5">
        <f>Table17[[#This Row],[HRG / CTN]]/Table17[[#This Row],[Column23]]</f>
        <v>18250</v>
      </c>
      <c r="AA15" s="42" t="str">
        <f>IF(INDEX(NOTA[DISC 1],Sheet1!A:A)=0,"",INDEX(NOTA[DISC 1],Sheet1!A:A))</f>
        <v/>
      </c>
      <c r="AB15" s="42" t="str">
        <f>IF(INDEX(NOTA[DISC 2],Sheet1!A:A)=0,"",INDEX(NOTA[DISC 2],Sheet1!A:A))</f>
        <v/>
      </c>
      <c r="AC1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" s="43">
        <f>INDEX(NOTA[HARGA/ CTN_H],Sheet1!A:A)</f>
        <v>2190000</v>
      </c>
      <c r="AE15" s="43">
        <f>IF(Table17[[#This Row],[DISC 3]]="",Table17[[#This Row],[HRG / CTN]],Table17[[#This Row],[HRG / CTN]]-(Table17[[#This Row],[HRG / CTN]]*Table17[[#This Row],[DISC 3]]))</f>
        <v>2190000</v>
      </c>
      <c r="AF15" s="14">
        <f>IF(Table17[[#This Row],[Column2222]]&lt;1,Table17[[#This Row],[Column9]],Table17[[#This Row],[Column9]]*Table17[[#This Row],[Column2222]])</f>
        <v>4380000</v>
      </c>
      <c r="AG15" s="43" t="str">
        <f ca="1">IF(NOT(AL16=Table17[[#This Row],[Column6]]),SUMIF(Table17[Column6],Table17[[#This Row],[Column6]],Table17[Column7]),"")</f>
        <v/>
      </c>
      <c r="AH15" s="44">
        <f ca="1">INDEX(NOTA[TGL_H],Sheet1!A:A)</f>
        <v>45440</v>
      </c>
      <c r="AI15" s="44">
        <f ca="1">INDEX(NOTA[TGL.NOTA_H],Sheet1!A:A)</f>
        <v>45437</v>
      </c>
      <c r="AJ15" s="2">
        <v>45398</v>
      </c>
      <c r="AK15" t="str">
        <f>IF(INDEX(NOTA[KETERANGAN],A:A)="","",INDEX(NOTA[KETERANGAN],A:A))</f>
        <v/>
      </c>
      <c r="AL15" t="str">
        <f ca="1">INDEX(NOTA[NO.NOTA_H],Sheet1!A:A)</f>
        <v>JUE605/24</v>
      </c>
      <c r="AM15">
        <f>INDEX(NOTA[KETERANGAN],Sheet1!A:A)</f>
        <v>0</v>
      </c>
      <c r="AN15" t="str">
        <f ca="1">INDEX(NOTA[SUPPLIER_H],Sheet1!A:A)</f>
        <v>DB STATIONERY</v>
      </c>
      <c r="AO15" t="e">
        <f t="shared" ca="1" si="0"/>
        <v>#N/A</v>
      </c>
      <c r="AR15" s="45" t="s">
        <v>153</v>
      </c>
    </row>
    <row r="16" spans="1:44">
      <c r="A16" s="3">
        <v>15</v>
      </c>
      <c r="C16">
        <f>INDEX(NOTA[//DB],Sheet1!A:A)</f>
        <v>1356</v>
      </c>
      <c r="D16">
        <f>MATCH(Table17[[#This Row],[//db]],[3]!Table2[\\],0)</f>
        <v>421</v>
      </c>
      <c r="E16" t="str">
        <f>INDEX([3]!db[NB NOTA],Table17[[#This Row],[//db]])</f>
        <v>GEL ZHIXIN+REFILL G-3129</v>
      </c>
      <c r="F16" t="str">
        <f>INDEX([3]!db[NB BM],Table17[[#This Row],[//db]])</f>
        <v>BP GEL ZHIXIN G 3129</v>
      </c>
      <c r="G16" t="str">
        <f>_xlfn.IFNA(INDEX([3]!Table2[NAMA],Table17[[#This Row],[dbconcat]]),"")</f>
        <v>BP GEL ZHIXIN G 3129</v>
      </c>
      <c r="H16" t="str">
        <f>INDEX([3]!Table2[KODE BARANG],Table17[[#This Row],[dbconcat]])</f>
        <v>BOL-ZI43</v>
      </c>
      <c r="I16" t="str">
        <f>IF(Table17[[#This Row],[Column3]]="",UPPER(Table17[[#This Row],[Column1]]),Table17[[#This Row],[Column3]])</f>
        <v>BP GEL ZHIXIN G 3129</v>
      </c>
      <c r="J16">
        <f>INDEX(NOTA[C],Sheet1!A:A)</f>
        <v>2</v>
      </c>
      <c r="K16">
        <f>IF(OR(Table17[[#This Row],[Column5]]=0,Table17[[#This Row],[Column3]]=""),"",INDEX([3]!Table2[ISI2],Table17[[#This Row],[dbconcat]]))</f>
        <v>120</v>
      </c>
      <c r="L16" t="str">
        <f>IF(Table17[[#This Row],[isis]]="","",INDEX([3]!Table2[SATUAN3],Table17[[#This Row],[dbconcat]]))</f>
        <v>LSN</v>
      </c>
      <c r="M16" t="str">
        <f>IF(Table17[[#This Row],[Column5]]=0,"",IF(Table17[[#This Row],[Column3]]="",INDEX([3]!db[QTY B],Table17[[#This Row],[//db]]),""))</f>
        <v/>
      </c>
      <c r="N16" t="str">
        <f>IF(Table17[[#This Row],[isin]]="","",INDEX([3]!db[STN B],Table17[[#This Row],[//db]]))</f>
        <v/>
      </c>
      <c r="O16" t="str">
        <f>IF(AND(Table17[[#This Row],[isis]]="",Table17[[#This Row],[isin]]=""),INDEX(NOTA[QTY],Sheet1!A:A)/IF(Table17[[#This Row],[Column5]]=0,1,Table17[[#This Row],[Column5]]),"")</f>
        <v/>
      </c>
      <c r="P16" t="str">
        <f>IF(Table17[[#This Row],[Column2]]="","",INDEX(NOTA[STN],Sheet1!A:A))</f>
        <v/>
      </c>
      <c r="Q16" s="5" t="str">
        <f>INDEX([3]!db[QTY B],Table17[[#This Row],[//db]])</f>
        <v>120</v>
      </c>
      <c r="R16" t="str">
        <f>INDEX([3]!db[STN B],Table17[[#This Row],[//db]])</f>
        <v>LSN</v>
      </c>
      <c r="S16" s="40" t="str">
        <f>IF(Table17[[#This Row],[Column5]]=0,Table17[[#This Row],[Column23]]/Table17[[#This Row],[Column224]],"")</f>
        <v/>
      </c>
      <c r="T16" s="4">
        <f>IF(Table17[[#This Row],[Column222]]="",Table17[[#This Row],[Column5]],Table17[[#This Row],[Column222]])</f>
        <v>2</v>
      </c>
      <c r="U16" s="4" t="str">
        <f>IF(Table17[[#This Row],[Column223]]=Table17[[#This Row],[Column24]],"",1)</f>
        <v/>
      </c>
      <c r="V16" s="5">
        <f>IF(Table17[[#This Row],[isis]]="",IF(Table17[[#This Row],[isin]]="",Table17[[#This Row],[Column2]],Table17[[#This Row],[isin]]),Table17[[#This Row],[isis]])</f>
        <v>120</v>
      </c>
      <c r="W16" s="3" t="str">
        <f>IF(Table17[[#This Row],[isis]]="",IF(Table17[[#This Row],[isin]]="",Table17[[#This Row],[Column22]],Table17[[#This Row],[stnn]]),Table17[[#This Row],[stns]])</f>
        <v>LSN</v>
      </c>
      <c r="X16" s="5">
        <f>IF(Table17[[#This Row],[Column2222]]&lt;1,Table17[[#This Row],[Column23]],Table17[[#This Row],[Column23]]*Table17[[#This Row],[Column2222]])</f>
        <v>240</v>
      </c>
      <c r="Y16" s="3" t="str">
        <f>Table17[[#This Row],[Column24]]</f>
        <v>LSN</v>
      </c>
      <c r="Z16" s="5">
        <f>Table17[[#This Row],[HRG / CTN]]/Table17[[#This Row],[Column23]]</f>
        <v>18250</v>
      </c>
      <c r="AA16" s="42" t="str">
        <f>IF(INDEX(NOTA[DISC 1],Sheet1!A:A)=0,"",INDEX(NOTA[DISC 1],Sheet1!A:A))</f>
        <v/>
      </c>
      <c r="AB16" s="42" t="str">
        <f>IF(INDEX(NOTA[DISC 2],Sheet1!A:A)=0,"",INDEX(NOTA[DISC 2],Sheet1!A:A))</f>
        <v/>
      </c>
      <c r="AC1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" s="43">
        <f>INDEX(NOTA[HARGA/ CTN_H],Sheet1!A:A)</f>
        <v>2190000</v>
      </c>
      <c r="AE16" s="43">
        <f>IF(Table17[[#This Row],[DISC 3]]="",Table17[[#This Row],[HRG / CTN]],Table17[[#This Row],[HRG / CTN]]-(Table17[[#This Row],[HRG / CTN]]*Table17[[#This Row],[DISC 3]]))</f>
        <v>2190000</v>
      </c>
      <c r="AF16" s="14">
        <f>IF(Table17[[#This Row],[Column2222]]&lt;1,Table17[[#This Row],[Column9]],Table17[[#This Row],[Column9]]*Table17[[#This Row],[Column2222]])</f>
        <v>4380000</v>
      </c>
      <c r="AG16" s="43" t="str">
        <f ca="1">IF(NOT(AL17=Table17[[#This Row],[Column6]]),SUMIF(Table17[Column6],Table17[[#This Row],[Column6]],Table17[Column7]),"")</f>
        <v/>
      </c>
      <c r="AH16" s="44">
        <f ca="1">INDEX(NOTA[TGL_H],Sheet1!A:A)</f>
        <v>45440</v>
      </c>
      <c r="AI16" s="44">
        <f ca="1">INDEX(NOTA[TGL.NOTA_H],Sheet1!A:A)</f>
        <v>45437</v>
      </c>
      <c r="AJ16" s="2">
        <v>45398</v>
      </c>
      <c r="AK16" t="str">
        <f>IF(INDEX(NOTA[KETERANGAN],A:A)="","",INDEX(NOTA[KETERANGAN],A:A))</f>
        <v/>
      </c>
      <c r="AL16" t="str">
        <f ca="1">INDEX(NOTA[NO.NOTA_H],Sheet1!A:A)</f>
        <v>JUE605/24</v>
      </c>
      <c r="AM16">
        <f>INDEX(NOTA[KETERANGAN],Sheet1!A:A)</f>
        <v>0</v>
      </c>
      <c r="AN16" t="str">
        <f ca="1">INDEX(NOTA[SUPPLIER_H],Sheet1!A:A)</f>
        <v>DB STATIONERY</v>
      </c>
      <c r="AO16" t="e">
        <f t="shared" ca="1" si="0"/>
        <v>#N/A</v>
      </c>
      <c r="AR16" s="45" t="s">
        <v>153</v>
      </c>
    </row>
    <row r="17" spans="1:44">
      <c r="A17" s="3">
        <v>16</v>
      </c>
      <c r="C17">
        <f>INDEX(NOTA[//DB],Sheet1!A:A)</f>
        <v>1352</v>
      </c>
      <c r="D17">
        <f>MATCH(Table17[[#This Row],[//db]],[3]!Table2[\\],0)</f>
        <v>422</v>
      </c>
      <c r="E17" t="str">
        <f>INDEX([3]!db[NB NOTA],Table17[[#This Row],[//db]])</f>
        <v>GEL ZHIXIN+REFILL G-3125</v>
      </c>
      <c r="F17" t="str">
        <f>INDEX([3]!db[NB BM],Table17[[#This Row],[//db]])</f>
        <v>BP GEL ZHIXIN G 3125</v>
      </c>
      <c r="G17" t="str">
        <f>_xlfn.IFNA(INDEX([3]!Table2[NAMA],Table17[[#This Row],[dbconcat]]),"")</f>
        <v>BP GEL ZHIXIN G 3125</v>
      </c>
      <c r="H17" t="str">
        <f>INDEX([3]!Table2[KODE BARANG],Table17[[#This Row],[dbconcat]])</f>
        <v>BOL-ZI44</v>
      </c>
      <c r="I17" t="str">
        <f>IF(Table17[[#This Row],[Column3]]="",UPPER(Table17[[#This Row],[Column1]]),Table17[[#This Row],[Column3]])</f>
        <v>BP GEL ZHIXIN G 3125</v>
      </c>
      <c r="J17">
        <f>INDEX(NOTA[C],Sheet1!A:A)</f>
        <v>2</v>
      </c>
      <c r="K17">
        <f>IF(OR(Table17[[#This Row],[Column5]]=0,Table17[[#This Row],[Column3]]=""),"",INDEX([3]!Table2[ISI2],Table17[[#This Row],[dbconcat]]))</f>
        <v>120</v>
      </c>
      <c r="L17" t="str">
        <f>IF(Table17[[#This Row],[isis]]="","",INDEX([3]!Table2[SATUAN3],Table17[[#This Row],[dbconcat]]))</f>
        <v>LSN</v>
      </c>
      <c r="M17" t="str">
        <f>IF(Table17[[#This Row],[Column5]]=0,"",IF(Table17[[#This Row],[Column3]]="",INDEX([3]!db[QTY B],Table17[[#This Row],[//db]]),""))</f>
        <v/>
      </c>
      <c r="N17" t="str">
        <f>IF(Table17[[#This Row],[isin]]="","",INDEX([3]!db[STN B],Table17[[#This Row],[//db]]))</f>
        <v/>
      </c>
      <c r="O17" t="str">
        <f>IF(AND(Table17[[#This Row],[isis]]="",Table17[[#This Row],[isin]]=""),INDEX(NOTA[QTY],Sheet1!A:A)/IF(Table17[[#This Row],[Column5]]=0,1,Table17[[#This Row],[Column5]]),"")</f>
        <v/>
      </c>
      <c r="P17" t="str">
        <f>IF(Table17[[#This Row],[Column2]]="","",INDEX(NOTA[STN],Sheet1!A:A))</f>
        <v/>
      </c>
      <c r="Q17" s="5" t="str">
        <f>INDEX([3]!db[QTY B],Table17[[#This Row],[//db]])</f>
        <v>120</v>
      </c>
      <c r="R17" t="str">
        <f>INDEX([3]!db[STN B],Table17[[#This Row],[//db]])</f>
        <v>LSN</v>
      </c>
      <c r="S17" s="40" t="str">
        <f>IF(Table17[[#This Row],[Column5]]=0,Table17[[#This Row],[Column23]]/Table17[[#This Row],[Column224]],"")</f>
        <v/>
      </c>
      <c r="T17" s="4">
        <f>IF(Table17[[#This Row],[Column222]]="",Table17[[#This Row],[Column5]],Table17[[#This Row],[Column222]])</f>
        <v>2</v>
      </c>
      <c r="U17" s="4" t="str">
        <f>IF(Table17[[#This Row],[Column223]]=Table17[[#This Row],[Column24]],"",1)</f>
        <v/>
      </c>
      <c r="V17" s="5">
        <f>IF(Table17[[#This Row],[isis]]="",IF(Table17[[#This Row],[isin]]="",Table17[[#This Row],[Column2]],Table17[[#This Row],[isin]]),Table17[[#This Row],[isis]])</f>
        <v>120</v>
      </c>
      <c r="W17" s="3" t="str">
        <f>IF(Table17[[#This Row],[isis]]="",IF(Table17[[#This Row],[isin]]="",Table17[[#This Row],[Column22]],Table17[[#This Row],[stnn]]),Table17[[#This Row],[stns]])</f>
        <v>LSN</v>
      </c>
      <c r="X17" s="5">
        <f>IF(Table17[[#This Row],[Column2222]]&lt;1,Table17[[#This Row],[Column23]],Table17[[#This Row],[Column23]]*Table17[[#This Row],[Column2222]])</f>
        <v>240</v>
      </c>
      <c r="Y17" s="3" t="str">
        <f>Table17[[#This Row],[Column24]]</f>
        <v>LSN</v>
      </c>
      <c r="Z17" s="5">
        <f>Table17[[#This Row],[HRG / CTN]]/Table17[[#This Row],[Column23]]</f>
        <v>18250</v>
      </c>
      <c r="AA17" s="42" t="str">
        <f>IF(INDEX(NOTA[DISC 1],Sheet1!A:A)=0,"",INDEX(NOTA[DISC 1],Sheet1!A:A))</f>
        <v/>
      </c>
      <c r="AB17" s="42" t="str">
        <f>IF(INDEX(NOTA[DISC 2],Sheet1!A:A)=0,"",INDEX(NOTA[DISC 2],Sheet1!A:A))</f>
        <v/>
      </c>
      <c r="AC1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" s="43">
        <f>INDEX(NOTA[HARGA/ CTN_H],Sheet1!A:A)</f>
        <v>2190000</v>
      </c>
      <c r="AE17" s="43">
        <f>IF(Table17[[#This Row],[DISC 3]]="",Table17[[#This Row],[HRG / CTN]],Table17[[#This Row],[HRG / CTN]]-(Table17[[#This Row],[HRG / CTN]]*Table17[[#This Row],[DISC 3]]))</f>
        <v>2190000</v>
      </c>
      <c r="AF17" s="14">
        <f>IF(Table17[[#This Row],[Column2222]]&lt;1,Table17[[#This Row],[Column9]],Table17[[#This Row],[Column9]]*Table17[[#This Row],[Column2222]])</f>
        <v>4380000</v>
      </c>
      <c r="AG17" s="43" t="str">
        <f ca="1">IF(NOT(AL18=Table17[[#This Row],[Column6]]),SUMIF(Table17[Column6],Table17[[#This Row],[Column6]],Table17[Column7]),"")</f>
        <v/>
      </c>
      <c r="AH17" s="44">
        <f ca="1">INDEX(NOTA[TGL_H],Sheet1!A:A)</f>
        <v>45440</v>
      </c>
      <c r="AI17" s="44">
        <f ca="1">INDEX(NOTA[TGL.NOTA_H],Sheet1!A:A)</f>
        <v>45437</v>
      </c>
      <c r="AJ17" s="2">
        <v>45398</v>
      </c>
      <c r="AK17" t="str">
        <f>IF(INDEX(NOTA[KETERANGAN],A:A)="","",INDEX(NOTA[KETERANGAN],A:A))</f>
        <v/>
      </c>
      <c r="AL17" t="str">
        <f ca="1">INDEX(NOTA[NO.NOTA_H],Sheet1!A:A)</f>
        <v>JUE605/24</v>
      </c>
      <c r="AM17">
        <f>INDEX(NOTA[KETERANGAN],Sheet1!A:A)</f>
        <v>0</v>
      </c>
      <c r="AN17" t="str">
        <f ca="1">INDEX(NOTA[SUPPLIER_H],Sheet1!A:A)</f>
        <v>DB STATIONERY</v>
      </c>
      <c r="AO17" t="e">
        <f t="shared" ca="1" si="0"/>
        <v>#N/A</v>
      </c>
      <c r="AR17" s="45" t="s">
        <v>156</v>
      </c>
    </row>
    <row r="18" spans="1:44">
      <c r="A18" s="3">
        <v>17</v>
      </c>
      <c r="C18">
        <f>INDEX(NOTA[//DB],Sheet1!A:A)</f>
        <v>1272</v>
      </c>
      <c r="D18">
        <f>MATCH(Table17[[#This Row],[//db]],[3]!Table2[\\],0)</f>
        <v>423</v>
      </c>
      <c r="E18" t="str">
        <f>INDEX([3]!db[NB NOTA],Table17[[#This Row],[//db]])</f>
        <v>GEL ZHIXIN + REFILL G-5005</v>
      </c>
      <c r="F18" t="str">
        <f>INDEX([3]!db[NB BM],Table17[[#This Row],[//db]])</f>
        <v>BP GEL ZHIXIN G 5005</v>
      </c>
      <c r="G18" t="str">
        <f>_xlfn.IFNA(INDEX([3]!Table2[NAMA],Table17[[#This Row],[dbconcat]]),"")</f>
        <v>BP GEL ZHIXIN G 5005</v>
      </c>
      <c r="H18" t="str">
        <f>INDEX([3]!Table2[KODE BARANG],Table17[[#This Row],[dbconcat]])</f>
        <v>BOL-ZI45</v>
      </c>
      <c r="I18" t="str">
        <f>IF(Table17[[#This Row],[Column3]]="",UPPER(Table17[[#This Row],[Column1]]),Table17[[#This Row],[Column3]])</f>
        <v>BP GEL ZHIXIN G 5005</v>
      </c>
      <c r="J18">
        <f>INDEX(NOTA[C],Sheet1!A:A)</f>
        <v>2</v>
      </c>
      <c r="K18">
        <f>IF(OR(Table17[[#This Row],[Column5]]=0,Table17[[#This Row],[Column3]]=""),"",INDEX([3]!Table2[ISI2],Table17[[#This Row],[dbconcat]]))</f>
        <v>120</v>
      </c>
      <c r="L18" t="str">
        <f>IF(Table17[[#This Row],[isis]]="","",INDEX([3]!Table2[SATUAN3],Table17[[#This Row],[dbconcat]]))</f>
        <v>LSN</v>
      </c>
      <c r="M18" t="str">
        <f>IF(Table17[[#This Row],[Column5]]=0,"",IF(Table17[[#This Row],[Column3]]="",INDEX([3]!db[QTY B],Table17[[#This Row],[//db]]),""))</f>
        <v/>
      </c>
      <c r="N18" t="str">
        <f>IF(Table17[[#This Row],[isin]]="","",INDEX([3]!db[STN B],Table17[[#This Row],[//db]]))</f>
        <v/>
      </c>
      <c r="O18" t="str">
        <f>IF(AND(Table17[[#This Row],[isis]]="",Table17[[#This Row],[isin]]=""),INDEX(NOTA[QTY],Sheet1!A:A)/IF(Table17[[#This Row],[Column5]]=0,1,Table17[[#This Row],[Column5]]),"")</f>
        <v/>
      </c>
      <c r="P18" t="str">
        <f>IF(Table17[[#This Row],[Column2]]="","",INDEX(NOTA[STN],Sheet1!A:A))</f>
        <v/>
      </c>
      <c r="Q18" s="5" t="str">
        <f>INDEX([3]!db[QTY B],Table17[[#This Row],[//db]])</f>
        <v>120</v>
      </c>
      <c r="R18" t="str">
        <f>INDEX([3]!db[STN B],Table17[[#This Row],[//db]])</f>
        <v>LSN</v>
      </c>
      <c r="S18" s="40" t="str">
        <f>IF(Table17[[#This Row],[Column5]]=0,Table17[[#This Row],[Column23]]/Table17[[#This Row],[Column224]],"")</f>
        <v/>
      </c>
      <c r="T18" s="4">
        <f>IF(Table17[[#This Row],[Column222]]="",Table17[[#This Row],[Column5]],Table17[[#This Row],[Column222]])</f>
        <v>2</v>
      </c>
      <c r="U18" s="4" t="str">
        <f>IF(Table17[[#This Row],[Column223]]=Table17[[#This Row],[Column24]],"",1)</f>
        <v/>
      </c>
      <c r="V18" s="5">
        <f>IF(Table17[[#This Row],[isis]]="",IF(Table17[[#This Row],[isin]]="",Table17[[#This Row],[Column2]],Table17[[#This Row],[isin]]),Table17[[#This Row],[isis]])</f>
        <v>120</v>
      </c>
      <c r="W18" s="3" t="str">
        <f>IF(Table17[[#This Row],[isis]]="",IF(Table17[[#This Row],[isin]]="",Table17[[#This Row],[Column22]],Table17[[#This Row],[stnn]]),Table17[[#This Row],[stns]])</f>
        <v>LSN</v>
      </c>
      <c r="X18" s="5">
        <f>IF(Table17[[#This Row],[Column2222]]&lt;1,Table17[[#This Row],[Column23]],Table17[[#This Row],[Column23]]*Table17[[#This Row],[Column2222]])</f>
        <v>240</v>
      </c>
      <c r="Y18" s="3" t="str">
        <f>Table17[[#This Row],[Column24]]</f>
        <v>LSN</v>
      </c>
      <c r="Z18" s="5">
        <f>Table17[[#This Row],[HRG / CTN]]/Table17[[#This Row],[Column23]]</f>
        <v>18250</v>
      </c>
      <c r="AA18" s="42" t="str">
        <f>IF(INDEX(NOTA[DISC 1],Sheet1!A:A)=0,"",INDEX(NOTA[DISC 1],Sheet1!A:A))</f>
        <v/>
      </c>
      <c r="AB18" s="42" t="str">
        <f>IF(INDEX(NOTA[DISC 2],Sheet1!A:A)=0,"",INDEX(NOTA[DISC 2],Sheet1!A:A))</f>
        <v/>
      </c>
      <c r="AC1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" s="43">
        <f>INDEX(NOTA[HARGA/ CTN_H],Sheet1!A:A)</f>
        <v>2190000</v>
      </c>
      <c r="AE18" s="43">
        <f>IF(Table17[[#This Row],[DISC 3]]="",Table17[[#This Row],[HRG / CTN]],Table17[[#This Row],[HRG / CTN]]-(Table17[[#This Row],[HRG / CTN]]*Table17[[#This Row],[DISC 3]]))</f>
        <v>2190000</v>
      </c>
      <c r="AF18" s="14">
        <f>IF(Table17[[#This Row],[Column2222]]&lt;1,Table17[[#This Row],[Column9]],Table17[[#This Row],[Column9]]*Table17[[#This Row],[Column2222]])</f>
        <v>4380000</v>
      </c>
      <c r="AG18" s="43" t="str">
        <f ca="1">IF(NOT(AL19=Table17[[#This Row],[Column6]]),SUMIF(Table17[Column6],Table17[[#This Row],[Column6]],Table17[Column7]),"")</f>
        <v/>
      </c>
      <c r="AH18" s="44">
        <f ca="1">INDEX(NOTA[TGL_H],Sheet1!A:A)</f>
        <v>45440</v>
      </c>
      <c r="AI18" s="44">
        <f ca="1">INDEX(NOTA[TGL.NOTA_H],Sheet1!A:A)</f>
        <v>45437</v>
      </c>
      <c r="AJ18" s="2">
        <v>45398</v>
      </c>
      <c r="AK18" t="str">
        <f>IF(INDEX(NOTA[KETERANGAN],A:A)="","",INDEX(NOTA[KETERANGAN],A:A))</f>
        <v/>
      </c>
      <c r="AL18" t="str">
        <f ca="1">INDEX(NOTA[NO.NOTA_H],Sheet1!A:A)</f>
        <v>JUE605/24</v>
      </c>
      <c r="AM18">
        <f>INDEX(NOTA[KETERANGAN],Sheet1!A:A)</f>
        <v>0</v>
      </c>
      <c r="AN18" t="str">
        <f ca="1">INDEX(NOTA[SUPPLIER_H],Sheet1!A:A)</f>
        <v>DB STATIONERY</v>
      </c>
      <c r="AO18" t="e">
        <f t="shared" ca="1" si="0"/>
        <v>#N/A</v>
      </c>
      <c r="AR18" t="s">
        <v>155</v>
      </c>
    </row>
    <row r="19" spans="1:44">
      <c r="A19" s="3">
        <v>18</v>
      </c>
      <c r="C19">
        <f>INDEX(NOTA[//DB],Sheet1!A:A)</f>
        <v>1267</v>
      </c>
      <c r="D19">
        <f>MATCH(Table17[[#This Row],[//db]],[3]!Table2[\\],0)</f>
        <v>553</v>
      </c>
      <c r="E19" t="str">
        <f>INDEX([3]!db[NB NOTA],Table17[[#This Row],[//db]])</f>
        <v>GEL ZHIXIN + REFILL G 3167</v>
      </c>
      <c r="F19" t="str">
        <f>INDEX([3]!db[NB BM],Table17[[#This Row],[//db]])</f>
        <v>BP GEL ZHIXIN G 3167</v>
      </c>
      <c r="G19" t="str">
        <f>_xlfn.IFNA(INDEX([3]!Table2[NAMA],Table17[[#This Row],[dbconcat]]),"")</f>
        <v>BP GEL ZHIXIN G 3167</v>
      </c>
      <c r="H19" t="str">
        <f>INDEX([3]!Table2[KODE BARANG],Table17[[#This Row],[dbconcat]])</f>
        <v>BOL-ZI176</v>
      </c>
      <c r="I19" t="str">
        <f>IF(Table17[[#This Row],[Column3]]="",UPPER(Table17[[#This Row],[Column1]]),Table17[[#This Row],[Column3]])</f>
        <v>BP GEL ZHIXIN G 3167</v>
      </c>
      <c r="J19">
        <f>INDEX(NOTA[C],Sheet1!A:A)</f>
        <v>1</v>
      </c>
      <c r="K19">
        <f>IF(OR(Table17[[#This Row],[Column5]]=0,Table17[[#This Row],[Column3]]=""),"",INDEX([3]!Table2[ISI2],Table17[[#This Row],[dbconcat]]))</f>
        <v>120</v>
      </c>
      <c r="L19" t="str">
        <f>IF(Table17[[#This Row],[isis]]="","",INDEX([3]!Table2[SATUAN3],Table17[[#This Row],[dbconcat]]))</f>
        <v>LSN</v>
      </c>
      <c r="M19" t="str">
        <f>IF(Table17[[#This Row],[Column5]]=0,"",IF(Table17[[#This Row],[Column3]]="",INDEX([3]!db[QTY B],Table17[[#This Row],[//db]]),""))</f>
        <v/>
      </c>
      <c r="N19" t="str">
        <f>IF(Table17[[#This Row],[isin]]="","",INDEX([3]!db[STN B],Table17[[#This Row],[//db]]))</f>
        <v/>
      </c>
      <c r="O19" t="str">
        <f>IF(AND(Table17[[#This Row],[isis]]="",Table17[[#This Row],[isin]]=""),INDEX(NOTA[QTY],Sheet1!A:A)/IF(Table17[[#This Row],[Column5]]=0,1,Table17[[#This Row],[Column5]]),"")</f>
        <v/>
      </c>
      <c r="P19" t="str">
        <f>IF(Table17[[#This Row],[Column2]]="","",INDEX(NOTA[STN],Sheet1!A:A))</f>
        <v/>
      </c>
      <c r="Q19" s="5" t="str">
        <f>INDEX([3]!db[QTY B],Table17[[#This Row],[//db]])</f>
        <v>120</v>
      </c>
      <c r="R19" t="str">
        <f>INDEX([3]!db[STN B],Table17[[#This Row],[//db]])</f>
        <v>LSN</v>
      </c>
      <c r="S19" s="40" t="str">
        <f>IF(Table17[[#This Row],[Column5]]=0,Table17[[#This Row],[Column23]]/Table17[[#This Row],[Column224]],"")</f>
        <v/>
      </c>
      <c r="T19" s="4">
        <f>IF(Table17[[#This Row],[Column222]]="",Table17[[#This Row],[Column5]],Table17[[#This Row],[Column222]])</f>
        <v>1</v>
      </c>
      <c r="U19" s="4" t="str">
        <f>IF(Table17[[#This Row],[Column223]]=Table17[[#This Row],[Column24]],"",1)</f>
        <v/>
      </c>
      <c r="V19" s="5">
        <f>IF(Table17[[#This Row],[isis]]="",IF(Table17[[#This Row],[isin]]="",Table17[[#This Row],[Column2]],Table17[[#This Row],[isin]]),Table17[[#This Row],[isis]])</f>
        <v>120</v>
      </c>
      <c r="W19" s="3" t="str">
        <f>IF(Table17[[#This Row],[isis]]="",IF(Table17[[#This Row],[isin]]="",Table17[[#This Row],[Column22]],Table17[[#This Row],[stnn]]),Table17[[#This Row],[stns]])</f>
        <v>LSN</v>
      </c>
      <c r="X19" s="5">
        <f>IF(Table17[[#This Row],[Column2222]]&lt;1,Table17[[#This Row],[Column23]],Table17[[#This Row],[Column23]]*Table17[[#This Row],[Column2222]])</f>
        <v>120</v>
      </c>
      <c r="Y19" s="3" t="str">
        <f>Table17[[#This Row],[Column24]]</f>
        <v>LSN</v>
      </c>
      <c r="Z19" s="5">
        <f>Table17[[#This Row],[HRG / CTN]]/Table17[[#This Row],[Column23]]</f>
        <v>18250</v>
      </c>
      <c r="AA19" s="42" t="str">
        <f>IF(INDEX(NOTA[DISC 1],Sheet1!A:A)=0,"",INDEX(NOTA[DISC 1],Sheet1!A:A))</f>
        <v/>
      </c>
      <c r="AB19" s="42" t="str">
        <f>IF(INDEX(NOTA[DISC 2],Sheet1!A:A)=0,"",INDEX(NOTA[DISC 2],Sheet1!A:A))</f>
        <v/>
      </c>
      <c r="AC1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" s="43">
        <f>INDEX(NOTA[HARGA/ CTN_H],Sheet1!A:A)</f>
        <v>2190000</v>
      </c>
      <c r="AE19" s="43">
        <f>IF(Table17[[#This Row],[DISC 3]]="",Table17[[#This Row],[HRG / CTN]],Table17[[#This Row],[HRG / CTN]]-(Table17[[#This Row],[HRG / CTN]]*Table17[[#This Row],[DISC 3]]))</f>
        <v>2190000</v>
      </c>
      <c r="AF19" s="14">
        <f>IF(Table17[[#This Row],[Column2222]]&lt;1,Table17[[#This Row],[Column9]],Table17[[#This Row],[Column9]]*Table17[[#This Row],[Column2222]])</f>
        <v>2190000</v>
      </c>
      <c r="AG19" s="43" t="str">
        <f ca="1">IF(NOT(AL20=Table17[[#This Row],[Column6]]),SUMIF(Table17[Column6],Table17[[#This Row],[Column6]],Table17[Column7]),"")</f>
        <v/>
      </c>
      <c r="AH19" s="44">
        <f ca="1">INDEX(NOTA[TGL_H],Sheet1!A:A)</f>
        <v>45440</v>
      </c>
      <c r="AI19" s="44">
        <f ca="1">INDEX(NOTA[TGL.NOTA_H],Sheet1!A:A)</f>
        <v>45437</v>
      </c>
      <c r="AJ19" s="2">
        <v>45398</v>
      </c>
      <c r="AK19" t="str">
        <f>IF(INDEX(NOTA[KETERANGAN],A:A)="","",INDEX(NOTA[KETERANGAN],A:A))</f>
        <v/>
      </c>
      <c r="AL19" t="str">
        <f ca="1">INDEX(NOTA[NO.NOTA_H],Sheet1!A:A)</f>
        <v>JUE605/24</v>
      </c>
      <c r="AM19">
        <f>INDEX(NOTA[KETERANGAN],Sheet1!A:A)</f>
        <v>0</v>
      </c>
      <c r="AN19" t="str">
        <f ca="1">INDEX(NOTA[SUPPLIER_H],Sheet1!A:A)</f>
        <v>DB STATIONERY</v>
      </c>
      <c r="AO19" t="e">
        <f t="shared" ca="1" si="0"/>
        <v>#N/A</v>
      </c>
      <c r="AR19" s="45" t="s">
        <v>157</v>
      </c>
    </row>
    <row r="20" spans="1:44">
      <c r="A20" s="3">
        <v>19</v>
      </c>
      <c r="C20">
        <f>INDEX(NOTA[//DB],Sheet1!A:A)</f>
        <v>1267</v>
      </c>
      <c r="D20">
        <f>MATCH(Table17[[#This Row],[//db]],[3]!Table2[\\],0)</f>
        <v>553</v>
      </c>
      <c r="E20" t="str">
        <f>INDEX([3]!db[NB NOTA],Table17[[#This Row],[//db]])</f>
        <v>GEL ZHIXIN + REFILL G 3167</v>
      </c>
      <c r="F20" t="str">
        <f>INDEX([3]!db[NB BM],Table17[[#This Row],[//db]])</f>
        <v>BP GEL ZHIXIN G 3167</v>
      </c>
      <c r="G20" t="str">
        <f>_xlfn.IFNA(INDEX([3]!Table2[NAMA],Table17[[#This Row],[dbconcat]]),"")</f>
        <v>BP GEL ZHIXIN G 3167</v>
      </c>
      <c r="H20" t="str">
        <f>INDEX([3]!Table2[KODE BARANG],Table17[[#This Row],[dbconcat]])</f>
        <v>BOL-ZI176</v>
      </c>
      <c r="I20" t="str">
        <f>IF(Table17[[#This Row],[Column3]]="",UPPER(Table17[[#This Row],[Column1]]),Table17[[#This Row],[Column3]])</f>
        <v>BP GEL ZHIXIN G 3167</v>
      </c>
      <c r="J20">
        <f>INDEX(NOTA[C],Sheet1!A:A)</f>
        <v>1</v>
      </c>
      <c r="K20">
        <f>IF(OR(Table17[[#This Row],[Column5]]=0,Table17[[#This Row],[Column3]]=""),"",INDEX([3]!Table2[ISI2],Table17[[#This Row],[dbconcat]]))</f>
        <v>120</v>
      </c>
      <c r="L20" t="str">
        <f>IF(Table17[[#This Row],[isis]]="","",INDEX([3]!Table2[SATUAN3],Table17[[#This Row],[dbconcat]]))</f>
        <v>LSN</v>
      </c>
      <c r="M20" t="str">
        <f>IF(Table17[[#This Row],[Column5]]=0,"",IF(Table17[[#This Row],[Column3]]="",INDEX([3]!db[QTY B],Table17[[#This Row],[//db]]),""))</f>
        <v/>
      </c>
      <c r="N20" t="str">
        <f>IF(Table17[[#This Row],[isin]]="","",INDEX([3]!db[STN B],Table17[[#This Row],[//db]]))</f>
        <v/>
      </c>
      <c r="O20" t="str">
        <f>IF(AND(Table17[[#This Row],[isis]]="",Table17[[#This Row],[isin]]=""),INDEX(NOTA[QTY],Sheet1!A:A)/IF(Table17[[#This Row],[Column5]]=0,1,Table17[[#This Row],[Column5]]),"")</f>
        <v/>
      </c>
      <c r="P20" t="str">
        <f>IF(Table17[[#This Row],[Column2]]="","",INDEX(NOTA[STN],Sheet1!A:A))</f>
        <v/>
      </c>
      <c r="Q20" s="5" t="str">
        <f>INDEX([3]!db[QTY B],Table17[[#This Row],[//db]])</f>
        <v>120</v>
      </c>
      <c r="R20" t="str">
        <f>INDEX([3]!db[STN B],Table17[[#This Row],[//db]])</f>
        <v>LSN</v>
      </c>
      <c r="S20" s="40" t="str">
        <f>IF(Table17[[#This Row],[Column5]]=0,Table17[[#This Row],[Column23]]/Table17[[#This Row],[Column224]],"")</f>
        <v/>
      </c>
      <c r="T20" s="4">
        <f>IF(Table17[[#This Row],[Column222]]="",Table17[[#This Row],[Column5]],Table17[[#This Row],[Column222]])</f>
        <v>1</v>
      </c>
      <c r="U20" s="4" t="str">
        <f>IF(Table17[[#This Row],[Column223]]=Table17[[#This Row],[Column24]],"",1)</f>
        <v/>
      </c>
      <c r="V20" s="5">
        <f>IF(Table17[[#This Row],[isis]]="",IF(Table17[[#This Row],[isin]]="",Table17[[#This Row],[Column2]],Table17[[#This Row],[isin]]),Table17[[#This Row],[isis]])</f>
        <v>120</v>
      </c>
      <c r="W20" s="3" t="str">
        <f>IF(Table17[[#This Row],[isis]]="",IF(Table17[[#This Row],[isin]]="",Table17[[#This Row],[Column22]],Table17[[#This Row],[stnn]]),Table17[[#This Row],[stns]])</f>
        <v>LSN</v>
      </c>
      <c r="X20" s="5">
        <f>IF(Table17[[#This Row],[Column2222]]&lt;1,Table17[[#This Row],[Column23]],Table17[[#This Row],[Column23]]*Table17[[#This Row],[Column2222]])</f>
        <v>120</v>
      </c>
      <c r="Y20" s="3" t="str">
        <f>Table17[[#This Row],[Column24]]</f>
        <v>LSN</v>
      </c>
      <c r="Z20" s="5">
        <f>Table17[[#This Row],[HRG / CTN]]/Table17[[#This Row],[Column23]]</f>
        <v>0</v>
      </c>
      <c r="AA20" s="42" t="str">
        <f>IF(INDEX(NOTA[DISC 1],Sheet1!A:A)=0,"",INDEX(NOTA[DISC 1],Sheet1!A:A))</f>
        <v/>
      </c>
      <c r="AB20" s="42" t="str">
        <f>IF(INDEX(NOTA[DISC 2],Sheet1!A:A)=0,"",INDEX(NOTA[DISC 2],Sheet1!A:A))</f>
        <v/>
      </c>
      <c r="AC2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" s="43">
        <f>INDEX(NOTA[HARGA/ CTN_H],Sheet1!A:A)</f>
        <v>0</v>
      </c>
      <c r="AE20" s="43">
        <f>IF(Table17[[#This Row],[DISC 3]]="",Table17[[#This Row],[HRG / CTN]],Table17[[#This Row],[HRG / CTN]]-(Table17[[#This Row],[HRG / CTN]]*Table17[[#This Row],[DISC 3]]))</f>
        <v>0</v>
      </c>
      <c r="AF20" s="14">
        <f>IF(Table17[[#This Row],[Column2222]]&lt;1,Table17[[#This Row],[Column9]],Table17[[#This Row],[Column9]]*Table17[[#This Row],[Column2222]])</f>
        <v>0</v>
      </c>
      <c r="AG20" s="43" t="str">
        <f ca="1">IF(NOT(AL21=Table17[[#This Row],[Column6]]),SUMIF(Table17[Column6],Table17[[#This Row],[Column6]],Table17[Column7]),"")</f>
        <v/>
      </c>
      <c r="AH20" s="44">
        <f ca="1">INDEX(NOTA[TGL_H],Sheet1!A:A)</f>
        <v>45440</v>
      </c>
      <c r="AI20" s="44">
        <f ca="1">INDEX(NOTA[TGL.NOTA_H],Sheet1!A:A)</f>
        <v>45437</v>
      </c>
      <c r="AK20" t="str">
        <f>IF(INDEX(NOTA[KETERANGAN],A:A)="","",INDEX(NOTA[KETERANGAN],A:A))</f>
        <v>BONUS</v>
      </c>
      <c r="AL20" t="str">
        <f ca="1">INDEX(NOTA[NO.NOTA_H],Sheet1!A:A)</f>
        <v>JUE605/24</v>
      </c>
      <c r="AM20" t="str">
        <f>INDEX(NOTA[KETERANGAN],Sheet1!A:A)</f>
        <v>BONUS</v>
      </c>
      <c r="AN20" t="str">
        <f ca="1">INDEX(NOTA[SUPPLIER_H],Sheet1!A:A)</f>
        <v>DB STATIONERY</v>
      </c>
      <c r="AO20" t="e">
        <f t="shared" ca="1" si="0"/>
        <v>#N/A</v>
      </c>
      <c r="AR20" s="45" t="s">
        <v>157</v>
      </c>
    </row>
    <row r="21" spans="1:44">
      <c r="A21" s="3">
        <v>20</v>
      </c>
      <c r="C21">
        <f>INDEX(NOTA[//DB],Sheet1!A:A)</f>
        <v>1044</v>
      </c>
      <c r="D21">
        <f>MATCH(Table17[[#This Row],[//db]],[3]!Table2[\\],0)</f>
        <v>482</v>
      </c>
      <c r="E21" t="str">
        <f>INDEX([3]!db[NB NOTA],Table17[[#This Row],[//db]])</f>
        <v>GEL DEBOZZ 0.5 DB-G05</v>
      </c>
      <c r="F21" t="str">
        <f>INDEX([3]!db[NB BM],Table17[[#This Row],[//db]])</f>
        <v>Bp Debozz DB G 05</v>
      </c>
      <c r="G21" t="str">
        <f>_xlfn.IFNA(INDEX([3]!Table2[NAMA],Table17[[#This Row],[dbconcat]]),"")</f>
        <v>BP DEBOZZ DB G 05</v>
      </c>
      <c r="H21" t="str">
        <f>INDEX([3]!Table2[KODE BARANG],Table17[[#This Row],[dbconcat]])</f>
        <v>BOL-DB104</v>
      </c>
      <c r="I21" t="str">
        <f>IF(Table17[[#This Row],[Column3]]="",UPPER(Table17[[#This Row],[Column1]]),Table17[[#This Row],[Column3]])</f>
        <v>BP DEBOZZ DB G 05</v>
      </c>
      <c r="J21">
        <f>INDEX(NOTA[C],Sheet1!A:A)</f>
        <v>1</v>
      </c>
      <c r="K21">
        <f>IF(OR(Table17[[#This Row],[Column5]]=0,Table17[[#This Row],[Column3]]=""),"",INDEX([3]!Table2[ISI2],Table17[[#This Row],[dbconcat]]))</f>
        <v>120</v>
      </c>
      <c r="L21" t="str">
        <f>IF(Table17[[#This Row],[isis]]="","",INDEX([3]!Table2[SATUAN3],Table17[[#This Row],[dbconcat]]))</f>
        <v>LSN</v>
      </c>
      <c r="M21" t="str">
        <f>IF(Table17[[#This Row],[Column5]]=0,"",IF(Table17[[#This Row],[Column3]]="",INDEX([3]!db[QTY B],Table17[[#This Row],[//db]]),""))</f>
        <v/>
      </c>
      <c r="N21" t="str">
        <f>IF(Table17[[#This Row],[isin]]="","",INDEX([3]!db[STN B],Table17[[#This Row],[//db]]))</f>
        <v/>
      </c>
      <c r="O21" t="str">
        <f>IF(AND(Table17[[#This Row],[isis]]="",Table17[[#This Row],[isin]]=""),INDEX(NOTA[QTY],Sheet1!A:A)/IF(Table17[[#This Row],[Column5]]=0,1,Table17[[#This Row],[Column5]]),"")</f>
        <v/>
      </c>
      <c r="P21" t="str">
        <f>IF(Table17[[#This Row],[Column2]]="","",INDEX(NOTA[STN],Sheet1!A:A))</f>
        <v/>
      </c>
      <c r="Q21" s="5" t="str">
        <f>INDEX([3]!db[QTY B],Table17[[#This Row],[//db]])</f>
        <v>120</v>
      </c>
      <c r="R21" t="str">
        <f>INDEX([3]!db[STN B],Table17[[#This Row],[//db]])</f>
        <v>LSN</v>
      </c>
      <c r="S21" s="40" t="str">
        <f>IF(Table17[[#This Row],[Column5]]=0,Table17[[#This Row],[Column23]]/Table17[[#This Row],[Column224]],"")</f>
        <v/>
      </c>
      <c r="T21" s="4">
        <f>IF(Table17[[#This Row],[Column222]]="",Table17[[#This Row],[Column5]],Table17[[#This Row],[Column222]])</f>
        <v>1</v>
      </c>
      <c r="U21" s="4" t="str">
        <f>IF(Table17[[#This Row],[Column223]]=Table17[[#This Row],[Column24]],"",1)</f>
        <v/>
      </c>
      <c r="V21" s="5">
        <f>IF(Table17[[#This Row],[isis]]="",IF(Table17[[#This Row],[isin]]="",Table17[[#This Row],[Column2]],Table17[[#This Row],[isin]]),Table17[[#This Row],[isis]])</f>
        <v>120</v>
      </c>
      <c r="W21" s="3" t="str">
        <f>IF(Table17[[#This Row],[isis]]="",IF(Table17[[#This Row],[isin]]="",Table17[[#This Row],[Column22]],Table17[[#This Row],[stnn]]),Table17[[#This Row],[stns]])</f>
        <v>LSN</v>
      </c>
      <c r="X21" s="5">
        <f>IF(Table17[[#This Row],[Column2222]]&lt;1,Table17[[#This Row],[Column23]],Table17[[#This Row],[Column23]]*Table17[[#This Row],[Column2222]])</f>
        <v>120</v>
      </c>
      <c r="Y21" s="3" t="str">
        <f>Table17[[#This Row],[Column24]]</f>
        <v>LSN</v>
      </c>
      <c r="Z21" s="5">
        <f>Table17[[#This Row],[HRG / CTN]]/Table17[[#This Row],[Column23]]</f>
        <v>25500</v>
      </c>
      <c r="AA21" s="42" t="str">
        <f>IF(INDEX(NOTA[DISC 1],Sheet1!A:A)=0,"",INDEX(NOTA[DISC 1],Sheet1!A:A))</f>
        <v/>
      </c>
      <c r="AB21" s="42" t="str">
        <f>IF(INDEX(NOTA[DISC 2],Sheet1!A:A)=0,"",INDEX(NOTA[DISC 2],Sheet1!A:A))</f>
        <v/>
      </c>
      <c r="AC2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" s="43">
        <f>INDEX(NOTA[HARGA/ CTN_H],Sheet1!A:A)</f>
        <v>3060000</v>
      </c>
      <c r="AE21" s="43">
        <f>IF(Table17[[#This Row],[DISC 3]]="",Table17[[#This Row],[HRG / CTN]],Table17[[#This Row],[HRG / CTN]]-(Table17[[#This Row],[HRG / CTN]]*Table17[[#This Row],[DISC 3]]))</f>
        <v>3060000</v>
      </c>
      <c r="AF21" s="14">
        <f>IF(Table17[[#This Row],[Column2222]]&lt;1,Table17[[#This Row],[Column9]],Table17[[#This Row],[Column9]]*Table17[[#This Row],[Column2222]])</f>
        <v>3060000</v>
      </c>
      <c r="AG21" s="43" t="str">
        <f ca="1">IF(NOT(AL22=Table17[[#This Row],[Column6]]),SUMIF(Table17[Column6],Table17[[#This Row],[Column6]],Table17[Column7]),"")</f>
        <v/>
      </c>
      <c r="AH21" s="44">
        <f ca="1">INDEX(NOTA[TGL_H],Sheet1!A:A)</f>
        <v>45440</v>
      </c>
      <c r="AI21" s="44">
        <f ca="1">INDEX(NOTA[TGL.NOTA_H],Sheet1!A:A)</f>
        <v>45437</v>
      </c>
      <c r="AK21" t="str">
        <f>IF(INDEX(NOTA[KETERANGAN],A:A)="","",INDEX(NOTA[KETERANGAN],A:A))</f>
        <v/>
      </c>
      <c r="AL21" t="str">
        <f ca="1">INDEX(NOTA[NO.NOTA_H],Sheet1!A:A)</f>
        <v>JUE605/24</v>
      </c>
      <c r="AM21">
        <f>INDEX(NOTA[KETERANGAN],Sheet1!A:A)</f>
        <v>0</v>
      </c>
      <c r="AN21" t="str">
        <f ca="1">INDEX(NOTA[SUPPLIER_H],Sheet1!A:A)</f>
        <v>DB STATIONERY</v>
      </c>
      <c r="AO21" t="e">
        <f t="shared" ca="1" si="0"/>
        <v>#N/A</v>
      </c>
      <c r="AR21" s="45" t="s">
        <v>158</v>
      </c>
    </row>
    <row r="22" spans="1:44">
      <c r="A22" s="3">
        <v>21</v>
      </c>
      <c r="C22">
        <f>INDEX(NOTA[//DB],Sheet1!A:A)</f>
        <v>1143</v>
      </c>
      <c r="D22" t="e">
        <f>MATCH(Table17[[#This Row],[//db]],[3]!Table2[\\],0)</f>
        <v>#N/A</v>
      </c>
      <c r="E22" t="str">
        <f>INDEX([3]!db[NB NOTA],Table17[[#This Row],[//db]])</f>
        <v>GEL TECHJOB TG346-B</v>
      </c>
      <c r="F22" t="str">
        <f>INDEX([3]!db[NB BM],Table17[[#This Row],[//db]])</f>
        <v>Bp Gel Techjob TG 346-B</v>
      </c>
      <c r="G22" t="str">
        <f>_xlfn.IFNA(INDEX([3]!Table2[NAMA],Table17[[#This Row],[dbconcat]]),"")</f>
        <v/>
      </c>
      <c r="H22" t="e">
        <f>INDEX([3]!Table2[KODE BARANG],Table17[[#This Row],[dbconcat]])</f>
        <v>#N/A</v>
      </c>
      <c r="I22" t="str">
        <f>IF(Table17[[#This Row],[Column3]]="",UPPER(Table17[[#This Row],[Column1]]),Table17[[#This Row],[Column3]])</f>
        <v>BP GEL TECHJOB TG 346-B</v>
      </c>
      <c r="J22">
        <f>INDEX(NOTA[C],Sheet1!A:A)</f>
        <v>1</v>
      </c>
      <c r="K22" t="str">
        <f>IF(OR(Table17[[#This Row],[Column5]]=0,Table17[[#This Row],[Column3]]=""),"",INDEX([3]!Table2[ISI2],Table17[[#This Row],[dbconcat]]))</f>
        <v/>
      </c>
      <c r="L22" t="str">
        <f>IF(Table17[[#This Row],[isis]]="","",INDEX([3]!Table2[SATUAN3],Table17[[#This Row],[dbconcat]]))</f>
        <v/>
      </c>
      <c r="M22" t="str">
        <f>IF(Table17[[#This Row],[Column5]]=0,"",IF(Table17[[#This Row],[Column3]]="",INDEX([3]!db[QTY B],Table17[[#This Row],[//db]]),""))</f>
        <v>144</v>
      </c>
      <c r="N22" t="str">
        <f>IF(Table17[[#This Row],[isin]]="","",INDEX([3]!db[STN B],Table17[[#This Row],[//db]]))</f>
        <v>LSN</v>
      </c>
      <c r="O22" t="str">
        <f>IF(AND(Table17[[#This Row],[isis]]="",Table17[[#This Row],[isin]]=""),INDEX(NOTA[QTY],Sheet1!A:A)/IF(Table17[[#This Row],[Column5]]=0,1,Table17[[#This Row],[Column5]]),"")</f>
        <v/>
      </c>
      <c r="P22" t="str">
        <f>IF(Table17[[#This Row],[Column2]]="","",INDEX(NOTA[STN],Sheet1!A:A))</f>
        <v/>
      </c>
      <c r="Q22" s="5" t="str">
        <f>INDEX([3]!db[QTY B],Table17[[#This Row],[//db]])</f>
        <v>144</v>
      </c>
      <c r="R22" t="str">
        <f>INDEX([3]!db[STN B],Table17[[#This Row],[//db]])</f>
        <v>LSN</v>
      </c>
      <c r="S22" s="40" t="str">
        <f>IF(Table17[[#This Row],[Column5]]=0,Table17[[#This Row],[Column23]]/Table17[[#This Row],[Column224]],"")</f>
        <v/>
      </c>
      <c r="T22" s="4">
        <f>IF(Table17[[#This Row],[Column222]]="",Table17[[#This Row],[Column5]],Table17[[#This Row],[Column222]])</f>
        <v>1</v>
      </c>
      <c r="U22" s="4" t="str">
        <f>IF(Table17[[#This Row],[Column223]]=Table17[[#This Row],[Column24]],"",1)</f>
        <v/>
      </c>
      <c r="V22" s="5" t="str">
        <f>IF(Table17[[#This Row],[isis]]="",IF(Table17[[#This Row],[isin]]="",Table17[[#This Row],[Column2]],Table17[[#This Row],[isin]]),Table17[[#This Row],[isis]])</f>
        <v>144</v>
      </c>
      <c r="W22" s="3" t="str">
        <f>IF(Table17[[#This Row],[isis]]="",IF(Table17[[#This Row],[isin]]="",Table17[[#This Row],[Column22]],Table17[[#This Row],[stnn]]),Table17[[#This Row],[stns]])</f>
        <v>LSN</v>
      </c>
      <c r="X22" s="5">
        <f>IF(Table17[[#This Row],[Column2222]]&lt;1,Table17[[#This Row],[Column23]],Table17[[#This Row],[Column23]]*Table17[[#This Row],[Column2222]])</f>
        <v>144</v>
      </c>
      <c r="Y22" s="3" t="str">
        <f>Table17[[#This Row],[Column24]]</f>
        <v>LSN</v>
      </c>
      <c r="Z22" s="5">
        <f>Table17[[#This Row],[HRG / CTN]]/Table17[[#This Row],[Column23]]</f>
        <v>25500</v>
      </c>
      <c r="AA22" s="42" t="str">
        <f>IF(INDEX(NOTA[DISC 1],Sheet1!A:A)=0,"",INDEX(NOTA[DISC 1],Sheet1!A:A))</f>
        <v/>
      </c>
      <c r="AB22" s="42" t="str">
        <f>IF(INDEX(NOTA[DISC 2],Sheet1!A:A)=0,"",INDEX(NOTA[DISC 2],Sheet1!A:A))</f>
        <v/>
      </c>
      <c r="AC2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" s="43">
        <f>INDEX(NOTA[HARGA/ CTN_H],Sheet1!A:A)</f>
        <v>3672000</v>
      </c>
      <c r="AE22" s="43">
        <f>IF(Table17[[#This Row],[DISC 3]]="",Table17[[#This Row],[HRG / CTN]],Table17[[#This Row],[HRG / CTN]]-(Table17[[#This Row],[HRG / CTN]]*Table17[[#This Row],[DISC 3]]))</f>
        <v>3672000</v>
      </c>
      <c r="AF22" s="14">
        <f>IF(Table17[[#This Row],[Column2222]]&lt;1,Table17[[#This Row],[Column9]],Table17[[#This Row],[Column9]]*Table17[[#This Row],[Column2222]])</f>
        <v>3672000</v>
      </c>
      <c r="AG22" s="43">
        <f ca="1">IF(NOT(AL23=Table17[[#This Row],[Column6]]),SUMIF(Table17[Column6],Table17[[#This Row],[Column6]],Table17[Column7]),"")</f>
        <v>61482000</v>
      </c>
      <c r="AH22" s="44">
        <f ca="1">INDEX(NOTA[TGL_H],Sheet1!A:A)</f>
        <v>45440</v>
      </c>
      <c r="AI22" s="44">
        <f ca="1">INDEX(NOTA[TGL.NOTA_H],Sheet1!A:A)</f>
        <v>45437</v>
      </c>
      <c r="AK22" t="str">
        <f>IF(INDEX(NOTA[KETERANGAN],A:A)="","",INDEX(NOTA[KETERANGAN],A:A))</f>
        <v/>
      </c>
      <c r="AL22" t="str">
        <f ca="1">INDEX(NOTA[NO.NOTA_H],Sheet1!A:A)</f>
        <v>JUE605/24</v>
      </c>
      <c r="AM22">
        <f>INDEX(NOTA[KETERANGAN],Sheet1!A:A)</f>
        <v>0</v>
      </c>
      <c r="AN22" t="str">
        <f ca="1">INDEX(NOTA[SUPPLIER_H],Sheet1!A:A)</f>
        <v>DB STATIONERY</v>
      </c>
      <c r="AO22" t="e">
        <f t="shared" ca="1" si="0"/>
        <v>#N/A</v>
      </c>
      <c r="AR22" s="45" t="s">
        <v>155</v>
      </c>
    </row>
    <row r="23" spans="1:44">
      <c r="A23" s="3">
        <v>23</v>
      </c>
      <c r="C23">
        <f>INDEX(NOTA[//DB],Sheet1!A:A)</f>
        <v>1882</v>
      </c>
      <c r="D23" t="e">
        <f>MATCH(Table17[[#This Row],[//db]],[3]!Table2[\\],0)</f>
        <v>#N/A</v>
      </c>
      <c r="E23" t="str">
        <f>INDEX([3]!db[NB NOTA],Table17[[#This Row],[//db]])</f>
        <v>KERTAS CREPE SMALL JERSY</v>
      </c>
      <c r="F23" t="str">
        <f>INDEX([3]!db[NB BM],Table17[[#This Row],[//db]])</f>
        <v>KERTAS KREP POTONGAN JERSY KECIL</v>
      </c>
      <c r="G23" t="str">
        <f>_xlfn.IFNA(INDEX([3]!Table2[NAMA],Table17[[#This Row],[dbconcat]]),"")</f>
        <v/>
      </c>
      <c r="H23" t="e">
        <f>INDEX([3]!Table2[KODE BARANG],Table17[[#This Row],[dbconcat]])</f>
        <v>#N/A</v>
      </c>
      <c r="I23" t="str">
        <f>IF(Table17[[#This Row],[Column3]]="",UPPER(Table17[[#This Row],[Column1]]),Table17[[#This Row],[Column3]])</f>
        <v>KERTAS KREP POTONGAN JERSY KECIL</v>
      </c>
      <c r="J23">
        <f>INDEX(NOTA[C],Sheet1!A:A)</f>
        <v>10</v>
      </c>
      <c r="K23" t="str">
        <f>IF(OR(Table17[[#This Row],[Column5]]=0,Table17[[#This Row],[Column3]]=""),"",INDEX([3]!Table2[ISI2],Table17[[#This Row],[dbconcat]]))</f>
        <v/>
      </c>
      <c r="L23" t="str">
        <f>IF(Table17[[#This Row],[isis]]="","",INDEX([3]!Table2[SATUAN3],Table17[[#This Row],[dbconcat]]))</f>
        <v/>
      </c>
      <c r="M23" t="str">
        <f>IF(Table17[[#This Row],[Column5]]=0,"",IF(Table17[[#This Row],[Column3]]="",INDEX([3]!db[QTY B],Table17[[#This Row],[//db]]),""))</f>
        <v>235</v>
      </c>
      <c r="N23" t="str">
        <f>IF(Table17[[#This Row],[isin]]="","",INDEX([3]!db[STN B],Table17[[#This Row],[//db]]))</f>
        <v>PAK</v>
      </c>
      <c r="O23" t="str">
        <f>IF(AND(Table17[[#This Row],[isis]]="",Table17[[#This Row],[isin]]=""),INDEX(NOTA[QTY],Sheet1!A:A)/IF(Table17[[#This Row],[Column5]]=0,1,Table17[[#This Row],[Column5]]),"")</f>
        <v/>
      </c>
      <c r="P23" t="str">
        <f>IF(Table17[[#This Row],[Column2]]="","",INDEX(NOTA[STN],Sheet1!A:A))</f>
        <v/>
      </c>
      <c r="Q23" s="5" t="str">
        <f>INDEX([3]!db[QTY B],Table17[[#This Row],[//db]])</f>
        <v>235</v>
      </c>
      <c r="R23" t="str">
        <f>INDEX([3]!db[STN B],Table17[[#This Row],[//db]])</f>
        <v>PAK</v>
      </c>
      <c r="S23" s="40" t="str">
        <f>IF(Table17[[#This Row],[Column5]]=0,Table17[[#This Row],[Column23]]/Table17[[#This Row],[Column224]],"")</f>
        <v/>
      </c>
      <c r="T23" s="4">
        <f>IF(Table17[[#This Row],[Column222]]="",Table17[[#This Row],[Column5]],Table17[[#This Row],[Column222]])</f>
        <v>10</v>
      </c>
      <c r="U23" s="4" t="str">
        <f>IF(Table17[[#This Row],[Column223]]=Table17[[#This Row],[Column24]],"",1)</f>
        <v/>
      </c>
      <c r="V23" s="5" t="str">
        <f>IF(Table17[[#This Row],[isis]]="",IF(Table17[[#This Row],[isin]]="",Table17[[#This Row],[Column2]],Table17[[#This Row],[isin]]),Table17[[#This Row],[isis]])</f>
        <v>235</v>
      </c>
      <c r="W23" s="3" t="str">
        <f>IF(Table17[[#This Row],[isis]]="",IF(Table17[[#This Row],[isin]]="",Table17[[#This Row],[Column22]],Table17[[#This Row],[stnn]]),Table17[[#This Row],[stns]])</f>
        <v>PAK</v>
      </c>
      <c r="X23" s="5">
        <f>IF(Table17[[#This Row],[Column2222]]&lt;1,Table17[[#This Row],[Column23]],Table17[[#This Row],[Column23]]*Table17[[#This Row],[Column2222]])</f>
        <v>2350</v>
      </c>
      <c r="Y23" s="3" t="str">
        <f>Table17[[#This Row],[Column24]]</f>
        <v>PAK</v>
      </c>
      <c r="Z23" s="5">
        <f>Table17[[#This Row],[HRG / CTN]]/Table17[[#This Row],[Column23]]</f>
        <v>5750</v>
      </c>
      <c r="AA23" s="42" t="str">
        <f>IF(INDEX(NOTA[DISC 1],Sheet1!A:A)=0,"",INDEX(NOTA[DISC 1],Sheet1!A:A))</f>
        <v/>
      </c>
      <c r="AB23" s="42" t="str">
        <f>IF(INDEX(NOTA[DISC 2],Sheet1!A:A)=0,"",INDEX(NOTA[DISC 2],Sheet1!A:A))</f>
        <v/>
      </c>
      <c r="AC2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3" s="43">
        <f>INDEX(NOTA[HARGA/ CTN_H],Sheet1!A:A)</f>
        <v>1351250</v>
      </c>
      <c r="AE23" s="43">
        <f>IF(Table17[[#This Row],[DISC 3]]="",Table17[[#This Row],[HRG / CTN]],Table17[[#This Row],[HRG / CTN]]-(Table17[[#This Row],[HRG / CTN]]*Table17[[#This Row],[DISC 3]]))</f>
        <v>1351250</v>
      </c>
      <c r="AF23" s="14">
        <f>IF(Table17[[#This Row],[Column2222]]&lt;1,Table17[[#This Row],[Column9]],Table17[[#This Row],[Column9]]*Table17[[#This Row],[Column2222]])</f>
        <v>13512500</v>
      </c>
      <c r="AG23" s="43" t="str">
        <f ca="1">IF(NOT(AL24=Table17[[#This Row],[Column6]]),SUMIF(Table17[Column6],Table17[[#This Row],[Column6]],Table17[Column7]),"")</f>
        <v/>
      </c>
      <c r="AH23" s="44">
        <f ca="1">INDEX(NOTA[TGL_H],Sheet1!A:A)</f>
        <v>45441</v>
      </c>
      <c r="AI23" s="44">
        <f ca="1">INDEX(NOTA[TGL.NOTA_H],Sheet1!A:A)</f>
        <v>45440</v>
      </c>
      <c r="AK23" t="str">
        <f>IF(INDEX(NOTA[KETERANGAN],A:A)="","",INDEX(NOTA[KETERANGAN],A:A))</f>
        <v/>
      </c>
      <c r="AL23">
        <f ca="1">INDEX(NOTA[NO.NOTA_H],Sheet1!A:A)</f>
        <v>0</v>
      </c>
      <c r="AM23">
        <f>INDEX(NOTA[KETERANGAN],Sheet1!A:A)</f>
        <v>0</v>
      </c>
      <c r="AN23" t="str">
        <f ca="1">INDEX(NOTA[SUPPLIER_H],Sheet1!A:A)</f>
        <v>MIRACLE ABADI</v>
      </c>
      <c r="AO23" t="e">
        <f t="shared" ca="1" si="0"/>
        <v>#N/A</v>
      </c>
      <c r="AR23" s="45" t="s">
        <v>159</v>
      </c>
    </row>
    <row r="24" spans="1:44">
      <c r="A24" s="3">
        <v>24</v>
      </c>
      <c r="C24">
        <f>INDEX(NOTA[//DB],Sheet1!A:A)</f>
        <v>1883</v>
      </c>
      <c r="D24">
        <f>MATCH(Table17[[#This Row],[//db]],[3]!Table2[\\],0)</f>
        <v>1514</v>
      </c>
      <c r="E24" t="str">
        <f>INDEX([3]!db[NB NOTA],Table17[[#This Row],[//db]])</f>
        <v>KERTAS CREPE SMALL JERSY MP</v>
      </c>
      <c r="F24" t="str">
        <f>INDEX([3]!db[NB BM],Table17[[#This Row],[//db]])</f>
        <v>KERTAS KREP JERSY MP KECIL</v>
      </c>
      <c r="G24" t="str">
        <f>_xlfn.IFNA(INDEX([3]!Table2[NAMA],Table17[[#This Row],[dbconcat]]),"")</f>
        <v>KERTAS KREP JERSY M/P KECIL</v>
      </c>
      <c r="H24" t="str">
        <f>INDEX([3]!Table2[KODE BARANG],Table17[[#This Row],[dbconcat]])</f>
        <v>KRE-NB2</v>
      </c>
      <c r="I24" t="str">
        <f>IF(Table17[[#This Row],[Column3]]="",UPPER(Table17[[#This Row],[Column1]]),Table17[[#This Row],[Column3]])</f>
        <v>KERTAS KREP JERSY M/P KECIL</v>
      </c>
      <c r="J24">
        <f>INDEX(NOTA[C],Sheet1!A:A)</f>
        <v>6</v>
      </c>
      <c r="K24">
        <f>IF(OR(Table17[[#This Row],[Column5]]=0,Table17[[#This Row],[Column3]]=""),"",INDEX([3]!Table2[ISI2],Table17[[#This Row],[dbconcat]]))</f>
        <v>235</v>
      </c>
      <c r="L24" t="str">
        <f>IF(Table17[[#This Row],[isis]]="","",INDEX([3]!Table2[SATUAN3],Table17[[#This Row],[dbconcat]]))</f>
        <v>PAK</v>
      </c>
      <c r="M24" t="str">
        <f>IF(Table17[[#This Row],[Column5]]=0,"",IF(Table17[[#This Row],[Column3]]="",INDEX([3]!db[QTY B],Table17[[#This Row],[//db]]),""))</f>
        <v/>
      </c>
      <c r="N24" t="str">
        <f>IF(Table17[[#This Row],[isin]]="","",INDEX([3]!db[STN B],Table17[[#This Row],[//db]]))</f>
        <v/>
      </c>
      <c r="O24" t="str">
        <f>IF(AND(Table17[[#This Row],[isis]]="",Table17[[#This Row],[isin]]=""),INDEX(NOTA[QTY],Sheet1!A:A)/IF(Table17[[#This Row],[Column5]]=0,1,Table17[[#This Row],[Column5]]),"")</f>
        <v/>
      </c>
      <c r="P24" t="str">
        <f>IF(Table17[[#This Row],[Column2]]="","",INDEX(NOTA[STN],Sheet1!A:A))</f>
        <v/>
      </c>
      <c r="Q24" s="5" t="str">
        <f>INDEX([3]!db[QTY B],Table17[[#This Row],[//db]])</f>
        <v>235</v>
      </c>
      <c r="R24" t="str">
        <f>INDEX([3]!db[STN B],Table17[[#This Row],[//db]])</f>
        <v>PAK</v>
      </c>
      <c r="S24" s="40" t="str">
        <f>IF(Table17[[#This Row],[Column5]]=0,Table17[[#This Row],[Column23]]/Table17[[#This Row],[Column224]],"")</f>
        <v/>
      </c>
      <c r="T24" s="4">
        <f>IF(Table17[[#This Row],[Column222]]="",Table17[[#This Row],[Column5]],Table17[[#This Row],[Column222]])</f>
        <v>6</v>
      </c>
      <c r="U24" s="4" t="str">
        <f>IF(Table17[[#This Row],[Column223]]=Table17[[#This Row],[Column24]],"",1)</f>
        <v/>
      </c>
      <c r="V24" s="5">
        <f>IF(Table17[[#This Row],[isis]]="",IF(Table17[[#This Row],[isin]]="",Table17[[#This Row],[Column2]],Table17[[#This Row],[isin]]),Table17[[#This Row],[isis]])</f>
        <v>235</v>
      </c>
      <c r="W24" s="3" t="str">
        <f>IF(Table17[[#This Row],[isis]]="",IF(Table17[[#This Row],[isin]]="",Table17[[#This Row],[Column22]],Table17[[#This Row],[stnn]]),Table17[[#This Row],[stns]])</f>
        <v>PAK</v>
      </c>
      <c r="X24" s="5">
        <f>IF(Table17[[#This Row],[Column2222]]&lt;1,Table17[[#This Row],[Column23]],Table17[[#This Row],[Column23]]*Table17[[#This Row],[Column2222]])</f>
        <v>1410</v>
      </c>
      <c r="Y24" s="3" t="str">
        <f>Table17[[#This Row],[Column24]]</f>
        <v>PAK</v>
      </c>
      <c r="Z24" s="5">
        <f>Table17[[#This Row],[HRG / CTN]]/Table17[[#This Row],[Column23]]</f>
        <v>5750</v>
      </c>
      <c r="AA24" s="42" t="str">
        <f>IF(INDEX(NOTA[DISC 1],Sheet1!A:A)=0,"",INDEX(NOTA[DISC 1],Sheet1!A:A))</f>
        <v/>
      </c>
      <c r="AB24" s="42" t="str">
        <f>IF(INDEX(NOTA[DISC 2],Sheet1!A:A)=0,"",INDEX(NOTA[DISC 2],Sheet1!A:A))</f>
        <v/>
      </c>
      <c r="AC2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4" s="43">
        <f>INDEX(NOTA[HARGA/ CTN_H],Sheet1!A:A)</f>
        <v>1351250</v>
      </c>
      <c r="AE24" s="43">
        <f>IF(Table17[[#This Row],[DISC 3]]="",Table17[[#This Row],[HRG / CTN]],Table17[[#This Row],[HRG / CTN]]-(Table17[[#This Row],[HRG / CTN]]*Table17[[#This Row],[DISC 3]]))</f>
        <v>1351250</v>
      </c>
      <c r="AF24" s="14">
        <f>IF(Table17[[#This Row],[Column2222]]&lt;1,Table17[[#This Row],[Column9]],Table17[[#This Row],[Column9]]*Table17[[#This Row],[Column2222]])</f>
        <v>8107500</v>
      </c>
      <c r="AG24" s="43" t="e">
        <f ca="1">IF(NOT(AL25=Table17[[#This Row],[Column6]]),SUMIF(Table17[Column6],Table17[[#This Row],[Column6]],Table17[Column7]),"")</f>
        <v>#N/A</v>
      </c>
      <c r="AH24" s="44">
        <f ca="1">INDEX(NOTA[TGL_H],Sheet1!A:A)</f>
        <v>45441</v>
      </c>
      <c r="AI24" s="44">
        <f ca="1">INDEX(NOTA[TGL.NOTA_H],Sheet1!A:A)</f>
        <v>45440</v>
      </c>
      <c r="AK24" t="str">
        <f>IF(INDEX(NOTA[KETERANGAN],A:A)="","",INDEX(NOTA[KETERANGAN],A:A))</f>
        <v/>
      </c>
      <c r="AL24">
        <f ca="1">INDEX(NOTA[NO.NOTA_H],Sheet1!A:A)</f>
        <v>0</v>
      </c>
      <c r="AM24">
        <f>INDEX(NOTA[KETERANGAN],Sheet1!A:A)</f>
        <v>0</v>
      </c>
      <c r="AN24" t="str">
        <f ca="1">INDEX(NOTA[SUPPLIER_H],Sheet1!A:A)</f>
        <v>MIRACLE ABADI</v>
      </c>
      <c r="AO24" t="e">
        <f t="shared" ca="1" si="0"/>
        <v>#N/A</v>
      </c>
      <c r="AR24" s="45" t="s">
        <v>160</v>
      </c>
    </row>
    <row r="25" spans="1:44">
      <c r="A25" s="3">
        <v>26</v>
      </c>
      <c r="C25">
        <f>INDEX(NOTA[//DB],Sheet1!A:A)</f>
        <v>3169</v>
      </c>
      <c r="D25">
        <f>MATCH(Table17[[#This Row],[//db]],[3]!Table2[\\],0)</f>
        <v>2242</v>
      </c>
      <c r="E25" t="str">
        <f>INDEX([3]!db[NB NOTA],Table17[[#This Row],[//db]])</f>
        <v>WHITE BOARD XG POLOS 2S/ 20X30</v>
      </c>
      <c r="F25" t="str">
        <f>INDEX([3]!db[NB BM],Table17[[#This Row],[//db]])</f>
        <v>Papan White Board XG Polos 20 x 30</v>
      </c>
      <c r="G25" t="str">
        <f>_xlfn.IFNA(INDEX([3]!Table2[NAMA],Table17[[#This Row],[dbconcat]]),"")</f>
        <v>PAPAN WHITE BOARD XG POLOS 20 X 30</v>
      </c>
      <c r="H25" t="str">
        <f>INDEX([3]!Table2[KODE BARANG],Table17[[#This Row],[dbconcat]])</f>
        <v>PAP-NB1</v>
      </c>
      <c r="I25" t="str">
        <f>IF(Table17[[#This Row],[Column3]]="",UPPER(Table17[[#This Row],[Column1]]),Table17[[#This Row],[Column3]])</f>
        <v>PAPAN WHITE BOARD XG POLOS 20 X 30</v>
      </c>
      <c r="J25">
        <f>INDEX(NOTA[C],Sheet1!A:A)</f>
        <v>5</v>
      </c>
      <c r="K25">
        <f>IF(OR(Table17[[#This Row],[Column5]]=0,Table17[[#This Row],[Column3]]=""),"",INDEX([3]!Table2[ISI2],Table17[[#This Row],[dbconcat]]))</f>
        <v>96</v>
      </c>
      <c r="L25" t="str">
        <f>IF(Table17[[#This Row],[isis]]="","",INDEX([3]!Table2[SATUAN3],Table17[[#This Row],[dbconcat]]))</f>
        <v>PCS</v>
      </c>
      <c r="M25" t="str">
        <f>IF(Table17[[#This Row],[Column5]]=0,"",IF(Table17[[#This Row],[Column3]]="",INDEX([3]!db[QTY B],Table17[[#This Row],[//db]]),""))</f>
        <v/>
      </c>
      <c r="N25" t="str">
        <f>IF(Table17[[#This Row],[isin]]="","",INDEX([3]!db[STN B],Table17[[#This Row],[//db]]))</f>
        <v/>
      </c>
      <c r="O25" t="str">
        <f>IF(AND(Table17[[#This Row],[isis]]="",Table17[[#This Row],[isin]]=""),INDEX(NOTA[QTY],Sheet1!A:A)/IF(Table17[[#This Row],[Column5]]=0,1,Table17[[#This Row],[Column5]]),"")</f>
        <v/>
      </c>
      <c r="P25" t="str">
        <f>IF(Table17[[#This Row],[Column2]]="","",INDEX(NOTA[STN],Sheet1!A:A))</f>
        <v/>
      </c>
      <c r="Q25" s="5" t="str">
        <f>INDEX([3]!db[QTY B],Table17[[#This Row],[//db]])</f>
        <v>96</v>
      </c>
      <c r="R25" t="str">
        <f>INDEX([3]!db[STN B],Table17[[#This Row],[//db]])</f>
        <v>PCS</v>
      </c>
      <c r="S25" s="40" t="str">
        <f>IF(Table17[[#This Row],[Column5]]=0,Table17[[#This Row],[Column23]]/Table17[[#This Row],[Column224]],"")</f>
        <v/>
      </c>
      <c r="T25" s="4">
        <f>IF(Table17[[#This Row],[Column222]]="",Table17[[#This Row],[Column5]],Table17[[#This Row],[Column222]])</f>
        <v>5</v>
      </c>
      <c r="U25" s="4" t="str">
        <f>IF(Table17[[#This Row],[Column223]]=Table17[[#This Row],[Column24]],"",1)</f>
        <v/>
      </c>
      <c r="V25" s="5">
        <f>IF(Table17[[#This Row],[isis]]="",IF(Table17[[#This Row],[isin]]="",Table17[[#This Row],[Column2]],Table17[[#This Row],[isin]]),Table17[[#This Row],[isis]])</f>
        <v>96</v>
      </c>
      <c r="W25" s="3" t="str">
        <f>IF(Table17[[#This Row],[isis]]="",IF(Table17[[#This Row],[isin]]="",Table17[[#This Row],[Column22]],Table17[[#This Row],[stnn]]),Table17[[#This Row],[stns]])</f>
        <v>PCS</v>
      </c>
      <c r="X25" s="5">
        <f>IF(Table17[[#This Row],[Column2222]]&lt;1,Table17[[#This Row],[Column23]],Table17[[#This Row],[Column23]]*Table17[[#This Row],[Column2222]])</f>
        <v>480</v>
      </c>
      <c r="Y25" s="3" t="str">
        <f>Table17[[#This Row],[Column24]]</f>
        <v>PCS</v>
      </c>
      <c r="Z25" s="5">
        <f>Table17[[#This Row],[HRG / CTN]]/Table17[[#This Row],[Column23]]</f>
        <v>15200</v>
      </c>
      <c r="AA25" s="42" t="str">
        <f>IF(INDEX(NOTA[DISC 1],Sheet1!A:A)=0,"",INDEX(NOTA[DISC 1],Sheet1!A:A))</f>
        <v/>
      </c>
      <c r="AB25" s="42" t="str">
        <f>IF(INDEX(NOTA[DISC 2],Sheet1!A:A)=0,"",INDEX(NOTA[DISC 2],Sheet1!A:A))</f>
        <v/>
      </c>
      <c r="AC2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5" s="43">
        <f>INDEX(NOTA[HARGA/ CTN_H],Sheet1!A:A)</f>
        <v>1459200</v>
      </c>
      <c r="AE25" s="43">
        <f>IF(Table17[[#This Row],[DISC 3]]="",Table17[[#This Row],[HRG / CTN]],Table17[[#This Row],[HRG / CTN]]-(Table17[[#This Row],[HRG / CTN]]*Table17[[#This Row],[DISC 3]]))</f>
        <v>1459200</v>
      </c>
      <c r="AF25" s="14">
        <f>IF(Table17[[#This Row],[Column2222]]&lt;1,Table17[[#This Row],[Column9]],Table17[[#This Row],[Column9]]*Table17[[#This Row],[Column2222]])</f>
        <v>7296000</v>
      </c>
      <c r="AG25" s="43" t="str">
        <f ca="1">IF(NOT(AL26=Table17[[#This Row],[Column6]]),SUMIF(Table17[Column6],Table17[[#This Row],[Column6]],Table17[Column7]),"")</f>
        <v/>
      </c>
      <c r="AH25" s="44">
        <f ca="1">INDEX(NOTA[TGL_H],Sheet1!A:A)</f>
        <v>45439</v>
      </c>
      <c r="AI25" s="44">
        <f ca="1">INDEX(NOTA[TGL.NOTA_H],Sheet1!A:A)</f>
        <v>45434</v>
      </c>
      <c r="AK25" t="str">
        <f>IF(INDEX(NOTA[KETERANGAN],A:A)="","",INDEX(NOTA[KETERANGAN],A:A))</f>
        <v/>
      </c>
      <c r="AL25" t="str">
        <f ca="1">INDEX(NOTA[NO.NOTA_H],Sheet1!A:A)</f>
        <v>WE0535B1</v>
      </c>
      <c r="AM25">
        <f>INDEX(NOTA[KETERANGAN],Sheet1!A:A)</f>
        <v>0</v>
      </c>
      <c r="AN25" t="str">
        <f ca="1">INDEX(NOTA[SUPPLIER_H],Sheet1!A:A)</f>
        <v>SBS</v>
      </c>
      <c r="AO25" t="e">
        <f t="shared" ca="1" si="0"/>
        <v>#N/A</v>
      </c>
      <c r="AR25" s="45" t="s">
        <v>161</v>
      </c>
    </row>
    <row r="26" spans="1:44">
      <c r="A26" s="3">
        <v>27</v>
      </c>
      <c r="C26">
        <f>INDEX(NOTA[//DB],Sheet1!A:A)</f>
        <v>3170</v>
      </c>
      <c r="D26">
        <f>MATCH(Table17[[#This Row],[//db]],[3]!Table2[\\],0)</f>
        <v>2243</v>
      </c>
      <c r="E26" t="str">
        <f>INDEX([3]!db[NB NOTA],Table17[[#This Row],[//db]])</f>
        <v>WHITE BOARD XG POLOS 2S/ 25X35</v>
      </c>
      <c r="F26" t="str">
        <f>INDEX([3]!db[NB BM],Table17[[#This Row],[//db]])</f>
        <v>Papan White Board XG Polos 25  x 35</v>
      </c>
      <c r="G26" t="str">
        <f>_xlfn.IFNA(INDEX([3]!Table2[NAMA],Table17[[#This Row],[dbconcat]]),"")</f>
        <v>PAPAN WHITE BOARD XG POLOS 25 X 35</v>
      </c>
      <c r="H26" t="str">
        <f>INDEX([3]!Table2[KODE BARANG],Table17[[#This Row],[dbconcat]])</f>
        <v>PAP-NB2</v>
      </c>
      <c r="I26" t="str">
        <f>IF(Table17[[#This Row],[Column3]]="",UPPER(Table17[[#This Row],[Column1]]),Table17[[#This Row],[Column3]])</f>
        <v>PAPAN WHITE BOARD XG POLOS 25 X 35</v>
      </c>
      <c r="J26">
        <f>INDEX(NOTA[C],Sheet1!A:A)</f>
        <v>5</v>
      </c>
      <c r="K26">
        <f>IF(OR(Table17[[#This Row],[Column5]]=0,Table17[[#This Row],[Column3]]=""),"",INDEX([3]!Table2[ISI2],Table17[[#This Row],[dbconcat]]))</f>
        <v>72</v>
      </c>
      <c r="L26" t="str">
        <f>IF(Table17[[#This Row],[isis]]="","",INDEX([3]!Table2[SATUAN3],Table17[[#This Row],[dbconcat]]))</f>
        <v>PCS</v>
      </c>
      <c r="M26" t="str">
        <f>IF(Table17[[#This Row],[Column5]]=0,"",IF(Table17[[#This Row],[Column3]]="",INDEX([3]!db[QTY B],Table17[[#This Row],[//db]]),""))</f>
        <v/>
      </c>
      <c r="N26" t="str">
        <f>IF(Table17[[#This Row],[isin]]="","",INDEX([3]!db[STN B],Table17[[#This Row],[//db]]))</f>
        <v/>
      </c>
      <c r="O26" t="str">
        <f>IF(AND(Table17[[#This Row],[isis]]="",Table17[[#This Row],[isin]]=""),INDEX(NOTA[QTY],Sheet1!A:A)/IF(Table17[[#This Row],[Column5]]=0,1,Table17[[#This Row],[Column5]]),"")</f>
        <v/>
      </c>
      <c r="P26" t="str">
        <f>IF(Table17[[#This Row],[Column2]]="","",INDEX(NOTA[STN],Sheet1!A:A))</f>
        <v/>
      </c>
      <c r="Q26" s="5" t="str">
        <f>INDEX([3]!db[QTY B],Table17[[#This Row],[//db]])</f>
        <v>72</v>
      </c>
      <c r="R26" t="str">
        <f>INDEX([3]!db[STN B],Table17[[#This Row],[//db]])</f>
        <v>PCS</v>
      </c>
      <c r="S26" s="40" t="str">
        <f>IF(Table17[[#This Row],[Column5]]=0,Table17[[#This Row],[Column23]]/Table17[[#This Row],[Column224]],"")</f>
        <v/>
      </c>
      <c r="T26" s="4">
        <f>IF(Table17[[#This Row],[Column222]]="",Table17[[#This Row],[Column5]],Table17[[#This Row],[Column222]])</f>
        <v>5</v>
      </c>
      <c r="U26" s="4" t="str">
        <f>IF(Table17[[#This Row],[Column223]]=Table17[[#This Row],[Column24]],"",1)</f>
        <v/>
      </c>
      <c r="V26" s="5">
        <f>IF(Table17[[#This Row],[isis]]="",IF(Table17[[#This Row],[isin]]="",Table17[[#This Row],[Column2]],Table17[[#This Row],[isin]]),Table17[[#This Row],[isis]])</f>
        <v>72</v>
      </c>
      <c r="W26" s="3" t="str">
        <f>IF(Table17[[#This Row],[isis]]="",IF(Table17[[#This Row],[isin]]="",Table17[[#This Row],[Column22]],Table17[[#This Row],[stnn]]),Table17[[#This Row],[stns]])</f>
        <v>PCS</v>
      </c>
      <c r="X26" s="5">
        <f>IF(Table17[[#This Row],[Column2222]]&lt;1,Table17[[#This Row],[Column23]],Table17[[#This Row],[Column23]]*Table17[[#This Row],[Column2222]])</f>
        <v>360</v>
      </c>
      <c r="Y26" s="3" t="str">
        <f>Table17[[#This Row],[Column24]]</f>
        <v>PCS</v>
      </c>
      <c r="Z26" s="5">
        <f>Table17[[#This Row],[HRG / CTN]]/Table17[[#This Row],[Column23]]</f>
        <v>19000</v>
      </c>
      <c r="AA26" s="42" t="str">
        <f>IF(INDEX(NOTA[DISC 1],Sheet1!A:A)=0,"",INDEX(NOTA[DISC 1],Sheet1!A:A))</f>
        <v/>
      </c>
      <c r="AB26" s="42" t="str">
        <f>IF(INDEX(NOTA[DISC 2],Sheet1!A:A)=0,"",INDEX(NOTA[DISC 2],Sheet1!A:A))</f>
        <v/>
      </c>
      <c r="AC2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6" s="43">
        <f>INDEX(NOTA[HARGA/ CTN_H],Sheet1!A:A)</f>
        <v>1368000</v>
      </c>
      <c r="AE26" s="43">
        <f>IF(Table17[[#This Row],[DISC 3]]="",Table17[[#This Row],[HRG / CTN]],Table17[[#This Row],[HRG / CTN]]-(Table17[[#This Row],[HRG / CTN]]*Table17[[#This Row],[DISC 3]]))</f>
        <v>1368000</v>
      </c>
      <c r="AF26" s="14">
        <f>IF(Table17[[#This Row],[Column2222]]&lt;1,Table17[[#This Row],[Column9]],Table17[[#This Row],[Column9]]*Table17[[#This Row],[Column2222]])</f>
        <v>6840000</v>
      </c>
      <c r="AG26" s="43">
        <f ca="1">IF(NOT(AL27=Table17[[#This Row],[Column6]]),SUMIF(Table17[Column6],Table17[[#This Row],[Column6]],Table17[Column7]),"")</f>
        <v>14136000</v>
      </c>
      <c r="AH26" s="44">
        <f ca="1">INDEX(NOTA[TGL_H],Sheet1!A:A)</f>
        <v>45439</v>
      </c>
      <c r="AI26" s="44">
        <f ca="1">INDEX(NOTA[TGL.NOTA_H],Sheet1!A:A)</f>
        <v>45434</v>
      </c>
      <c r="AK26" t="str">
        <f>IF(INDEX(NOTA[KETERANGAN],A:A)="","",INDEX(NOTA[KETERANGAN],A:A))</f>
        <v/>
      </c>
      <c r="AL26" t="str">
        <f ca="1">INDEX(NOTA[NO.NOTA_H],Sheet1!A:A)</f>
        <v>WE0535B1</v>
      </c>
      <c r="AM26">
        <f>INDEX(NOTA[KETERANGAN],Sheet1!A:A)</f>
        <v>0</v>
      </c>
      <c r="AN26" t="str">
        <f ca="1">INDEX(NOTA[SUPPLIER_H],Sheet1!A:A)</f>
        <v>SBS</v>
      </c>
      <c r="AO26" t="e">
        <f t="shared" ca="1" si="0"/>
        <v>#N/A</v>
      </c>
      <c r="AR26" s="45" t="s">
        <v>162</v>
      </c>
    </row>
    <row r="27" spans="1:44">
      <c r="A27" s="3">
        <v>29</v>
      </c>
      <c r="C27">
        <f>INDEX(NOTA[//DB],Sheet1!A:A)</f>
        <v>3406</v>
      </c>
      <c r="D27">
        <f>MATCH(Table17[[#This Row],[//db]],[3]!Table2[\\],0)</f>
        <v>342</v>
      </c>
      <c r="E27" t="str">
        <f>INDEX([3]!db[NB NOTA],Table17[[#This Row],[//db]])</f>
        <v>BINDER NOTE FANCY SLIP A5-1903CT/ VINTAGE</v>
      </c>
      <c r="F27" t="str">
        <f>INDEX([3]!db[NB BM],Table17[[#This Row],[//db]])</f>
        <v>BINDER NOTE FANCY SLIP A5-1903CT/ VINTAGE</v>
      </c>
      <c r="G27" t="str">
        <f>_xlfn.IFNA(INDEX([3]!Table2[NAMA],Table17[[#This Row],[dbconcat]]),"")</f>
        <v>BINDER NOTE FANCY SLIP A5-1903CT/ VINTAGE</v>
      </c>
      <c r="H27" t="str">
        <f>INDEX([3]!Table2[KODE BARANG],Table17[[#This Row],[dbconcat]])</f>
        <v>BIN-NB26</v>
      </c>
      <c r="I27" t="str">
        <f>IF(Table17[[#This Row],[Column3]]="",UPPER(Table17[[#This Row],[Column1]]),Table17[[#This Row],[Column3]])</f>
        <v>BINDER NOTE FANCY SLIP A5-1903CT/ VINTAGE</v>
      </c>
      <c r="J27">
        <f>INDEX(NOTA[C],Sheet1!A:A)</f>
        <v>2</v>
      </c>
      <c r="K27">
        <f>IF(OR(Table17[[#This Row],[Column5]]=0,Table17[[#This Row],[Column3]]=""),"",INDEX([3]!Table2[ISI2],Table17[[#This Row],[dbconcat]]))</f>
        <v>120</v>
      </c>
      <c r="L27" t="str">
        <f>IF(Table17[[#This Row],[isis]]="","",INDEX([3]!Table2[SATUAN3],Table17[[#This Row],[dbconcat]]))</f>
        <v>PCS</v>
      </c>
      <c r="M27" t="str">
        <f>IF(Table17[[#This Row],[Column5]]=0,"",IF(Table17[[#This Row],[Column3]]="",INDEX([3]!db[QTY B],Table17[[#This Row],[//db]]),""))</f>
        <v/>
      </c>
      <c r="N27" t="str">
        <f>IF(Table17[[#This Row],[isin]]="","",INDEX([3]!db[STN B],Table17[[#This Row],[//db]]))</f>
        <v/>
      </c>
      <c r="O27" t="str">
        <f>IF(AND(Table17[[#This Row],[isis]]="",Table17[[#This Row],[isin]]=""),INDEX(NOTA[QTY],Sheet1!A:A)/IF(Table17[[#This Row],[Column5]]=0,1,Table17[[#This Row],[Column5]]),"")</f>
        <v/>
      </c>
      <c r="P27" t="str">
        <f>IF(Table17[[#This Row],[Column2]]="","",INDEX(NOTA[STN],Sheet1!A:A))</f>
        <v/>
      </c>
      <c r="Q27" s="5" t="str">
        <f>INDEX([3]!db[QTY B],Table17[[#This Row],[//db]])</f>
        <v>120</v>
      </c>
      <c r="R27" t="str">
        <f>INDEX([3]!db[STN B],Table17[[#This Row],[//db]])</f>
        <v>PCS</v>
      </c>
      <c r="S27" s="40" t="str">
        <f>IF(Table17[[#This Row],[Column5]]=0,Table17[[#This Row],[Column23]]/Table17[[#This Row],[Column224]],"")</f>
        <v/>
      </c>
      <c r="T27" s="4">
        <f>IF(Table17[[#This Row],[Column222]]="",Table17[[#This Row],[Column5]],Table17[[#This Row],[Column222]])</f>
        <v>2</v>
      </c>
      <c r="U27" s="4" t="str">
        <f>IF(Table17[[#This Row],[Column223]]=Table17[[#This Row],[Column24]],"",1)</f>
        <v/>
      </c>
      <c r="V27" s="5">
        <f>IF(Table17[[#This Row],[isis]]="",IF(Table17[[#This Row],[isin]]="",Table17[[#This Row],[Column2]],Table17[[#This Row],[isin]]),Table17[[#This Row],[isis]])</f>
        <v>120</v>
      </c>
      <c r="W27" s="3" t="str">
        <f>IF(Table17[[#This Row],[isis]]="",IF(Table17[[#This Row],[isin]]="",Table17[[#This Row],[Column22]],Table17[[#This Row],[stnn]]),Table17[[#This Row],[stns]])</f>
        <v>PCS</v>
      </c>
      <c r="X27" s="5">
        <f>IF(Table17[[#This Row],[Column2222]]&lt;1,Table17[[#This Row],[Column23]],Table17[[#This Row],[Column23]]*Table17[[#This Row],[Column2222]])</f>
        <v>240</v>
      </c>
      <c r="Y27" s="3" t="str">
        <f>Table17[[#This Row],[Column24]]</f>
        <v>PCS</v>
      </c>
      <c r="Z27" s="5">
        <f>Table17[[#This Row],[HRG / CTN]]/Table17[[#This Row],[Column23]]</f>
        <v>9500</v>
      </c>
      <c r="AA27" s="42" t="str">
        <f>IF(INDEX(NOTA[DISC 1],Sheet1!A:A)=0,"",INDEX(NOTA[DISC 1],Sheet1!A:A))</f>
        <v/>
      </c>
      <c r="AB27" s="42" t="str">
        <f>IF(INDEX(NOTA[DISC 2],Sheet1!A:A)=0,"",INDEX(NOTA[DISC 2],Sheet1!A:A))</f>
        <v/>
      </c>
      <c r="AC2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7" s="43">
        <f>INDEX(NOTA[HARGA/ CTN_H],Sheet1!A:A)</f>
        <v>1140000</v>
      </c>
      <c r="AE27" s="43">
        <f>IF(Table17[[#This Row],[DISC 3]]="",Table17[[#This Row],[HRG / CTN]],Table17[[#This Row],[HRG / CTN]]-(Table17[[#This Row],[HRG / CTN]]*Table17[[#This Row],[DISC 3]]))</f>
        <v>1140000</v>
      </c>
      <c r="AF27" s="14">
        <f>IF(Table17[[#This Row],[Column2222]]&lt;1,Table17[[#This Row],[Column9]],Table17[[#This Row],[Column9]]*Table17[[#This Row],[Column2222]])</f>
        <v>2280000</v>
      </c>
      <c r="AG27" s="43" t="str">
        <f ca="1">IF(NOT(AL28=Table17[[#This Row],[Column6]]),SUMIF(Table17[Column6],Table17[[#This Row],[Column6]],Table17[Column7]),"")</f>
        <v/>
      </c>
      <c r="AH27" s="44">
        <f ca="1">INDEX(NOTA[TGL_H],Sheet1!A:A)</f>
        <v>45439</v>
      </c>
      <c r="AI27" s="44">
        <f ca="1">INDEX(NOTA[TGL.NOTA_H],Sheet1!A:A)</f>
        <v>45436</v>
      </c>
      <c r="AK27" t="str">
        <f>IF(INDEX(NOTA[KETERANGAN],A:A)="","",INDEX(NOTA[KETERANGAN],A:A))</f>
        <v/>
      </c>
      <c r="AL27" t="str">
        <f ca="1">INDEX(NOTA[NO.NOTA_H],Sheet1!A:A)</f>
        <v>WE0590B</v>
      </c>
      <c r="AM27">
        <f>INDEX(NOTA[KETERANGAN],Sheet1!A:A)</f>
        <v>0</v>
      </c>
      <c r="AN27" t="str">
        <f ca="1">INDEX(NOTA[SUPPLIER_H],Sheet1!A:A)</f>
        <v>SBS</v>
      </c>
      <c r="AO27" t="e">
        <f t="shared" ca="1" si="0"/>
        <v>#N/A</v>
      </c>
      <c r="AR27" s="45" t="s">
        <v>254</v>
      </c>
    </row>
    <row r="28" spans="1:44">
      <c r="A28" s="3">
        <v>30</v>
      </c>
      <c r="C28">
        <f>INDEX(NOTA[//DB],Sheet1!A:A)</f>
        <v>3407</v>
      </c>
      <c r="D28">
        <f>MATCH(Table17[[#This Row],[//db]],[3]!Table2[\\],0)</f>
        <v>343</v>
      </c>
      <c r="E28" t="str">
        <f>INDEX([3]!db[NB NOTA],Table17[[#This Row],[//db]])</f>
        <v>BINDER NOTE FANCY SLIP A5-19030C/ OLD CITY</v>
      </c>
      <c r="F28" t="str">
        <f>INDEX([3]!db[NB BM],Table17[[#This Row],[//db]])</f>
        <v>BINDER NOTE FANCY SLIP A5-19030C/ OLD CITY</v>
      </c>
      <c r="G28" t="str">
        <f>_xlfn.IFNA(INDEX([3]!Table2[NAMA],Table17[[#This Row],[dbconcat]]),"")</f>
        <v>BINDER NOTE FANCY SLIP A5-19030C/ OLD CITY</v>
      </c>
      <c r="H28" t="str">
        <f>INDEX([3]!Table2[KODE BARANG],Table17[[#This Row],[dbconcat]])</f>
        <v>BIN-NB27</v>
      </c>
      <c r="I28" t="str">
        <f>IF(Table17[[#This Row],[Column3]]="",UPPER(Table17[[#This Row],[Column1]]),Table17[[#This Row],[Column3]])</f>
        <v>BINDER NOTE FANCY SLIP A5-19030C/ OLD CITY</v>
      </c>
      <c r="J28">
        <f>INDEX(NOTA[C],Sheet1!A:A)</f>
        <v>2</v>
      </c>
      <c r="K28">
        <f>IF(OR(Table17[[#This Row],[Column5]]=0,Table17[[#This Row],[Column3]]=""),"",INDEX([3]!Table2[ISI2],Table17[[#This Row],[dbconcat]]))</f>
        <v>120</v>
      </c>
      <c r="L28" t="str">
        <f>IF(Table17[[#This Row],[isis]]="","",INDEX([3]!Table2[SATUAN3],Table17[[#This Row],[dbconcat]]))</f>
        <v>PCS</v>
      </c>
      <c r="M28" t="str">
        <f>IF(Table17[[#This Row],[Column5]]=0,"",IF(Table17[[#This Row],[Column3]]="",INDEX([3]!db[QTY B],Table17[[#This Row],[//db]]),""))</f>
        <v/>
      </c>
      <c r="N28" t="str">
        <f>IF(Table17[[#This Row],[isin]]="","",INDEX([3]!db[STN B],Table17[[#This Row],[//db]]))</f>
        <v/>
      </c>
      <c r="O28" t="str">
        <f>IF(AND(Table17[[#This Row],[isis]]="",Table17[[#This Row],[isin]]=""),INDEX(NOTA[QTY],Sheet1!A:A)/IF(Table17[[#This Row],[Column5]]=0,1,Table17[[#This Row],[Column5]]),"")</f>
        <v/>
      </c>
      <c r="P28" t="str">
        <f>IF(Table17[[#This Row],[Column2]]="","",INDEX(NOTA[STN],Sheet1!A:A))</f>
        <v/>
      </c>
      <c r="Q28" s="5" t="str">
        <f>INDEX([3]!db[QTY B],Table17[[#This Row],[//db]])</f>
        <v>120</v>
      </c>
      <c r="R28" t="str">
        <f>INDEX([3]!db[STN B],Table17[[#This Row],[//db]])</f>
        <v>PCS</v>
      </c>
      <c r="S28" s="40" t="str">
        <f>IF(Table17[[#This Row],[Column5]]=0,Table17[[#This Row],[Column23]]/Table17[[#This Row],[Column224]],"")</f>
        <v/>
      </c>
      <c r="T28" s="4">
        <f>IF(Table17[[#This Row],[Column222]]="",Table17[[#This Row],[Column5]],Table17[[#This Row],[Column222]])</f>
        <v>2</v>
      </c>
      <c r="U28" s="4" t="str">
        <f>IF(Table17[[#This Row],[Column223]]=Table17[[#This Row],[Column24]],"",1)</f>
        <v/>
      </c>
      <c r="V28" s="5">
        <f>IF(Table17[[#This Row],[isis]]="",IF(Table17[[#This Row],[isin]]="",Table17[[#This Row],[Column2]],Table17[[#This Row],[isin]]),Table17[[#This Row],[isis]])</f>
        <v>120</v>
      </c>
      <c r="W28" s="3" t="str">
        <f>IF(Table17[[#This Row],[isis]]="",IF(Table17[[#This Row],[isin]]="",Table17[[#This Row],[Column22]],Table17[[#This Row],[stnn]]),Table17[[#This Row],[stns]])</f>
        <v>PCS</v>
      </c>
      <c r="X28" s="5">
        <f>IF(Table17[[#This Row],[Column2222]]&lt;1,Table17[[#This Row],[Column23]],Table17[[#This Row],[Column23]]*Table17[[#This Row],[Column2222]])</f>
        <v>240</v>
      </c>
      <c r="Y28" s="3" t="str">
        <f>Table17[[#This Row],[Column24]]</f>
        <v>PCS</v>
      </c>
      <c r="Z28" s="5">
        <f>Table17[[#This Row],[HRG / CTN]]/Table17[[#This Row],[Column23]]</f>
        <v>9500</v>
      </c>
      <c r="AA28" s="42" t="str">
        <f>IF(INDEX(NOTA[DISC 1],Sheet1!A:A)=0,"",INDEX(NOTA[DISC 1],Sheet1!A:A))</f>
        <v/>
      </c>
      <c r="AB28" s="42" t="str">
        <f>IF(INDEX(NOTA[DISC 2],Sheet1!A:A)=0,"",INDEX(NOTA[DISC 2],Sheet1!A:A))</f>
        <v/>
      </c>
      <c r="AC2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8" s="43">
        <f>INDEX(NOTA[HARGA/ CTN_H],Sheet1!A:A)</f>
        <v>1140000</v>
      </c>
      <c r="AE28" s="43">
        <f>IF(Table17[[#This Row],[DISC 3]]="",Table17[[#This Row],[HRG / CTN]],Table17[[#This Row],[HRG / CTN]]-(Table17[[#This Row],[HRG / CTN]]*Table17[[#This Row],[DISC 3]]))</f>
        <v>1140000</v>
      </c>
      <c r="AF28" s="14">
        <f>IF(Table17[[#This Row],[Column2222]]&lt;1,Table17[[#This Row],[Column9]],Table17[[#This Row],[Column9]]*Table17[[#This Row],[Column2222]])</f>
        <v>2280000</v>
      </c>
      <c r="AG28" s="43" t="str">
        <f ca="1">IF(NOT(AL29=Table17[[#This Row],[Column6]]),SUMIF(Table17[Column6],Table17[[#This Row],[Column6]],Table17[Column7]),"")</f>
        <v/>
      </c>
      <c r="AH28" s="44">
        <f ca="1">INDEX(NOTA[TGL_H],Sheet1!A:A)</f>
        <v>45439</v>
      </c>
      <c r="AI28" s="44">
        <f ca="1">INDEX(NOTA[TGL.NOTA_H],Sheet1!A:A)</f>
        <v>45436</v>
      </c>
      <c r="AK28" t="str">
        <f>IF(INDEX(NOTA[KETERANGAN],A:A)="","",INDEX(NOTA[KETERANGAN],A:A))</f>
        <v/>
      </c>
      <c r="AL28" t="str">
        <f ca="1">INDEX(NOTA[NO.NOTA_H],Sheet1!A:A)</f>
        <v>WE0590B</v>
      </c>
      <c r="AM28">
        <f>INDEX(NOTA[KETERANGAN],Sheet1!A:A)</f>
        <v>0</v>
      </c>
      <c r="AN28" t="str">
        <f ca="1">INDEX(NOTA[SUPPLIER_H],Sheet1!A:A)</f>
        <v>SBS</v>
      </c>
      <c r="AO28" t="e">
        <f t="shared" ca="1" si="0"/>
        <v>#N/A</v>
      </c>
      <c r="AR28" s="45" t="s">
        <v>163</v>
      </c>
    </row>
    <row r="29" spans="1:44">
      <c r="A29" s="3">
        <v>31</v>
      </c>
      <c r="C29">
        <f>INDEX(NOTA[//DB],Sheet1!A:A)</f>
        <v>3408</v>
      </c>
      <c r="D29">
        <f>MATCH(Table17[[#This Row],[//db]],[3]!Table2[\\],0)</f>
        <v>344</v>
      </c>
      <c r="E29" t="str">
        <f>INDEX([3]!db[NB NOTA],Table17[[#This Row],[//db]])</f>
        <v>BINDER NOTE FANCY SLIP A5-1903SS/ SKY</v>
      </c>
      <c r="F29" t="str">
        <f>INDEX([3]!db[NB BM],Table17[[#This Row],[//db]])</f>
        <v>BINDER NOTE FANCY SLIP A5-1903SS/ SKY</v>
      </c>
      <c r="G29" t="str">
        <f>_xlfn.IFNA(INDEX([3]!Table2[NAMA],Table17[[#This Row],[dbconcat]]),"")</f>
        <v>BINDER NOTE FANCY SLIP A5-1903SS/ SKY</v>
      </c>
      <c r="H29" t="str">
        <f>INDEX([3]!Table2[KODE BARANG],Table17[[#This Row],[dbconcat]])</f>
        <v>BIN-NB28</v>
      </c>
      <c r="I29" t="str">
        <f>IF(Table17[[#This Row],[Column3]]="",UPPER(Table17[[#This Row],[Column1]]),Table17[[#This Row],[Column3]])</f>
        <v>BINDER NOTE FANCY SLIP A5-1903SS/ SKY</v>
      </c>
      <c r="J29">
        <f>INDEX(NOTA[C],Sheet1!A:A)</f>
        <v>2</v>
      </c>
      <c r="K29">
        <f>IF(OR(Table17[[#This Row],[Column5]]=0,Table17[[#This Row],[Column3]]=""),"",INDEX([3]!Table2[ISI2],Table17[[#This Row],[dbconcat]]))</f>
        <v>120</v>
      </c>
      <c r="L29" t="str">
        <f>IF(Table17[[#This Row],[isis]]="","",INDEX([3]!Table2[SATUAN3],Table17[[#This Row],[dbconcat]]))</f>
        <v>PCS</v>
      </c>
      <c r="M29" t="str">
        <f>IF(Table17[[#This Row],[Column5]]=0,"",IF(Table17[[#This Row],[Column3]]="",INDEX([3]!db[QTY B],Table17[[#This Row],[//db]]),""))</f>
        <v/>
      </c>
      <c r="N29" t="str">
        <f>IF(Table17[[#This Row],[isin]]="","",INDEX([3]!db[STN B],Table17[[#This Row],[//db]]))</f>
        <v/>
      </c>
      <c r="O29" t="str">
        <f>IF(AND(Table17[[#This Row],[isis]]="",Table17[[#This Row],[isin]]=""),INDEX(NOTA[QTY],Sheet1!A:A)/IF(Table17[[#This Row],[Column5]]=0,1,Table17[[#This Row],[Column5]]),"")</f>
        <v/>
      </c>
      <c r="P29" t="str">
        <f>IF(Table17[[#This Row],[Column2]]="","",INDEX(NOTA[STN],Sheet1!A:A))</f>
        <v/>
      </c>
      <c r="Q29" s="5" t="str">
        <f>INDEX([3]!db[QTY B],Table17[[#This Row],[//db]])</f>
        <v>120</v>
      </c>
      <c r="R29" t="str">
        <f>INDEX([3]!db[STN B],Table17[[#This Row],[//db]])</f>
        <v>PCS</v>
      </c>
      <c r="S29" s="40" t="str">
        <f>IF(Table17[[#This Row],[Column5]]=0,Table17[[#This Row],[Column23]]/Table17[[#This Row],[Column224]],"")</f>
        <v/>
      </c>
      <c r="T29" s="4">
        <f>IF(Table17[[#This Row],[Column222]]="",Table17[[#This Row],[Column5]],Table17[[#This Row],[Column222]])</f>
        <v>2</v>
      </c>
      <c r="U29" s="4" t="str">
        <f>IF(Table17[[#This Row],[Column223]]=Table17[[#This Row],[Column24]],"",1)</f>
        <v/>
      </c>
      <c r="V29" s="5">
        <f>IF(Table17[[#This Row],[isis]]="",IF(Table17[[#This Row],[isin]]="",Table17[[#This Row],[Column2]],Table17[[#This Row],[isin]]),Table17[[#This Row],[isis]])</f>
        <v>120</v>
      </c>
      <c r="W29" s="3" t="str">
        <f>IF(Table17[[#This Row],[isis]]="",IF(Table17[[#This Row],[isin]]="",Table17[[#This Row],[Column22]],Table17[[#This Row],[stnn]]),Table17[[#This Row],[stns]])</f>
        <v>PCS</v>
      </c>
      <c r="X29" s="5">
        <f>IF(Table17[[#This Row],[Column2222]]&lt;1,Table17[[#This Row],[Column23]],Table17[[#This Row],[Column23]]*Table17[[#This Row],[Column2222]])</f>
        <v>240</v>
      </c>
      <c r="Y29" s="3" t="str">
        <f>Table17[[#This Row],[Column24]]</f>
        <v>PCS</v>
      </c>
      <c r="Z29" s="5">
        <f>Table17[[#This Row],[HRG / CTN]]/Table17[[#This Row],[Column23]]</f>
        <v>9500</v>
      </c>
      <c r="AA29" s="42" t="str">
        <f>IF(INDEX(NOTA[DISC 1],Sheet1!A:A)=0,"",INDEX(NOTA[DISC 1],Sheet1!A:A))</f>
        <v/>
      </c>
      <c r="AB29" s="42" t="str">
        <f>IF(INDEX(NOTA[DISC 2],Sheet1!A:A)=0,"",INDEX(NOTA[DISC 2],Sheet1!A:A))</f>
        <v/>
      </c>
      <c r="AC2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9" s="43">
        <f>INDEX(NOTA[HARGA/ CTN_H],Sheet1!A:A)</f>
        <v>1140000</v>
      </c>
      <c r="AE29" s="43">
        <f>IF(Table17[[#This Row],[DISC 3]]="",Table17[[#This Row],[HRG / CTN]],Table17[[#This Row],[HRG / CTN]]-(Table17[[#This Row],[HRG / CTN]]*Table17[[#This Row],[DISC 3]]))</f>
        <v>1140000</v>
      </c>
      <c r="AF29" s="14">
        <f>IF(Table17[[#This Row],[Column2222]]&lt;1,Table17[[#This Row],[Column9]],Table17[[#This Row],[Column9]]*Table17[[#This Row],[Column2222]])</f>
        <v>2280000</v>
      </c>
      <c r="AG29" s="43" t="str">
        <f ca="1">IF(NOT(AL30=Table17[[#This Row],[Column6]]),SUMIF(Table17[Column6],Table17[[#This Row],[Column6]],Table17[Column7]),"")</f>
        <v/>
      </c>
      <c r="AH29" s="44">
        <f ca="1">INDEX(NOTA[TGL_H],Sheet1!A:A)</f>
        <v>45439</v>
      </c>
      <c r="AI29" s="44">
        <f ca="1">INDEX(NOTA[TGL.NOTA_H],Sheet1!A:A)</f>
        <v>45436</v>
      </c>
      <c r="AK29" t="str">
        <f>IF(INDEX(NOTA[KETERANGAN],A:A)="","",INDEX(NOTA[KETERANGAN],A:A))</f>
        <v/>
      </c>
      <c r="AL29" t="str">
        <f ca="1">INDEX(NOTA[NO.NOTA_H],Sheet1!A:A)</f>
        <v>WE0590B</v>
      </c>
      <c r="AM29">
        <f>INDEX(NOTA[KETERANGAN],Sheet1!A:A)</f>
        <v>0</v>
      </c>
      <c r="AN29" t="str">
        <f ca="1">INDEX(NOTA[SUPPLIER_H],Sheet1!A:A)</f>
        <v>SBS</v>
      </c>
      <c r="AO29" t="e">
        <f t="shared" ca="1" si="0"/>
        <v>#N/A</v>
      </c>
      <c r="AR29" s="45" t="s">
        <v>163</v>
      </c>
    </row>
    <row r="30" spans="1:44">
      <c r="A30" s="3">
        <v>32</v>
      </c>
      <c r="C30">
        <f>INDEX(NOTA[//DB],Sheet1!A:A)</f>
        <v>3409</v>
      </c>
      <c r="D30">
        <f>MATCH(Table17[[#This Row],[//db]],[3]!Table2[\\],0)</f>
        <v>345</v>
      </c>
      <c r="E30" t="str">
        <f>INDEX([3]!db[NB NOTA],Table17[[#This Row],[//db]])</f>
        <v>BINDER NOTE FANCY SLIP A5-SF 1925/ CUTE</v>
      </c>
      <c r="F30" t="str">
        <f>INDEX([3]!db[NB BM],Table17[[#This Row],[//db]])</f>
        <v>BINDER NOTE FANCY SLIP A5-SF 1925/ CUTE</v>
      </c>
      <c r="G30" t="str">
        <f>_xlfn.IFNA(INDEX([3]!Table2[NAMA],Table17[[#This Row],[dbconcat]]),"")</f>
        <v>BINDER NOTE FANCY SLIP A5-SF 1925/ CUTE</v>
      </c>
      <c r="H30" t="str">
        <f>INDEX([3]!Table2[KODE BARANG],Table17[[#This Row],[dbconcat]])</f>
        <v>BIN-NB29</v>
      </c>
      <c r="I30" t="str">
        <f>IF(Table17[[#This Row],[Column3]]="",UPPER(Table17[[#This Row],[Column1]]),Table17[[#This Row],[Column3]])</f>
        <v>BINDER NOTE FANCY SLIP A5-SF 1925/ CUTE</v>
      </c>
      <c r="J30">
        <f>INDEX(NOTA[C],Sheet1!A:A)</f>
        <v>2</v>
      </c>
      <c r="K30">
        <f>IF(OR(Table17[[#This Row],[Column5]]=0,Table17[[#This Row],[Column3]]=""),"",INDEX([3]!Table2[ISI2],Table17[[#This Row],[dbconcat]]))</f>
        <v>120</v>
      </c>
      <c r="L30" t="str">
        <f>IF(Table17[[#This Row],[isis]]="","",INDEX([3]!Table2[SATUAN3],Table17[[#This Row],[dbconcat]]))</f>
        <v>PCS</v>
      </c>
      <c r="M30" t="str">
        <f>IF(Table17[[#This Row],[Column5]]=0,"",IF(Table17[[#This Row],[Column3]]="",INDEX([3]!db[QTY B],Table17[[#This Row],[//db]]),""))</f>
        <v/>
      </c>
      <c r="N30" t="str">
        <f>IF(Table17[[#This Row],[isin]]="","",INDEX([3]!db[STN B],Table17[[#This Row],[//db]]))</f>
        <v/>
      </c>
      <c r="O30" t="str">
        <f>IF(AND(Table17[[#This Row],[isis]]="",Table17[[#This Row],[isin]]=""),INDEX(NOTA[QTY],Sheet1!A:A)/IF(Table17[[#This Row],[Column5]]=0,1,Table17[[#This Row],[Column5]]),"")</f>
        <v/>
      </c>
      <c r="P30" t="str">
        <f>IF(Table17[[#This Row],[Column2]]="","",INDEX(NOTA[STN],Sheet1!A:A))</f>
        <v/>
      </c>
      <c r="Q30" s="5" t="str">
        <f>INDEX([3]!db[QTY B],Table17[[#This Row],[//db]])</f>
        <v>120</v>
      </c>
      <c r="R30" t="str">
        <f>INDEX([3]!db[STN B],Table17[[#This Row],[//db]])</f>
        <v>PCS</v>
      </c>
      <c r="S30" s="40" t="str">
        <f>IF(Table17[[#This Row],[Column5]]=0,Table17[[#This Row],[Column23]]/Table17[[#This Row],[Column224]],"")</f>
        <v/>
      </c>
      <c r="T30" s="4">
        <f>IF(Table17[[#This Row],[Column222]]="",Table17[[#This Row],[Column5]],Table17[[#This Row],[Column222]])</f>
        <v>2</v>
      </c>
      <c r="U30" s="4" t="str">
        <f>IF(Table17[[#This Row],[Column223]]=Table17[[#This Row],[Column24]],"",1)</f>
        <v/>
      </c>
      <c r="V30" s="5">
        <f>IF(Table17[[#This Row],[isis]]="",IF(Table17[[#This Row],[isin]]="",Table17[[#This Row],[Column2]],Table17[[#This Row],[isin]]),Table17[[#This Row],[isis]])</f>
        <v>120</v>
      </c>
      <c r="W30" s="3" t="str">
        <f>IF(Table17[[#This Row],[isis]]="",IF(Table17[[#This Row],[isin]]="",Table17[[#This Row],[Column22]],Table17[[#This Row],[stnn]]),Table17[[#This Row],[stns]])</f>
        <v>PCS</v>
      </c>
      <c r="X30" s="5">
        <f>IF(Table17[[#This Row],[Column2222]]&lt;1,Table17[[#This Row],[Column23]],Table17[[#This Row],[Column23]]*Table17[[#This Row],[Column2222]])</f>
        <v>240</v>
      </c>
      <c r="Y30" s="3" t="str">
        <f>Table17[[#This Row],[Column24]]</f>
        <v>PCS</v>
      </c>
      <c r="Z30" s="5">
        <f>Table17[[#This Row],[HRG / CTN]]/Table17[[#This Row],[Column23]]</f>
        <v>9500</v>
      </c>
      <c r="AA30" s="42" t="str">
        <f>IF(INDEX(NOTA[DISC 1],Sheet1!A:A)=0,"",INDEX(NOTA[DISC 1],Sheet1!A:A))</f>
        <v/>
      </c>
      <c r="AB30" s="42" t="str">
        <f>IF(INDEX(NOTA[DISC 2],Sheet1!A:A)=0,"",INDEX(NOTA[DISC 2],Sheet1!A:A))</f>
        <v/>
      </c>
      <c r="AC3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0" s="43">
        <f>INDEX(NOTA[HARGA/ CTN_H],Sheet1!A:A)</f>
        <v>1140000</v>
      </c>
      <c r="AE30" s="43">
        <f>IF(Table17[[#This Row],[DISC 3]]="",Table17[[#This Row],[HRG / CTN]],Table17[[#This Row],[HRG / CTN]]-(Table17[[#This Row],[HRG / CTN]]*Table17[[#This Row],[DISC 3]]))</f>
        <v>1140000</v>
      </c>
      <c r="AF30" s="14">
        <f>IF(Table17[[#This Row],[Column2222]]&lt;1,Table17[[#This Row],[Column9]],Table17[[#This Row],[Column9]]*Table17[[#This Row],[Column2222]])</f>
        <v>2280000</v>
      </c>
      <c r="AG30" s="43" t="str">
        <f ca="1">IF(NOT(AL31=Table17[[#This Row],[Column6]]),SUMIF(Table17[Column6],Table17[[#This Row],[Column6]],Table17[Column7]),"")</f>
        <v/>
      </c>
      <c r="AH30" s="44">
        <f ca="1">INDEX(NOTA[TGL_H],Sheet1!A:A)</f>
        <v>45439</v>
      </c>
      <c r="AI30" s="44">
        <f ca="1">INDEX(NOTA[TGL.NOTA_H],Sheet1!A:A)</f>
        <v>45436</v>
      </c>
      <c r="AK30" t="str">
        <f>IF(INDEX(NOTA[KETERANGAN],A:A)="","",INDEX(NOTA[KETERANGAN],A:A))</f>
        <v/>
      </c>
      <c r="AL30" t="str">
        <f ca="1">INDEX(NOTA[NO.NOTA_H],Sheet1!A:A)</f>
        <v>WE0590B</v>
      </c>
      <c r="AM30">
        <f>INDEX(NOTA[KETERANGAN],Sheet1!A:A)</f>
        <v>0</v>
      </c>
      <c r="AN30" t="str">
        <f ca="1">INDEX(NOTA[SUPPLIER_H],Sheet1!A:A)</f>
        <v>SBS</v>
      </c>
      <c r="AO30" t="e">
        <f t="shared" ca="1" si="0"/>
        <v>#N/A</v>
      </c>
      <c r="AR30" s="45" t="s">
        <v>163</v>
      </c>
    </row>
    <row r="31" spans="1:44">
      <c r="A31" s="3">
        <v>33</v>
      </c>
      <c r="C31">
        <f>INDEX(NOTA[//DB],Sheet1!A:A)</f>
        <v>3410</v>
      </c>
      <c r="D31">
        <f>MATCH(Table17[[#This Row],[//db]],[3]!Table2[\\],0)</f>
        <v>346</v>
      </c>
      <c r="E31" t="str">
        <f>INDEX([3]!db[NB NOTA],Table17[[#This Row],[//db]])</f>
        <v>BINDER NOTE FANCY SLIP A5-SF 1925KM/ SR</v>
      </c>
      <c r="F31" t="str">
        <f>INDEX([3]!db[NB BM],Table17[[#This Row],[//db]])</f>
        <v>BINDER NOTE FANCY SLIP A5-SF 1925KM/ SR</v>
      </c>
      <c r="G31" t="str">
        <f>_xlfn.IFNA(INDEX([3]!Table2[NAMA],Table17[[#This Row],[dbconcat]]),"")</f>
        <v>BINDER NOTE FANCY SLIP A5-SF 1925KM/ SR</v>
      </c>
      <c r="H31" t="str">
        <f>INDEX([3]!Table2[KODE BARANG],Table17[[#This Row],[dbconcat]])</f>
        <v>BIN-NB30</v>
      </c>
      <c r="I31" t="str">
        <f>IF(Table17[[#This Row],[Column3]]="",UPPER(Table17[[#This Row],[Column1]]),Table17[[#This Row],[Column3]])</f>
        <v>BINDER NOTE FANCY SLIP A5-SF 1925KM/ SR</v>
      </c>
      <c r="J31">
        <f>INDEX(NOTA[C],Sheet1!A:A)</f>
        <v>5</v>
      </c>
      <c r="K31">
        <f>IF(OR(Table17[[#This Row],[Column5]]=0,Table17[[#This Row],[Column3]]=""),"",INDEX([3]!Table2[ISI2],Table17[[#This Row],[dbconcat]]))</f>
        <v>120</v>
      </c>
      <c r="L31" t="str">
        <f>IF(Table17[[#This Row],[isis]]="","",INDEX([3]!Table2[SATUAN3],Table17[[#This Row],[dbconcat]]))</f>
        <v>PCS</v>
      </c>
      <c r="M31" t="str">
        <f>IF(Table17[[#This Row],[Column5]]=0,"",IF(Table17[[#This Row],[Column3]]="",INDEX([3]!db[QTY B],Table17[[#This Row],[//db]]),""))</f>
        <v/>
      </c>
      <c r="N31" t="str">
        <f>IF(Table17[[#This Row],[isin]]="","",INDEX([3]!db[STN B],Table17[[#This Row],[//db]]))</f>
        <v/>
      </c>
      <c r="O31" t="str">
        <f>IF(AND(Table17[[#This Row],[isis]]="",Table17[[#This Row],[isin]]=""),INDEX(NOTA[QTY],Sheet1!A:A)/IF(Table17[[#This Row],[Column5]]=0,1,Table17[[#This Row],[Column5]]),"")</f>
        <v/>
      </c>
      <c r="P31" t="str">
        <f>IF(Table17[[#This Row],[Column2]]="","",INDEX(NOTA[STN],Sheet1!A:A))</f>
        <v/>
      </c>
      <c r="Q31" s="5" t="str">
        <f>INDEX([3]!db[QTY B],Table17[[#This Row],[//db]])</f>
        <v>120</v>
      </c>
      <c r="R31" t="str">
        <f>INDEX([3]!db[STN B],Table17[[#This Row],[//db]])</f>
        <v>PCS</v>
      </c>
      <c r="S31" s="40" t="str">
        <f>IF(Table17[[#This Row],[Column5]]=0,Table17[[#This Row],[Column23]]/Table17[[#This Row],[Column224]],"")</f>
        <v/>
      </c>
      <c r="T31" s="4">
        <f>IF(Table17[[#This Row],[Column222]]="",Table17[[#This Row],[Column5]],Table17[[#This Row],[Column222]])</f>
        <v>5</v>
      </c>
      <c r="U31" s="4" t="str">
        <f>IF(Table17[[#This Row],[Column223]]=Table17[[#This Row],[Column24]],"",1)</f>
        <v/>
      </c>
      <c r="V31" s="5">
        <f>IF(Table17[[#This Row],[isis]]="",IF(Table17[[#This Row],[isin]]="",Table17[[#This Row],[Column2]],Table17[[#This Row],[isin]]),Table17[[#This Row],[isis]])</f>
        <v>120</v>
      </c>
      <c r="W31" s="3" t="str">
        <f>IF(Table17[[#This Row],[isis]]="",IF(Table17[[#This Row],[isin]]="",Table17[[#This Row],[Column22]],Table17[[#This Row],[stnn]]),Table17[[#This Row],[stns]])</f>
        <v>PCS</v>
      </c>
      <c r="X31" s="5">
        <f>IF(Table17[[#This Row],[Column2222]]&lt;1,Table17[[#This Row],[Column23]],Table17[[#This Row],[Column23]]*Table17[[#This Row],[Column2222]])</f>
        <v>600</v>
      </c>
      <c r="Y31" s="3" t="str">
        <f>Table17[[#This Row],[Column24]]</f>
        <v>PCS</v>
      </c>
      <c r="Z31" s="5">
        <f>Table17[[#This Row],[HRG / CTN]]/Table17[[#This Row],[Column23]]</f>
        <v>9500</v>
      </c>
      <c r="AA31" s="42" t="str">
        <f>IF(INDEX(NOTA[DISC 1],Sheet1!A:A)=0,"",INDEX(NOTA[DISC 1],Sheet1!A:A))</f>
        <v/>
      </c>
      <c r="AB31" s="42" t="str">
        <f>IF(INDEX(NOTA[DISC 2],Sheet1!A:A)=0,"",INDEX(NOTA[DISC 2],Sheet1!A:A))</f>
        <v/>
      </c>
      <c r="AC3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1" s="43">
        <f>INDEX(NOTA[HARGA/ CTN_H],Sheet1!A:A)</f>
        <v>1140000</v>
      </c>
      <c r="AE31" s="43">
        <f>IF(Table17[[#This Row],[DISC 3]]="",Table17[[#This Row],[HRG / CTN]],Table17[[#This Row],[HRG / CTN]]-(Table17[[#This Row],[HRG / CTN]]*Table17[[#This Row],[DISC 3]]))</f>
        <v>1140000</v>
      </c>
      <c r="AF31" s="14">
        <f>IF(Table17[[#This Row],[Column2222]]&lt;1,Table17[[#This Row],[Column9]],Table17[[#This Row],[Column9]]*Table17[[#This Row],[Column2222]])</f>
        <v>5700000</v>
      </c>
      <c r="AG31" s="43" t="str">
        <f ca="1">IF(NOT(AL32=Table17[[#This Row],[Column6]]),SUMIF(Table17[Column6],Table17[[#This Row],[Column6]],Table17[Column7]),"")</f>
        <v/>
      </c>
      <c r="AH31" s="44">
        <f ca="1">INDEX(NOTA[TGL_H],Sheet1!A:A)</f>
        <v>45439</v>
      </c>
      <c r="AI31" s="44">
        <f ca="1">INDEX(NOTA[TGL.NOTA_H],Sheet1!A:A)</f>
        <v>45436</v>
      </c>
      <c r="AK31" t="str">
        <f>IF(INDEX(NOTA[KETERANGAN],A:A)="","",INDEX(NOTA[KETERANGAN],A:A))</f>
        <v/>
      </c>
      <c r="AL31" t="str">
        <f ca="1">INDEX(NOTA[NO.NOTA_H],Sheet1!A:A)</f>
        <v>WE0590B</v>
      </c>
      <c r="AM31">
        <f>INDEX(NOTA[KETERANGAN],Sheet1!A:A)</f>
        <v>0</v>
      </c>
      <c r="AN31" t="str">
        <f ca="1">INDEX(NOTA[SUPPLIER_H],Sheet1!A:A)</f>
        <v>SBS</v>
      </c>
      <c r="AO31" t="e">
        <f t="shared" ca="1" si="0"/>
        <v>#N/A</v>
      </c>
      <c r="AR31" s="45" t="s">
        <v>163</v>
      </c>
    </row>
    <row r="32" spans="1:44">
      <c r="A32" s="3">
        <v>34</v>
      </c>
      <c r="C32">
        <f>INDEX(NOTA[//DB],Sheet1!A:A)</f>
        <v>3411</v>
      </c>
      <c r="D32">
        <f>MATCH(Table17[[#This Row],[//db]],[3]!Table2[\\],0)</f>
        <v>347</v>
      </c>
      <c r="E32" t="str">
        <f>INDEX([3]!db[NB NOTA],Table17[[#This Row],[//db]])</f>
        <v>BINDER NOTE FANCY SLIP A5-SF 1926/ D</v>
      </c>
      <c r="F32" t="str">
        <f>INDEX([3]!db[NB BM],Table17[[#This Row],[//db]])</f>
        <v>BINDER NOTE FANCY SLIP A5-SF 1926/ D</v>
      </c>
      <c r="G32" t="str">
        <f>_xlfn.IFNA(INDEX([3]!Table2[NAMA],Table17[[#This Row],[dbconcat]]),"")</f>
        <v>BINDER NOTE FANCY SLIP A5-SF 1926/ D</v>
      </c>
      <c r="H32" t="str">
        <f>INDEX([3]!Table2[KODE BARANG],Table17[[#This Row],[dbconcat]])</f>
        <v>BIN-NB31</v>
      </c>
      <c r="I32" t="str">
        <f>IF(Table17[[#This Row],[Column3]]="",UPPER(Table17[[#This Row],[Column1]]),Table17[[#This Row],[Column3]])</f>
        <v>BINDER NOTE FANCY SLIP A5-SF 1926/ D</v>
      </c>
      <c r="J32">
        <f>INDEX(NOTA[C],Sheet1!A:A)</f>
        <v>2</v>
      </c>
      <c r="K32">
        <f>IF(OR(Table17[[#This Row],[Column5]]=0,Table17[[#This Row],[Column3]]=""),"",INDEX([3]!Table2[ISI2],Table17[[#This Row],[dbconcat]]))</f>
        <v>120</v>
      </c>
      <c r="L32" t="str">
        <f>IF(Table17[[#This Row],[isis]]="","",INDEX([3]!Table2[SATUAN3],Table17[[#This Row],[dbconcat]]))</f>
        <v>PCS</v>
      </c>
      <c r="M32" t="str">
        <f>IF(Table17[[#This Row],[Column5]]=0,"",IF(Table17[[#This Row],[Column3]]="",INDEX([3]!db[QTY B],Table17[[#This Row],[//db]]),""))</f>
        <v/>
      </c>
      <c r="N32" t="str">
        <f>IF(Table17[[#This Row],[isin]]="","",INDEX([3]!db[STN B],Table17[[#This Row],[//db]]))</f>
        <v/>
      </c>
      <c r="O32" t="str">
        <f>IF(AND(Table17[[#This Row],[isis]]="",Table17[[#This Row],[isin]]=""),INDEX(NOTA[QTY],Sheet1!A:A)/IF(Table17[[#This Row],[Column5]]=0,1,Table17[[#This Row],[Column5]]),"")</f>
        <v/>
      </c>
      <c r="P32" t="str">
        <f>IF(Table17[[#This Row],[Column2]]="","",INDEX(NOTA[STN],Sheet1!A:A))</f>
        <v/>
      </c>
      <c r="Q32" s="5" t="str">
        <f>INDEX([3]!db[QTY B],Table17[[#This Row],[//db]])</f>
        <v>120</v>
      </c>
      <c r="R32" t="str">
        <f>INDEX([3]!db[STN B],Table17[[#This Row],[//db]])</f>
        <v>PCS</v>
      </c>
      <c r="S32" s="40" t="str">
        <f>IF(Table17[[#This Row],[Column5]]=0,Table17[[#This Row],[Column23]]/Table17[[#This Row],[Column224]],"")</f>
        <v/>
      </c>
      <c r="T32" s="4">
        <f>IF(Table17[[#This Row],[Column222]]="",Table17[[#This Row],[Column5]],Table17[[#This Row],[Column222]])</f>
        <v>2</v>
      </c>
      <c r="U32" s="4" t="str">
        <f>IF(Table17[[#This Row],[Column223]]=Table17[[#This Row],[Column24]],"",1)</f>
        <v/>
      </c>
      <c r="V32" s="5">
        <f>IF(Table17[[#This Row],[isis]]="",IF(Table17[[#This Row],[isin]]="",Table17[[#This Row],[Column2]],Table17[[#This Row],[isin]]),Table17[[#This Row],[isis]])</f>
        <v>120</v>
      </c>
      <c r="W32" s="3" t="str">
        <f>IF(Table17[[#This Row],[isis]]="",IF(Table17[[#This Row],[isin]]="",Table17[[#This Row],[Column22]],Table17[[#This Row],[stnn]]),Table17[[#This Row],[stns]])</f>
        <v>PCS</v>
      </c>
      <c r="X32" s="5">
        <f>IF(Table17[[#This Row],[Column2222]]&lt;1,Table17[[#This Row],[Column23]],Table17[[#This Row],[Column23]]*Table17[[#This Row],[Column2222]])</f>
        <v>240</v>
      </c>
      <c r="Y32" s="3" t="str">
        <f>Table17[[#This Row],[Column24]]</f>
        <v>PCS</v>
      </c>
      <c r="Z32" s="5">
        <f>Table17[[#This Row],[HRG / CTN]]/Table17[[#This Row],[Column23]]</f>
        <v>9500</v>
      </c>
      <c r="AA32" s="42" t="str">
        <f>IF(INDEX(NOTA[DISC 1],Sheet1!A:A)=0,"",INDEX(NOTA[DISC 1],Sheet1!A:A))</f>
        <v/>
      </c>
      <c r="AB32" s="42" t="str">
        <f>IF(INDEX(NOTA[DISC 2],Sheet1!A:A)=0,"",INDEX(NOTA[DISC 2],Sheet1!A:A))</f>
        <v/>
      </c>
      <c r="AC3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2" s="43">
        <f>INDEX(NOTA[HARGA/ CTN_H],Sheet1!A:A)</f>
        <v>1140000</v>
      </c>
      <c r="AE32" s="43">
        <f>IF(Table17[[#This Row],[DISC 3]]="",Table17[[#This Row],[HRG / CTN]],Table17[[#This Row],[HRG / CTN]]-(Table17[[#This Row],[HRG / CTN]]*Table17[[#This Row],[DISC 3]]))</f>
        <v>1140000</v>
      </c>
      <c r="AF32" s="14">
        <f>IF(Table17[[#This Row],[Column2222]]&lt;1,Table17[[#This Row],[Column9]],Table17[[#This Row],[Column9]]*Table17[[#This Row],[Column2222]])</f>
        <v>2280000</v>
      </c>
      <c r="AG32" s="43">
        <f ca="1">IF(NOT(AL33=Table17[[#This Row],[Column6]]),SUMIF(Table17[Column6],Table17[[#This Row],[Column6]],Table17[Column7]),"")</f>
        <v>17100000</v>
      </c>
      <c r="AH32" s="44">
        <f ca="1">INDEX(NOTA[TGL_H],Sheet1!A:A)</f>
        <v>45439</v>
      </c>
      <c r="AI32" s="44">
        <f ca="1">INDEX(NOTA[TGL.NOTA_H],Sheet1!A:A)</f>
        <v>45436</v>
      </c>
      <c r="AK32" t="str">
        <f>IF(INDEX(NOTA[KETERANGAN],A:A)="","",INDEX(NOTA[KETERANGAN],A:A))</f>
        <v/>
      </c>
      <c r="AL32" t="str">
        <f ca="1">INDEX(NOTA[NO.NOTA_H],Sheet1!A:A)</f>
        <v>WE0590B</v>
      </c>
      <c r="AM32">
        <f>INDEX(NOTA[KETERANGAN],Sheet1!A:A)</f>
        <v>0</v>
      </c>
      <c r="AN32" t="str">
        <f ca="1">INDEX(NOTA[SUPPLIER_H],Sheet1!A:A)</f>
        <v>SBS</v>
      </c>
      <c r="AO32" t="e">
        <f t="shared" ca="1" si="0"/>
        <v>#N/A</v>
      </c>
      <c r="AR32" s="45" t="s">
        <v>163</v>
      </c>
    </row>
    <row r="33" spans="1:44">
      <c r="A33" s="3">
        <v>36</v>
      </c>
      <c r="C33">
        <f>INDEX(NOTA[//DB],Sheet1!A:A)</f>
        <v>3412</v>
      </c>
      <c r="D33" t="e">
        <f>MATCH(Table17[[#This Row],[//db]],[3]!Table2[\\],0)</f>
        <v>#N/A</v>
      </c>
      <c r="E33" t="str">
        <f>INDEX([3]!db[NB NOTA],Table17[[#This Row],[//db]])</f>
        <v>L L GASTA A5 100GRAM VINTAGE</v>
      </c>
      <c r="F33" t="str">
        <f>INDEX([3]!db[NB BM],Table17[[#This Row],[//db]])</f>
        <v>LOOSE LEAF A5 GASTA 100GRAM VINTAGE</v>
      </c>
      <c r="G33" t="str">
        <f>_xlfn.IFNA(INDEX([3]!Table2[NAMA],Table17[[#This Row],[dbconcat]]),"")</f>
        <v/>
      </c>
      <c r="H33" t="e">
        <f>INDEX([3]!Table2[KODE BARANG],Table17[[#This Row],[dbconcat]])</f>
        <v>#N/A</v>
      </c>
      <c r="I33" t="str">
        <f>IF(Table17[[#This Row],[Column3]]="",UPPER(Table17[[#This Row],[Column1]]),Table17[[#This Row],[Column3]])</f>
        <v>LOOSE LEAF A5 GASTA 100GRAM VINTAGE</v>
      </c>
      <c r="J33">
        <f>INDEX(NOTA[C],Sheet1!A:A)</f>
        <v>2</v>
      </c>
      <c r="K33" t="str">
        <f>IF(OR(Table17[[#This Row],[Column5]]=0,Table17[[#This Row],[Column3]]=""),"",INDEX([3]!Table2[ISI2],Table17[[#This Row],[dbconcat]]))</f>
        <v/>
      </c>
      <c r="L33" t="str">
        <f>IF(Table17[[#This Row],[isis]]="","",INDEX([3]!Table2[SATUAN3],Table17[[#This Row],[dbconcat]]))</f>
        <v/>
      </c>
      <c r="M33" t="str">
        <f>IF(Table17[[#This Row],[Column5]]=0,"",IF(Table17[[#This Row],[Column3]]="",INDEX([3]!db[QTY B],Table17[[#This Row],[//db]]),""))</f>
        <v>360</v>
      </c>
      <c r="N33" t="str">
        <f>IF(Table17[[#This Row],[isin]]="","",INDEX([3]!db[STN B],Table17[[#This Row],[//db]]))</f>
        <v>PAK</v>
      </c>
      <c r="O33" t="str">
        <f>IF(AND(Table17[[#This Row],[isis]]="",Table17[[#This Row],[isin]]=""),INDEX(NOTA[QTY],Sheet1!A:A)/IF(Table17[[#This Row],[Column5]]=0,1,Table17[[#This Row],[Column5]]),"")</f>
        <v/>
      </c>
      <c r="P33" t="str">
        <f>IF(Table17[[#This Row],[Column2]]="","",INDEX(NOTA[STN],Sheet1!A:A))</f>
        <v/>
      </c>
      <c r="Q33" s="5" t="str">
        <f>INDEX([3]!db[QTY B],Table17[[#This Row],[//db]])</f>
        <v>360</v>
      </c>
      <c r="R33" t="str">
        <f>INDEX([3]!db[STN B],Table17[[#This Row],[//db]])</f>
        <v>PAK</v>
      </c>
      <c r="S33" s="40" t="str">
        <f>IF(Table17[[#This Row],[Column5]]=0,Table17[[#This Row],[Column23]]/Table17[[#This Row],[Column224]],"")</f>
        <v/>
      </c>
      <c r="T33" s="4">
        <f>IF(Table17[[#This Row],[Column222]]="",Table17[[#This Row],[Column5]],Table17[[#This Row],[Column222]])</f>
        <v>2</v>
      </c>
      <c r="U33" s="4" t="str">
        <f>IF(Table17[[#This Row],[Column223]]=Table17[[#This Row],[Column24]],"",1)</f>
        <v/>
      </c>
      <c r="V33" s="5" t="str">
        <f>IF(Table17[[#This Row],[isis]]="",IF(Table17[[#This Row],[isin]]="",Table17[[#This Row],[Column2]],Table17[[#This Row],[isin]]),Table17[[#This Row],[isis]])</f>
        <v>360</v>
      </c>
      <c r="W33" s="3" t="str">
        <f>IF(Table17[[#This Row],[isis]]="",IF(Table17[[#This Row],[isin]]="",Table17[[#This Row],[Column22]],Table17[[#This Row],[stnn]]),Table17[[#This Row],[stns]])</f>
        <v>PAK</v>
      </c>
      <c r="X33" s="5">
        <f>IF(Table17[[#This Row],[Column2222]]&lt;1,Table17[[#This Row],[Column23]],Table17[[#This Row],[Column23]]*Table17[[#This Row],[Column2222]])</f>
        <v>720</v>
      </c>
      <c r="Y33" s="3" t="str">
        <f>Table17[[#This Row],[Column24]]</f>
        <v>PAK</v>
      </c>
      <c r="Z33" s="5">
        <f>Table17[[#This Row],[HRG / CTN]]/Table17[[#This Row],[Column23]]</f>
        <v>0</v>
      </c>
      <c r="AA33" s="42" t="str">
        <f>IF(INDEX(NOTA[DISC 1],Sheet1!A:A)=0,"",INDEX(NOTA[DISC 1],Sheet1!A:A))</f>
        <v/>
      </c>
      <c r="AB33" s="42" t="str">
        <f>IF(INDEX(NOTA[DISC 2],Sheet1!A:A)=0,"",INDEX(NOTA[DISC 2],Sheet1!A:A))</f>
        <v/>
      </c>
      <c r="AC3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3" s="43">
        <f>INDEX(NOTA[HARGA/ CTN_H],Sheet1!A:A)</f>
        <v>0</v>
      </c>
      <c r="AE33" s="43">
        <f>IF(Table17[[#This Row],[DISC 3]]="",Table17[[#This Row],[HRG / CTN]],Table17[[#This Row],[HRG / CTN]]-(Table17[[#This Row],[HRG / CTN]]*Table17[[#This Row],[DISC 3]]))</f>
        <v>0</v>
      </c>
      <c r="AF33" s="14">
        <f>IF(Table17[[#This Row],[Column2222]]&lt;1,Table17[[#This Row],[Column9]],Table17[[#This Row],[Column9]]*Table17[[#This Row],[Column2222]])</f>
        <v>0</v>
      </c>
      <c r="AG33" s="43" t="str">
        <f ca="1">IF(NOT(AL34=Table17[[#This Row],[Column6]]),SUMIF(Table17[Column6],Table17[[#This Row],[Column6]],Table17[Column7]),"")</f>
        <v/>
      </c>
      <c r="AH33" s="44">
        <f ca="1">INDEX(NOTA[TGL_H],Sheet1!A:A)</f>
        <v>45439</v>
      </c>
      <c r="AI33" s="44">
        <f ca="1">INDEX(NOTA[TGL.NOTA_H],Sheet1!A:A)</f>
        <v>45436</v>
      </c>
      <c r="AK33" t="str">
        <f>IF(INDEX(NOTA[KETERANGAN],A:A)="","",INDEX(NOTA[KETERANGAN],A:A))</f>
        <v>SURAT JALAN</v>
      </c>
      <c r="AL33" t="str">
        <f ca="1">INDEX(NOTA[NO.NOTA_H],Sheet1!A:A)</f>
        <v>SURAT JALAN TH031/5/2024</v>
      </c>
      <c r="AM33" t="str">
        <f>INDEX(NOTA[KETERANGAN],Sheet1!A:A)</f>
        <v>SURAT JALAN</v>
      </c>
      <c r="AN33" t="str">
        <f ca="1">INDEX(NOTA[SUPPLIER_H],Sheet1!A:A)</f>
        <v>SBS</v>
      </c>
      <c r="AO33" t="e">
        <f t="shared" ca="1" si="0"/>
        <v>#N/A</v>
      </c>
      <c r="AR33" s="45" t="s">
        <v>163</v>
      </c>
    </row>
    <row r="34" spans="1:44">
      <c r="A34" s="3">
        <v>37</v>
      </c>
      <c r="C34">
        <f>INDEX(NOTA[//DB],Sheet1!A:A)</f>
        <v>3413</v>
      </c>
      <c r="D34" t="e">
        <f>MATCH(Table17[[#This Row],[//db]],[3]!Table2[\\],0)</f>
        <v>#N/A</v>
      </c>
      <c r="E34" t="str">
        <f>INDEX([3]!db[NB NOTA],Table17[[#This Row],[//db]])</f>
        <v>L L GASTA A5 100GRAM FR</v>
      </c>
      <c r="F34" t="str">
        <f>INDEX([3]!db[NB BM],Table17[[#This Row],[//db]])</f>
        <v>LOOSE LEAF A5 GASTA 100GRAM FR</v>
      </c>
      <c r="G34" t="str">
        <f>_xlfn.IFNA(INDEX([3]!Table2[NAMA],Table17[[#This Row],[dbconcat]]),"")</f>
        <v/>
      </c>
      <c r="H34" t="e">
        <f>INDEX([3]!Table2[KODE BARANG],Table17[[#This Row],[dbconcat]])</f>
        <v>#N/A</v>
      </c>
      <c r="I34" t="str">
        <f>IF(Table17[[#This Row],[Column3]]="",UPPER(Table17[[#This Row],[Column1]]),Table17[[#This Row],[Column3]])</f>
        <v>LOOSE LEAF A5 GASTA 100GRAM FR</v>
      </c>
      <c r="J34">
        <f>INDEX(NOTA[C],Sheet1!A:A)</f>
        <v>2</v>
      </c>
      <c r="K34" t="str">
        <f>IF(OR(Table17[[#This Row],[Column5]]=0,Table17[[#This Row],[Column3]]=""),"",INDEX([3]!Table2[ISI2],Table17[[#This Row],[dbconcat]]))</f>
        <v/>
      </c>
      <c r="L34" t="str">
        <f>IF(Table17[[#This Row],[isis]]="","",INDEX([3]!Table2[SATUAN3],Table17[[#This Row],[dbconcat]]))</f>
        <v/>
      </c>
      <c r="M34" t="str">
        <f>IF(Table17[[#This Row],[Column5]]=0,"",IF(Table17[[#This Row],[Column3]]="",INDEX([3]!db[QTY B],Table17[[#This Row],[//db]]),""))</f>
        <v>360</v>
      </c>
      <c r="N34" t="str">
        <f>IF(Table17[[#This Row],[isin]]="","",INDEX([3]!db[STN B],Table17[[#This Row],[//db]]))</f>
        <v>PAK</v>
      </c>
      <c r="O34" t="str">
        <f>IF(AND(Table17[[#This Row],[isis]]="",Table17[[#This Row],[isin]]=""),INDEX(NOTA[QTY],Sheet1!A:A)/IF(Table17[[#This Row],[Column5]]=0,1,Table17[[#This Row],[Column5]]),"")</f>
        <v/>
      </c>
      <c r="P34" t="str">
        <f>IF(Table17[[#This Row],[Column2]]="","",INDEX(NOTA[STN],Sheet1!A:A))</f>
        <v/>
      </c>
      <c r="Q34" s="5" t="str">
        <f>INDEX([3]!db[QTY B],Table17[[#This Row],[//db]])</f>
        <v>360</v>
      </c>
      <c r="R34" t="str">
        <f>INDEX([3]!db[STN B],Table17[[#This Row],[//db]])</f>
        <v>PAK</v>
      </c>
      <c r="S34" s="40" t="str">
        <f>IF(Table17[[#This Row],[Column5]]=0,Table17[[#This Row],[Column23]]/Table17[[#This Row],[Column224]],"")</f>
        <v/>
      </c>
      <c r="T34" s="4">
        <f>IF(Table17[[#This Row],[Column222]]="",Table17[[#This Row],[Column5]],Table17[[#This Row],[Column222]])</f>
        <v>2</v>
      </c>
      <c r="U34" s="4" t="str">
        <f>IF(Table17[[#This Row],[Column223]]=Table17[[#This Row],[Column24]],"",1)</f>
        <v/>
      </c>
      <c r="V34" s="5" t="str">
        <f>IF(Table17[[#This Row],[isis]]="",IF(Table17[[#This Row],[isin]]="",Table17[[#This Row],[Column2]],Table17[[#This Row],[isin]]),Table17[[#This Row],[isis]])</f>
        <v>360</v>
      </c>
      <c r="W34" s="3" t="str">
        <f>IF(Table17[[#This Row],[isis]]="",IF(Table17[[#This Row],[isin]]="",Table17[[#This Row],[Column22]],Table17[[#This Row],[stnn]]),Table17[[#This Row],[stns]])</f>
        <v>PAK</v>
      </c>
      <c r="X34" s="5">
        <f>IF(Table17[[#This Row],[Column2222]]&lt;1,Table17[[#This Row],[Column23]],Table17[[#This Row],[Column23]]*Table17[[#This Row],[Column2222]])</f>
        <v>720</v>
      </c>
      <c r="Y34" s="3" t="str">
        <f>Table17[[#This Row],[Column24]]</f>
        <v>PAK</v>
      </c>
      <c r="Z34" s="5">
        <f>Table17[[#This Row],[HRG / CTN]]/Table17[[#This Row],[Column23]]</f>
        <v>0</v>
      </c>
      <c r="AA34" s="42" t="str">
        <f>IF(INDEX(NOTA[DISC 1],Sheet1!A:A)=0,"",INDEX(NOTA[DISC 1],Sheet1!A:A))</f>
        <v/>
      </c>
      <c r="AB34" s="42" t="str">
        <f>IF(INDEX(NOTA[DISC 2],Sheet1!A:A)=0,"",INDEX(NOTA[DISC 2],Sheet1!A:A))</f>
        <v/>
      </c>
      <c r="AC3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4" s="43">
        <f>INDEX(NOTA[HARGA/ CTN_H],Sheet1!A:A)</f>
        <v>0</v>
      </c>
      <c r="AE34" s="43">
        <f>IF(Table17[[#This Row],[DISC 3]]="",Table17[[#This Row],[HRG / CTN]],Table17[[#This Row],[HRG / CTN]]-(Table17[[#This Row],[HRG / CTN]]*Table17[[#This Row],[DISC 3]]))</f>
        <v>0</v>
      </c>
      <c r="AF34" s="14">
        <f>IF(Table17[[#This Row],[Column2222]]&lt;1,Table17[[#This Row],[Column9]],Table17[[#This Row],[Column9]]*Table17[[#This Row],[Column2222]])</f>
        <v>0</v>
      </c>
      <c r="AG34" s="43" t="str">
        <f ca="1">IF(NOT(AL35=Table17[[#This Row],[Column6]]),SUMIF(Table17[Column6],Table17[[#This Row],[Column6]],Table17[Column7]),"")</f>
        <v/>
      </c>
      <c r="AH34" s="44">
        <f ca="1">INDEX(NOTA[TGL_H],Sheet1!A:A)</f>
        <v>45439</v>
      </c>
      <c r="AI34" s="44">
        <f ca="1">INDEX(NOTA[TGL.NOTA_H],Sheet1!A:A)</f>
        <v>45436</v>
      </c>
      <c r="AK34" t="str">
        <f>IF(INDEX(NOTA[KETERANGAN],A:A)="","",INDEX(NOTA[KETERANGAN],A:A))</f>
        <v>SURAT JALAN</v>
      </c>
      <c r="AL34" t="str">
        <f ca="1">INDEX(NOTA[NO.NOTA_H],Sheet1!A:A)</f>
        <v>SURAT JALAN TH031/5/2024</v>
      </c>
      <c r="AM34" t="str">
        <f>INDEX(NOTA[KETERANGAN],Sheet1!A:A)</f>
        <v>SURAT JALAN</v>
      </c>
      <c r="AN34" t="str">
        <f ca="1">INDEX(NOTA[SUPPLIER_H],Sheet1!A:A)</f>
        <v>SBS</v>
      </c>
      <c r="AO34" t="e">
        <f t="shared" ca="1" si="0"/>
        <v>#N/A</v>
      </c>
      <c r="AR34" s="45" t="s">
        <v>163</v>
      </c>
    </row>
    <row r="35" spans="1:44">
      <c r="A35" s="3">
        <v>38</v>
      </c>
      <c r="C35">
        <f>INDEX(NOTA[//DB],Sheet1!A:A)</f>
        <v>3414</v>
      </c>
      <c r="D35" t="e">
        <f>MATCH(Table17[[#This Row],[//db]],[3]!Table2[\\],0)</f>
        <v>#N/A</v>
      </c>
      <c r="E35" t="str">
        <f>INDEX([3]!db[NB NOTA],Table17[[#This Row],[//db]])</f>
        <v>L L GASTA A5 100GRAM HK</v>
      </c>
      <c r="F35" t="str">
        <f>INDEX([3]!db[NB BM],Table17[[#This Row],[//db]])</f>
        <v>LOOSE LEAF A5 GASTA 100GRAM HK</v>
      </c>
      <c r="G35" t="str">
        <f>_xlfn.IFNA(INDEX([3]!Table2[NAMA],Table17[[#This Row],[dbconcat]]),"")</f>
        <v/>
      </c>
      <c r="H35" t="e">
        <f>INDEX([3]!Table2[KODE BARANG],Table17[[#This Row],[dbconcat]])</f>
        <v>#N/A</v>
      </c>
      <c r="I35" t="str">
        <f>IF(Table17[[#This Row],[Column3]]="",UPPER(Table17[[#This Row],[Column1]]),Table17[[#This Row],[Column3]])</f>
        <v>LOOSE LEAF A5 GASTA 100GRAM HK</v>
      </c>
      <c r="J35">
        <f>INDEX(NOTA[C],Sheet1!A:A)</f>
        <v>2</v>
      </c>
      <c r="K35" t="str">
        <f>IF(OR(Table17[[#This Row],[Column5]]=0,Table17[[#This Row],[Column3]]=""),"",INDEX([3]!Table2[ISI2],Table17[[#This Row],[dbconcat]]))</f>
        <v/>
      </c>
      <c r="L35" t="str">
        <f>IF(Table17[[#This Row],[isis]]="","",INDEX([3]!Table2[SATUAN3],Table17[[#This Row],[dbconcat]]))</f>
        <v/>
      </c>
      <c r="M35" t="str">
        <f>IF(Table17[[#This Row],[Column5]]=0,"",IF(Table17[[#This Row],[Column3]]="",INDEX([3]!db[QTY B],Table17[[#This Row],[//db]]),""))</f>
        <v>360</v>
      </c>
      <c r="N35" t="str">
        <f>IF(Table17[[#This Row],[isin]]="","",INDEX([3]!db[STN B],Table17[[#This Row],[//db]]))</f>
        <v>PAK</v>
      </c>
      <c r="O35" t="str">
        <f>IF(AND(Table17[[#This Row],[isis]]="",Table17[[#This Row],[isin]]=""),INDEX(NOTA[QTY],Sheet1!A:A)/IF(Table17[[#This Row],[Column5]]=0,1,Table17[[#This Row],[Column5]]),"")</f>
        <v/>
      </c>
      <c r="P35" t="str">
        <f>IF(Table17[[#This Row],[Column2]]="","",INDEX(NOTA[STN],Sheet1!A:A))</f>
        <v/>
      </c>
      <c r="Q35" s="5" t="str">
        <f>INDEX([3]!db[QTY B],Table17[[#This Row],[//db]])</f>
        <v>360</v>
      </c>
      <c r="R35" t="str">
        <f>INDEX([3]!db[STN B],Table17[[#This Row],[//db]])</f>
        <v>PAK</v>
      </c>
      <c r="S35" s="40" t="str">
        <f>IF(Table17[[#This Row],[Column5]]=0,Table17[[#This Row],[Column23]]/Table17[[#This Row],[Column224]],"")</f>
        <v/>
      </c>
      <c r="T35" s="4">
        <f>IF(Table17[[#This Row],[Column222]]="",Table17[[#This Row],[Column5]],Table17[[#This Row],[Column222]])</f>
        <v>2</v>
      </c>
      <c r="U35" s="4" t="str">
        <f>IF(Table17[[#This Row],[Column223]]=Table17[[#This Row],[Column24]],"",1)</f>
        <v/>
      </c>
      <c r="V35" s="5" t="str">
        <f>IF(Table17[[#This Row],[isis]]="",IF(Table17[[#This Row],[isin]]="",Table17[[#This Row],[Column2]],Table17[[#This Row],[isin]]),Table17[[#This Row],[isis]])</f>
        <v>360</v>
      </c>
      <c r="W35" s="3" t="str">
        <f>IF(Table17[[#This Row],[isis]]="",IF(Table17[[#This Row],[isin]]="",Table17[[#This Row],[Column22]],Table17[[#This Row],[stnn]]),Table17[[#This Row],[stns]])</f>
        <v>PAK</v>
      </c>
      <c r="X35" s="5">
        <f>IF(Table17[[#This Row],[Column2222]]&lt;1,Table17[[#This Row],[Column23]],Table17[[#This Row],[Column23]]*Table17[[#This Row],[Column2222]])</f>
        <v>720</v>
      </c>
      <c r="Y35" s="3" t="str">
        <f>Table17[[#This Row],[Column24]]</f>
        <v>PAK</v>
      </c>
      <c r="Z35" s="5">
        <f>Table17[[#This Row],[HRG / CTN]]/Table17[[#This Row],[Column23]]</f>
        <v>0</v>
      </c>
      <c r="AA35" s="42" t="str">
        <f>IF(INDEX(NOTA[DISC 1],Sheet1!A:A)=0,"",INDEX(NOTA[DISC 1],Sheet1!A:A))</f>
        <v/>
      </c>
      <c r="AB35" s="42" t="str">
        <f>IF(INDEX(NOTA[DISC 2],Sheet1!A:A)=0,"",INDEX(NOTA[DISC 2],Sheet1!A:A))</f>
        <v/>
      </c>
      <c r="AC3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5" s="43">
        <f>INDEX(NOTA[HARGA/ CTN_H],Sheet1!A:A)</f>
        <v>0</v>
      </c>
      <c r="AE35" s="43">
        <f>IF(Table17[[#This Row],[DISC 3]]="",Table17[[#This Row],[HRG / CTN]],Table17[[#This Row],[HRG / CTN]]-(Table17[[#This Row],[HRG / CTN]]*Table17[[#This Row],[DISC 3]]))</f>
        <v>0</v>
      </c>
      <c r="AF35" s="14">
        <f>IF(Table17[[#This Row],[Column2222]]&lt;1,Table17[[#This Row],[Column9]],Table17[[#This Row],[Column9]]*Table17[[#This Row],[Column2222]])</f>
        <v>0</v>
      </c>
      <c r="AG35" s="43" t="str">
        <f ca="1">IF(NOT(AL36=Table17[[#This Row],[Column6]]),SUMIF(Table17[Column6],Table17[[#This Row],[Column6]],Table17[Column7]),"")</f>
        <v/>
      </c>
      <c r="AH35" s="44">
        <f ca="1">INDEX(NOTA[TGL_H],Sheet1!A:A)</f>
        <v>45439</v>
      </c>
      <c r="AI35" s="44">
        <f ca="1">INDEX(NOTA[TGL.NOTA_H],Sheet1!A:A)</f>
        <v>45436</v>
      </c>
      <c r="AK35" t="str">
        <f>IF(INDEX(NOTA[KETERANGAN],A:A)="","",INDEX(NOTA[KETERANGAN],A:A))</f>
        <v>SURAT JALAN</v>
      </c>
      <c r="AL35" t="str">
        <f ca="1">INDEX(NOTA[NO.NOTA_H],Sheet1!A:A)</f>
        <v>SURAT JALAN TH031/5/2024</v>
      </c>
      <c r="AM35" t="str">
        <f>INDEX(NOTA[KETERANGAN],Sheet1!A:A)</f>
        <v>SURAT JALAN</v>
      </c>
      <c r="AN35" t="str">
        <f ca="1">INDEX(NOTA[SUPPLIER_H],Sheet1!A:A)</f>
        <v>SBS</v>
      </c>
      <c r="AO35" t="e">
        <f t="shared" ca="1" si="0"/>
        <v>#N/A</v>
      </c>
      <c r="AR35" s="45" t="s">
        <v>164</v>
      </c>
    </row>
    <row r="36" spans="1:44">
      <c r="A36" s="3">
        <v>39</v>
      </c>
      <c r="C36">
        <f>INDEX(NOTA[//DB],Sheet1!A:A)</f>
        <v>3415</v>
      </c>
      <c r="D36" t="e">
        <f>MATCH(Table17[[#This Row],[//db]],[3]!Table2[\\],0)</f>
        <v>#N/A</v>
      </c>
      <c r="E36" t="str">
        <f>INDEX([3]!db[NB NOTA],Table17[[#This Row],[//db]])</f>
        <v>L L GASTA A5 100GRAM TSUM</v>
      </c>
      <c r="F36" t="str">
        <f>INDEX([3]!db[NB BM],Table17[[#This Row],[//db]])</f>
        <v>LOOSE LEAF A5 GASTA 100GRAM TSUM</v>
      </c>
      <c r="G36" t="str">
        <f>_xlfn.IFNA(INDEX([3]!Table2[NAMA],Table17[[#This Row],[dbconcat]]),"")</f>
        <v/>
      </c>
      <c r="H36" t="e">
        <f>INDEX([3]!Table2[KODE BARANG],Table17[[#This Row],[dbconcat]])</f>
        <v>#N/A</v>
      </c>
      <c r="I36" t="str">
        <f>IF(Table17[[#This Row],[Column3]]="",UPPER(Table17[[#This Row],[Column1]]),Table17[[#This Row],[Column3]])</f>
        <v>LOOSE LEAF A5 GASTA 100GRAM TSUM</v>
      </c>
      <c r="J36">
        <f>INDEX(NOTA[C],Sheet1!A:A)</f>
        <v>2</v>
      </c>
      <c r="K36" t="str">
        <f>IF(OR(Table17[[#This Row],[Column5]]=0,Table17[[#This Row],[Column3]]=""),"",INDEX([3]!Table2[ISI2],Table17[[#This Row],[dbconcat]]))</f>
        <v/>
      </c>
      <c r="L36" t="str">
        <f>IF(Table17[[#This Row],[isis]]="","",INDEX([3]!Table2[SATUAN3],Table17[[#This Row],[dbconcat]]))</f>
        <v/>
      </c>
      <c r="M36" t="str">
        <f>IF(Table17[[#This Row],[Column5]]=0,"",IF(Table17[[#This Row],[Column3]]="",INDEX([3]!db[QTY B],Table17[[#This Row],[//db]]),""))</f>
        <v>360</v>
      </c>
      <c r="N36" t="str">
        <f>IF(Table17[[#This Row],[isin]]="","",INDEX([3]!db[STN B],Table17[[#This Row],[//db]]))</f>
        <v>PAK</v>
      </c>
      <c r="O36" t="str">
        <f>IF(AND(Table17[[#This Row],[isis]]="",Table17[[#This Row],[isin]]=""),INDEX(NOTA[QTY],Sheet1!A:A)/IF(Table17[[#This Row],[Column5]]=0,1,Table17[[#This Row],[Column5]]),"")</f>
        <v/>
      </c>
      <c r="P36" t="str">
        <f>IF(Table17[[#This Row],[Column2]]="","",INDEX(NOTA[STN],Sheet1!A:A))</f>
        <v/>
      </c>
      <c r="Q36" s="5" t="str">
        <f>INDEX([3]!db[QTY B],Table17[[#This Row],[//db]])</f>
        <v>360</v>
      </c>
      <c r="R36" t="str">
        <f>INDEX([3]!db[STN B],Table17[[#This Row],[//db]])</f>
        <v>PAK</v>
      </c>
      <c r="S36" s="40" t="str">
        <f>IF(Table17[[#This Row],[Column5]]=0,Table17[[#This Row],[Column23]]/Table17[[#This Row],[Column224]],"")</f>
        <v/>
      </c>
      <c r="T36" s="4">
        <f>IF(Table17[[#This Row],[Column222]]="",Table17[[#This Row],[Column5]],Table17[[#This Row],[Column222]])</f>
        <v>2</v>
      </c>
      <c r="U36" s="4" t="str">
        <f>IF(Table17[[#This Row],[Column223]]=Table17[[#This Row],[Column24]],"",1)</f>
        <v/>
      </c>
      <c r="V36" s="5" t="str">
        <f>IF(Table17[[#This Row],[isis]]="",IF(Table17[[#This Row],[isin]]="",Table17[[#This Row],[Column2]],Table17[[#This Row],[isin]]),Table17[[#This Row],[isis]])</f>
        <v>360</v>
      </c>
      <c r="W36" s="3" t="str">
        <f>IF(Table17[[#This Row],[isis]]="",IF(Table17[[#This Row],[isin]]="",Table17[[#This Row],[Column22]],Table17[[#This Row],[stnn]]),Table17[[#This Row],[stns]])</f>
        <v>PAK</v>
      </c>
      <c r="X36" s="5">
        <f>IF(Table17[[#This Row],[Column2222]]&lt;1,Table17[[#This Row],[Column23]],Table17[[#This Row],[Column23]]*Table17[[#This Row],[Column2222]])</f>
        <v>720</v>
      </c>
      <c r="Y36" s="3" t="str">
        <f>Table17[[#This Row],[Column24]]</f>
        <v>PAK</v>
      </c>
      <c r="Z36" s="5">
        <f>Table17[[#This Row],[HRG / CTN]]/Table17[[#This Row],[Column23]]</f>
        <v>0</v>
      </c>
      <c r="AA36" s="42" t="str">
        <f>IF(INDEX(NOTA[DISC 1],Sheet1!A:A)=0,"",INDEX(NOTA[DISC 1],Sheet1!A:A))</f>
        <v/>
      </c>
      <c r="AB36" s="42" t="str">
        <f>IF(INDEX(NOTA[DISC 2],Sheet1!A:A)=0,"",INDEX(NOTA[DISC 2],Sheet1!A:A))</f>
        <v/>
      </c>
      <c r="AC3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6" s="43">
        <f>INDEX(NOTA[HARGA/ CTN_H],Sheet1!A:A)</f>
        <v>0</v>
      </c>
      <c r="AE36" s="43">
        <f>IF(Table17[[#This Row],[DISC 3]]="",Table17[[#This Row],[HRG / CTN]],Table17[[#This Row],[HRG / CTN]]-(Table17[[#This Row],[HRG / CTN]]*Table17[[#This Row],[DISC 3]]))</f>
        <v>0</v>
      </c>
      <c r="AF36" s="14">
        <f>IF(Table17[[#This Row],[Column2222]]&lt;1,Table17[[#This Row],[Column9]],Table17[[#This Row],[Column9]]*Table17[[#This Row],[Column2222]])</f>
        <v>0</v>
      </c>
      <c r="AG36" s="43" t="str">
        <f ca="1">IF(NOT(AL37=Table17[[#This Row],[Column6]]),SUMIF(Table17[Column6],Table17[[#This Row],[Column6]],Table17[Column7]),"")</f>
        <v/>
      </c>
      <c r="AH36" s="44">
        <f ca="1">INDEX(NOTA[TGL_H],Sheet1!A:A)</f>
        <v>45439</v>
      </c>
      <c r="AI36" s="44">
        <f ca="1">INDEX(NOTA[TGL.NOTA_H],Sheet1!A:A)</f>
        <v>45436</v>
      </c>
      <c r="AK36" t="str">
        <f>IF(INDEX(NOTA[KETERANGAN],A:A)="","",INDEX(NOTA[KETERANGAN],A:A))</f>
        <v>SURAT JALAN</v>
      </c>
      <c r="AL36" t="str">
        <f ca="1">INDEX(NOTA[NO.NOTA_H],Sheet1!A:A)</f>
        <v>SURAT JALAN TH031/5/2024</v>
      </c>
      <c r="AM36" t="str">
        <f>INDEX(NOTA[KETERANGAN],Sheet1!A:A)</f>
        <v>SURAT JALAN</v>
      </c>
      <c r="AN36" t="str">
        <f ca="1">INDEX(NOTA[SUPPLIER_H],Sheet1!A:A)</f>
        <v>SBS</v>
      </c>
      <c r="AO36" t="e">
        <f t="shared" ca="1" si="0"/>
        <v>#N/A</v>
      </c>
      <c r="AR36" s="45" t="s">
        <v>166</v>
      </c>
    </row>
    <row r="37" spans="1:44">
      <c r="A37" s="3">
        <v>40</v>
      </c>
      <c r="C37">
        <f>INDEX(NOTA[//DB],Sheet1!A:A)</f>
        <v>2471</v>
      </c>
      <c r="D37">
        <f>MATCH(Table17[[#This Row],[//db]],[3]!Table2[\\],0)</f>
        <v>2410</v>
      </c>
      <c r="E37" t="str">
        <f>INDEX([3]!db[NB NOTA],Table17[[#This Row],[//db]])</f>
        <v>PCM A 1151</v>
      </c>
      <c r="F37" t="str">
        <f>INDEX([3]!db[NB BM],Table17[[#This Row],[//db]])</f>
        <v>Pc Magnit A-1151</v>
      </c>
      <c r="G37" t="str">
        <f>_xlfn.IFNA(INDEX([3]!Table2[NAMA],Table17[[#This Row],[dbconcat]]),"")</f>
        <v>PC MAGNIT A-1151</v>
      </c>
      <c r="H37" t="str">
        <f>INDEX([3]!Table2[KODE BARANG],Table17[[#This Row],[dbconcat]])</f>
        <v>PCA-NB163</v>
      </c>
      <c r="I37" t="str">
        <f>IF(Table17[[#This Row],[Column3]]="",UPPER(Table17[[#This Row],[Column1]]),Table17[[#This Row],[Column3]])</f>
        <v>PC MAGNIT A-1151</v>
      </c>
      <c r="J37">
        <f>INDEX(NOTA[C],Sheet1!A:A)</f>
        <v>5</v>
      </c>
      <c r="K37">
        <f>IF(OR(Table17[[#This Row],[Column5]]=0,Table17[[#This Row],[Column3]]=""),"",INDEX([3]!Table2[ISI2],Table17[[#This Row],[dbconcat]]))</f>
        <v>144</v>
      </c>
      <c r="L37" t="str">
        <f>IF(Table17[[#This Row],[isis]]="","",INDEX([3]!Table2[SATUAN3],Table17[[#This Row],[dbconcat]]))</f>
        <v>PCS</v>
      </c>
      <c r="M37" t="str">
        <f>IF(Table17[[#This Row],[Column5]]=0,"",IF(Table17[[#This Row],[Column3]]="",INDEX([3]!db[QTY B],Table17[[#This Row],[//db]]),""))</f>
        <v/>
      </c>
      <c r="N37" t="str">
        <f>IF(Table17[[#This Row],[isin]]="","",INDEX([3]!db[STN B],Table17[[#This Row],[//db]]))</f>
        <v/>
      </c>
      <c r="O37" t="str">
        <f>IF(AND(Table17[[#This Row],[isis]]="",Table17[[#This Row],[isin]]=""),INDEX(NOTA[QTY],Sheet1!A:A)/IF(Table17[[#This Row],[Column5]]=0,1,Table17[[#This Row],[Column5]]),"")</f>
        <v/>
      </c>
      <c r="P37" t="str">
        <f>IF(Table17[[#This Row],[Column2]]="","",INDEX(NOTA[STN],Sheet1!A:A))</f>
        <v/>
      </c>
      <c r="Q37" s="5" t="str">
        <f>INDEX([3]!db[QTY B],Table17[[#This Row],[//db]])</f>
        <v>144</v>
      </c>
      <c r="R37" t="str">
        <f>INDEX([3]!db[STN B],Table17[[#This Row],[//db]])</f>
        <v>PCS</v>
      </c>
      <c r="S37" s="40" t="str">
        <f>IF(Table17[[#This Row],[Column5]]=0,Table17[[#This Row],[Column23]]/Table17[[#This Row],[Column224]],"")</f>
        <v/>
      </c>
      <c r="T37" s="4">
        <f>IF(Table17[[#This Row],[Column222]]="",Table17[[#This Row],[Column5]],Table17[[#This Row],[Column222]])</f>
        <v>5</v>
      </c>
      <c r="U37" s="4" t="str">
        <f>IF(Table17[[#This Row],[Column223]]=Table17[[#This Row],[Column24]],"",1)</f>
        <v/>
      </c>
      <c r="V37" s="5">
        <f>IF(Table17[[#This Row],[isis]]="",IF(Table17[[#This Row],[isin]]="",Table17[[#This Row],[Column2]],Table17[[#This Row],[isin]]),Table17[[#This Row],[isis]])</f>
        <v>144</v>
      </c>
      <c r="W37" s="3" t="str">
        <f>IF(Table17[[#This Row],[isis]]="",IF(Table17[[#This Row],[isin]]="",Table17[[#This Row],[Column22]],Table17[[#This Row],[stnn]]),Table17[[#This Row],[stns]])</f>
        <v>PCS</v>
      </c>
      <c r="X37" s="5">
        <f>IF(Table17[[#This Row],[Column2222]]&lt;1,Table17[[#This Row],[Column23]],Table17[[#This Row],[Column23]]*Table17[[#This Row],[Column2222]])</f>
        <v>720</v>
      </c>
      <c r="Y37" s="3" t="str">
        <f>Table17[[#This Row],[Column24]]</f>
        <v>PCS</v>
      </c>
      <c r="Z37" s="5">
        <f>Table17[[#This Row],[HRG / CTN]]/Table17[[#This Row],[Column23]]</f>
        <v>0</v>
      </c>
      <c r="AA37" s="42" t="str">
        <f>IF(INDEX(NOTA[DISC 1],Sheet1!A:A)=0,"",INDEX(NOTA[DISC 1],Sheet1!A:A))</f>
        <v/>
      </c>
      <c r="AB37" s="42" t="str">
        <f>IF(INDEX(NOTA[DISC 2],Sheet1!A:A)=0,"",INDEX(NOTA[DISC 2],Sheet1!A:A))</f>
        <v/>
      </c>
      <c r="AC3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7" s="43">
        <f>INDEX(NOTA[HARGA/ CTN_H],Sheet1!A:A)</f>
        <v>0</v>
      </c>
      <c r="AE37" s="43">
        <f>IF(Table17[[#This Row],[DISC 3]]="",Table17[[#This Row],[HRG / CTN]],Table17[[#This Row],[HRG / CTN]]-(Table17[[#This Row],[HRG / CTN]]*Table17[[#This Row],[DISC 3]]))</f>
        <v>0</v>
      </c>
      <c r="AF37" s="14">
        <f>IF(Table17[[#This Row],[Column2222]]&lt;1,Table17[[#This Row],[Column9]],Table17[[#This Row],[Column9]]*Table17[[#This Row],[Column2222]])</f>
        <v>0</v>
      </c>
      <c r="AG37" s="43" t="str">
        <f ca="1">IF(NOT(AL38=Table17[[#This Row],[Column6]]),SUMIF(Table17[Column6],Table17[[#This Row],[Column6]],Table17[Column7]),"")</f>
        <v/>
      </c>
      <c r="AH37" s="44">
        <f ca="1">INDEX(NOTA[TGL_H],Sheet1!A:A)</f>
        <v>45439</v>
      </c>
      <c r="AI37" s="44">
        <f ca="1">INDEX(NOTA[TGL.NOTA_H],Sheet1!A:A)</f>
        <v>45436</v>
      </c>
      <c r="AK37" t="str">
        <f>IF(INDEX(NOTA[KETERANGAN],A:A)="","",INDEX(NOTA[KETERANGAN],A:A))</f>
        <v>SURAT JALAN</v>
      </c>
      <c r="AL37" t="str">
        <f ca="1">INDEX(NOTA[NO.NOTA_H],Sheet1!A:A)</f>
        <v>SURAT JALAN TH031/5/2024</v>
      </c>
      <c r="AM37" t="str">
        <f>INDEX(NOTA[KETERANGAN],Sheet1!A:A)</f>
        <v>SURAT JALAN</v>
      </c>
      <c r="AN37" t="str">
        <f ca="1">INDEX(NOTA[SUPPLIER_H],Sheet1!A:A)</f>
        <v>SBS</v>
      </c>
      <c r="AO37" t="e">
        <f t="shared" ca="1" si="0"/>
        <v>#N/A</v>
      </c>
      <c r="AR37" s="45" t="s">
        <v>166</v>
      </c>
    </row>
    <row r="38" spans="1:44">
      <c r="A38" s="3">
        <v>41</v>
      </c>
      <c r="C38" t="e">
        <f>INDEX(NOTA[//DB],Sheet1!A:A)</f>
        <v>#N/A</v>
      </c>
      <c r="D38" t="e">
        <f>MATCH(Table17[[#This Row],[//db]],[3]!Table2[\\],0)</f>
        <v>#N/A</v>
      </c>
      <c r="E38" t="e">
        <f>INDEX([3]!db[NB NOTA],Table17[[#This Row],[//db]])</f>
        <v>#N/A</v>
      </c>
      <c r="F38" t="e">
        <f>INDEX([3]!db[NB BM],Table17[[#This Row],[//db]])</f>
        <v>#N/A</v>
      </c>
      <c r="G38" t="str">
        <f>_xlfn.IFNA(INDEX([3]!Table2[NAMA],Table17[[#This Row],[dbconcat]]),"")</f>
        <v/>
      </c>
      <c r="H38" t="e">
        <f>INDEX([3]!Table2[KODE BARANG],Table17[[#This Row],[dbconcat]])</f>
        <v>#N/A</v>
      </c>
      <c r="I38" t="e">
        <f>IF(Table17[[#This Row],[Column3]]="",UPPER(Table17[[#This Row],[Column1]]),Table17[[#This Row],[Column3]])</f>
        <v>#N/A</v>
      </c>
      <c r="J38">
        <f>INDEX(NOTA[C],Sheet1!A:A)</f>
        <v>3</v>
      </c>
      <c r="K38" t="str">
        <f>IF(OR(Table17[[#This Row],[Column5]]=0,Table17[[#This Row],[Column3]]=""),"",INDEX([3]!Table2[ISI2],Table17[[#This Row],[dbconcat]]))</f>
        <v/>
      </c>
      <c r="L38" t="str">
        <f>IF(Table17[[#This Row],[isis]]="","",INDEX([3]!Table2[SATUAN3],Table17[[#This Row],[dbconcat]]))</f>
        <v/>
      </c>
      <c r="M38" t="e">
        <f>IF(Table17[[#This Row],[Column5]]=0,"",IF(Table17[[#This Row],[Column3]]="",INDEX([3]!db[QTY B],Table17[[#This Row],[//db]]),""))</f>
        <v>#N/A</v>
      </c>
      <c r="N38" t="e">
        <f>IF(Table17[[#This Row],[isin]]="","",INDEX([3]!db[STN B],Table17[[#This Row],[//db]]))</f>
        <v>#N/A</v>
      </c>
      <c r="O38" t="e">
        <f>IF(AND(Table17[[#This Row],[isis]]="",Table17[[#This Row],[isin]]=""),INDEX(NOTA[QTY],Sheet1!A:A)/IF(Table17[[#This Row],[Column5]]=0,1,Table17[[#This Row],[Column5]]),"")</f>
        <v>#N/A</v>
      </c>
      <c r="P38" t="e">
        <f>IF(Table17[[#This Row],[Column2]]="","",INDEX(NOTA[STN],Sheet1!A:A))</f>
        <v>#N/A</v>
      </c>
      <c r="Q38" s="5" t="e">
        <f>INDEX([3]!db[QTY B],Table17[[#This Row],[//db]])</f>
        <v>#N/A</v>
      </c>
      <c r="R38" t="e">
        <f>INDEX([3]!db[STN B],Table17[[#This Row],[//db]])</f>
        <v>#N/A</v>
      </c>
      <c r="S38" s="40" t="str">
        <f>IF(Table17[[#This Row],[Column5]]=0,Table17[[#This Row],[Column23]]/Table17[[#This Row],[Column224]],"")</f>
        <v/>
      </c>
      <c r="T38" s="48">
        <f>IF(Table17[[#This Row],[Column222]]="",Table17[[#This Row],[Column5]],Table17[[#This Row],[Column222]])</f>
        <v>3</v>
      </c>
      <c r="U38" s="4" t="e">
        <f>IF(Table17[[#This Row],[Column223]]=Table17[[#This Row],[Column24]],"",1)</f>
        <v>#N/A</v>
      </c>
      <c r="V38" s="5" t="e">
        <f>IF(Table17[[#This Row],[isis]]="",IF(Table17[[#This Row],[isin]]="",Table17[[#This Row],[Column2]],Table17[[#This Row],[isin]]),Table17[[#This Row],[isis]])</f>
        <v>#N/A</v>
      </c>
      <c r="W38" s="3" t="e">
        <f>IF(Table17[[#This Row],[isis]]="",IF(Table17[[#This Row],[isin]]="",Table17[[#This Row],[Column22]],Table17[[#This Row],[stnn]]),Table17[[#This Row],[stns]])</f>
        <v>#N/A</v>
      </c>
      <c r="X38" s="5" t="e">
        <f>IF(Table17[[#This Row],[Column2222]]&lt;1,Table17[[#This Row],[Column23]],Table17[[#This Row],[Column23]]*Table17[[#This Row],[Column2222]])</f>
        <v>#N/A</v>
      </c>
      <c r="Y38" s="3" t="e">
        <f>Table17[[#This Row],[Column24]]</f>
        <v>#N/A</v>
      </c>
      <c r="Z38" s="5" t="e">
        <f>Table17[[#This Row],[HRG / CTN]]/Table17[[#This Row],[Column23]]</f>
        <v>#N/A</v>
      </c>
      <c r="AA38" s="42" t="str">
        <f>IF(INDEX(NOTA[DISC 1],Sheet1!A:A)=0,"",INDEX(NOTA[DISC 1],Sheet1!A:A))</f>
        <v/>
      </c>
      <c r="AB38" s="42" t="str">
        <f>IF(INDEX(NOTA[DISC 2],Sheet1!A:A)=0,"",INDEX(NOTA[DISC 2],Sheet1!A:A))</f>
        <v/>
      </c>
      <c r="AC3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8" s="43">
        <f>INDEX(NOTA[HARGA/ CTN_H],Sheet1!A:A)</f>
        <v>0</v>
      </c>
      <c r="AE38" s="43">
        <f>IF(Table17[[#This Row],[DISC 3]]="",Table17[[#This Row],[HRG / CTN]],Table17[[#This Row],[HRG / CTN]]-(Table17[[#This Row],[HRG / CTN]]*Table17[[#This Row],[DISC 3]]))</f>
        <v>0</v>
      </c>
      <c r="AF38" s="14">
        <f>IF(Table17[[#This Row],[Column2222]]&lt;1,Table17[[#This Row],[Column9]],Table17[[#This Row],[Column9]]*Table17[[#This Row],[Column2222]])</f>
        <v>0</v>
      </c>
      <c r="AG38" s="43" t="str">
        <f ca="1">IF(NOT(AL39=Table17[[#This Row],[Column6]]),SUMIF(Table17[Column6],Table17[[#This Row],[Column6]],Table17[Column7]),"")</f>
        <v/>
      </c>
      <c r="AH38" s="44">
        <f ca="1">INDEX(NOTA[TGL_H],Sheet1!A:A)</f>
        <v>45439</v>
      </c>
      <c r="AI38" s="44">
        <f ca="1">INDEX(NOTA[TGL.NOTA_H],Sheet1!A:A)</f>
        <v>45436</v>
      </c>
      <c r="AK38" t="str">
        <f>IF(INDEX(NOTA[KETERANGAN],A:A)="","",INDEX(NOTA[KETERANGAN],A:A))</f>
        <v>SURAT JALAN</v>
      </c>
      <c r="AL38" t="str">
        <f ca="1">INDEX(NOTA[NO.NOTA_H],Sheet1!A:A)</f>
        <v>SURAT JALAN TH031/5/2024</v>
      </c>
      <c r="AM38" t="str">
        <f>INDEX(NOTA[KETERANGAN],Sheet1!A:A)</f>
        <v>SURAT JALAN</v>
      </c>
      <c r="AN38" t="str">
        <f ca="1">INDEX(NOTA[SUPPLIER_H],Sheet1!A:A)</f>
        <v>SBS</v>
      </c>
      <c r="AO38" t="e">
        <f t="shared" ca="1" si="0"/>
        <v>#N/A</v>
      </c>
      <c r="AR38" s="45" t="s">
        <v>166</v>
      </c>
    </row>
    <row r="39" spans="1:44">
      <c r="A39" s="3">
        <v>42</v>
      </c>
      <c r="C39" t="e">
        <f>INDEX(NOTA[//DB],Sheet1!A:A)</f>
        <v>#N/A</v>
      </c>
      <c r="D39" t="e">
        <f>MATCH(Table17[[#This Row],[//db]],[3]!Table2[\\],0)</f>
        <v>#N/A</v>
      </c>
      <c r="E39" t="e">
        <f>INDEX([3]!db[NB NOTA],Table17[[#This Row],[//db]])</f>
        <v>#N/A</v>
      </c>
      <c r="F39" t="e">
        <f>INDEX([3]!db[NB BM],Table17[[#This Row],[//db]])</f>
        <v>#N/A</v>
      </c>
      <c r="G39" t="str">
        <f>_xlfn.IFNA(INDEX([3]!Table2[NAMA],Table17[[#This Row],[dbconcat]]),"")</f>
        <v/>
      </c>
      <c r="H39" t="e">
        <f>INDEX([3]!Table2[KODE BARANG],Table17[[#This Row],[dbconcat]])</f>
        <v>#N/A</v>
      </c>
      <c r="I39" t="e">
        <f>IF(Table17[[#This Row],[Column3]]="",UPPER(Table17[[#This Row],[Column1]]),Table17[[#This Row],[Column3]])</f>
        <v>#N/A</v>
      </c>
      <c r="J39">
        <f>INDEX(NOTA[C],Sheet1!A:A)</f>
        <v>4</v>
      </c>
      <c r="K39" t="str">
        <f>IF(OR(Table17[[#This Row],[Column5]]=0,Table17[[#This Row],[Column3]]=""),"",INDEX([3]!Table2[ISI2],Table17[[#This Row],[dbconcat]]))</f>
        <v/>
      </c>
      <c r="L39" t="str">
        <f>IF(Table17[[#This Row],[isis]]="","",INDEX([3]!Table2[SATUAN3],Table17[[#This Row],[dbconcat]]))</f>
        <v/>
      </c>
      <c r="M39" t="e">
        <f>IF(Table17[[#This Row],[Column5]]=0,"",IF(Table17[[#This Row],[Column3]]="",INDEX([3]!db[QTY B],Table17[[#This Row],[//db]]),""))</f>
        <v>#N/A</v>
      </c>
      <c r="N39" t="e">
        <f>IF(Table17[[#This Row],[isin]]="","",INDEX([3]!db[STN B],Table17[[#This Row],[//db]]))</f>
        <v>#N/A</v>
      </c>
      <c r="O39" t="e">
        <f>IF(AND(Table17[[#This Row],[isis]]="",Table17[[#This Row],[isin]]=""),INDEX(NOTA[QTY],Sheet1!A:A)/IF(Table17[[#This Row],[Column5]]=0,1,Table17[[#This Row],[Column5]]),"")</f>
        <v>#N/A</v>
      </c>
      <c r="P39" t="e">
        <f>IF(Table17[[#This Row],[Column2]]="","",INDEX(NOTA[STN],Sheet1!A:A))</f>
        <v>#N/A</v>
      </c>
      <c r="Q39" s="5" t="e">
        <f>INDEX([3]!db[QTY B],Table17[[#This Row],[//db]])</f>
        <v>#N/A</v>
      </c>
      <c r="R39" t="e">
        <f>INDEX([3]!db[STN B],Table17[[#This Row],[//db]])</f>
        <v>#N/A</v>
      </c>
      <c r="S39" s="40" t="str">
        <f>IF(Table17[[#This Row],[Column5]]=0,Table17[[#This Row],[Column23]]/Table17[[#This Row],[Column224]],"")</f>
        <v/>
      </c>
      <c r="T39" s="48">
        <f>IF(Table17[[#This Row],[Column222]]="",Table17[[#This Row],[Column5]],Table17[[#This Row],[Column222]])</f>
        <v>4</v>
      </c>
      <c r="U39" s="4" t="e">
        <f>IF(Table17[[#This Row],[Column223]]=Table17[[#This Row],[Column24]],"",1)</f>
        <v>#N/A</v>
      </c>
      <c r="V39" s="5" t="e">
        <f>IF(Table17[[#This Row],[isis]]="",IF(Table17[[#This Row],[isin]]="",Table17[[#This Row],[Column2]],Table17[[#This Row],[isin]]),Table17[[#This Row],[isis]])</f>
        <v>#N/A</v>
      </c>
      <c r="W39" s="3" t="e">
        <f>IF(Table17[[#This Row],[isis]]="",IF(Table17[[#This Row],[isin]]="",Table17[[#This Row],[Column22]],Table17[[#This Row],[stnn]]),Table17[[#This Row],[stns]])</f>
        <v>#N/A</v>
      </c>
      <c r="X39" s="5" t="e">
        <f>IF(Table17[[#This Row],[Column2222]]&lt;1,Table17[[#This Row],[Column23]],Table17[[#This Row],[Column23]]*Table17[[#This Row],[Column2222]])</f>
        <v>#N/A</v>
      </c>
      <c r="Y39" s="3" t="e">
        <f>Table17[[#This Row],[Column24]]</f>
        <v>#N/A</v>
      </c>
      <c r="Z39" s="5" t="e">
        <f>Table17[[#This Row],[HRG / CTN]]/Table17[[#This Row],[Column23]]</f>
        <v>#N/A</v>
      </c>
      <c r="AA39" s="42" t="str">
        <f>IF(INDEX(NOTA[DISC 1],Sheet1!A:A)=0,"",INDEX(NOTA[DISC 1],Sheet1!A:A))</f>
        <v/>
      </c>
      <c r="AB39" s="42" t="str">
        <f>IF(INDEX(NOTA[DISC 2],Sheet1!A:A)=0,"",INDEX(NOTA[DISC 2],Sheet1!A:A))</f>
        <v/>
      </c>
      <c r="AC3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9" s="43">
        <f>INDEX(NOTA[HARGA/ CTN_H],Sheet1!A:A)</f>
        <v>0</v>
      </c>
      <c r="AE39" s="43">
        <f>IF(Table17[[#This Row],[DISC 3]]="",Table17[[#This Row],[HRG / CTN]],Table17[[#This Row],[HRG / CTN]]-(Table17[[#This Row],[HRG / CTN]]*Table17[[#This Row],[DISC 3]]))</f>
        <v>0</v>
      </c>
      <c r="AF39" s="14">
        <f>IF(Table17[[#This Row],[Column2222]]&lt;1,Table17[[#This Row],[Column9]],Table17[[#This Row],[Column9]]*Table17[[#This Row],[Column2222]])</f>
        <v>0</v>
      </c>
      <c r="AG39" s="43">
        <f ca="1">IF(NOT(AL40=Table17[[#This Row],[Column6]]),SUMIF(Table17[Column6],Table17[[#This Row],[Column6]],Table17[Column7]),"")</f>
        <v>0</v>
      </c>
      <c r="AH39" s="44">
        <f ca="1">INDEX(NOTA[TGL_H],Sheet1!A:A)</f>
        <v>45439</v>
      </c>
      <c r="AI39" s="44">
        <f ca="1">INDEX(NOTA[TGL.NOTA_H],Sheet1!A:A)</f>
        <v>45436</v>
      </c>
      <c r="AK39" t="str">
        <f>IF(INDEX(NOTA[KETERANGAN],A:A)="","",INDEX(NOTA[KETERANGAN],A:A))</f>
        <v>SURAT JALAN</v>
      </c>
      <c r="AL39" t="str">
        <f ca="1">INDEX(NOTA[NO.NOTA_H],Sheet1!A:A)</f>
        <v>SURAT JALAN TH031/5/2024</v>
      </c>
      <c r="AM39" t="str">
        <f>INDEX(NOTA[KETERANGAN],Sheet1!A:A)</f>
        <v>SURAT JALAN</v>
      </c>
      <c r="AN39" t="str">
        <f ca="1">INDEX(NOTA[SUPPLIER_H],Sheet1!A:A)</f>
        <v>SBS</v>
      </c>
      <c r="AO39" t="e">
        <f t="shared" ca="1" si="0"/>
        <v>#N/A</v>
      </c>
      <c r="AR39" s="45" t="s">
        <v>166</v>
      </c>
    </row>
    <row r="40" spans="1:44">
      <c r="A40" s="3">
        <v>44</v>
      </c>
      <c r="C40">
        <f>INDEX(NOTA[//DB],Sheet1!A:A)</f>
        <v>3416</v>
      </c>
      <c r="D40" t="e">
        <f>MATCH(Table17[[#This Row],[//db]],[3]!Table2[\\],0)</f>
        <v>#N/A</v>
      </c>
      <c r="E40" t="str">
        <f>INDEX([3]!db[NB NOTA],Table17[[#This Row],[//db]])</f>
        <v>PENCIL CASE 6675 2 ZIPPER MIX TANPA MIKA</v>
      </c>
      <c r="F40" t="str">
        <f>INDEX([3]!db[NB BM],Table17[[#This Row],[//db]])</f>
        <v>PENCIL CASE 6675 2 ZIPPER MIX TANPA MIKA</v>
      </c>
      <c r="G40" t="str">
        <f>_xlfn.IFNA(INDEX([3]!Table2[NAMA],Table17[[#This Row],[dbconcat]]),"")</f>
        <v/>
      </c>
      <c r="H40" t="e">
        <f>INDEX([3]!Table2[KODE BARANG],Table17[[#This Row],[dbconcat]])</f>
        <v>#N/A</v>
      </c>
      <c r="I40" t="str">
        <f>IF(Table17[[#This Row],[Column3]]="",UPPER(Table17[[#This Row],[Column1]]),Table17[[#This Row],[Column3]])</f>
        <v>PENCIL CASE 6675 2 ZIPPER MIX TANPA MIKA</v>
      </c>
      <c r="J40">
        <f>INDEX(NOTA[C],Sheet1!A:A)</f>
        <v>5</v>
      </c>
      <c r="K40" t="str">
        <f>IF(OR(Table17[[#This Row],[Column5]]=0,Table17[[#This Row],[Column3]]=""),"",INDEX([3]!Table2[ISI2],Table17[[#This Row],[dbconcat]]))</f>
        <v/>
      </c>
      <c r="L40" t="str">
        <f>IF(Table17[[#This Row],[isis]]="","",INDEX([3]!Table2[SATUAN3],Table17[[#This Row],[dbconcat]]))</f>
        <v/>
      </c>
      <c r="M40" t="str">
        <f>IF(Table17[[#This Row],[Column5]]=0,"",IF(Table17[[#This Row],[Column3]]="",INDEX([3]!db[QTY B],Table17[[#This Row],[//db]]),""))</f>
        <v>540</v>
      </c>
      <c r="N40" t="str">
        <f>IF(Table17[[#This Row],[isin]]="","",INDEX([3]!db[STN B],Table17[[#This Row],[//db]]))</f>
        <v>PCS</v>
      </c>
      <c r="O40" t="str">
        <f>IF(AND(Table17[[#This Row],[isis]]="",Table17[[#This Row],[isin]]=""),INDEX(NOTA[QTY],Sheet1!A:A)/IF(Table17[[#This Row],[Column5]]=0,1,Table17[[#This Row],[Column5]]),"")</f>
        <v/>
      </c>
      <c r="P40" t="str">
        <f>IF(Table17[[#This Row],[Column2]]="","",INDEX(NOTA[STN],Sheet1!A:A))</f>
        <v/>
      </c>
      <c r="Q40" s="5" t="str">
        <f>INDEX([3]!db[QTY B],Table17[[#This Row],[//db]])</f>
        <v>540</v>
      </c>
      <c r="R40" t="str">
        <f>INDEX([3]!db[STN B],Table17[[#This Row],[//db]])</f>
        <v>PCS</v>
      </c>
      <c r="S40" s="40" t="str">
        <f>IF(Table17[[#This Row],[Column5]]=0,Table17[[#This Row],[Column23]]/Table17[[#This Row],[Column224]],"")</f>
        <v/>
      </c>
      <c r="T40" s="48">
        <f>IF(Table17[[#This Row],[Column222]]="",Table17[[#This Row],[Column5]],Table17[[#This Row],[Column222]])</f>
        <v>5</v>
      </c>
      <c r="U40" s="4" t="str">
        <f>IF(Table17[[#This Row],[Column223]]=Table17[[#This Row],[Column24]],"",1)</f>
        <v/>
      </c>
      <c r="V40" s="5" t="str">
        <f>IF(Table17[[#This Row],[isis]]="",IF(Table17[[#This Row],[isin]]="",Table17[[#This Row],[Column2]],Table17[[#This Row],[isin]]),Table17[[#This Row],[isis]])</f>
        <v>540</v>
      </c>
      <c r="W40" s="3" t="str">
        <f>IF(Table17[[#This Row],[isis]]="",IF(Table17[[#This Row],[isin]]="",Table17[[#This Row],[Column22]],Table17[[#This Row],[stnn]]),Table17[[#This Row],[stns]])</f>
        <v>PCS</v>
      </c>
      <c r="X40" s="5">
        <f>IF(Table17[[#This Row],[Column2222]]&lt;1,Table17[[#This Row],[Column23]],Table17[[#This Row],[Column23]]*Table17[[#This Row],[Column2222]])</f>
        <v>2700</v>
      </c>
      <c r="Y40" s="3" t="str">
        <f>Table17[[#This Row],[Column24]]</f>
        <v>PCS</v>
      </c>
      <c r="Z40" s="5">
        <f>Table17[[#This Row],[HRG / CTN]]/Table17[[#This Row],[Column23]]</f>
        <v>7500</v>
      </c>
      <c r="AA40" s="42">
        <f>IF(INDEX(NOTA[DISC 1],Sheet1!A:A)=0,"",INDEX(NOTA[DISC 1],Sheet1!A:A))</f>
        <v>0.03</v>
      </c>
      <c r="AB40" s="42" t="str">
        <f>IF(INDEX(NOTA[DISC 2],Sheet1!A:A)=0,"",INDEX(NOTA[DISC 2],Sheet1!A:A))</f>
        <v/>
      </c>
      <c r="AC40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40" s="43">
        <f>INDEX(NOTA[HARGA/ CTN_H],Sheet1!A:A)</f>
        <v>4050000</v>
      </c>
      <c r="AE40" s="43">
        <f>IF(Table17[[#This Row],[DISC 3]]="",Table17[[#This Row],[HRG / CTN]],Table17[[#This Row],[HRG / CTN]]-(Table17[[#This Row],[HRG / CTN]]*Table17[[#This Row],[DISC 3]]))</f>
        <v>3928500</v>
      </c>
      <c r="AF40" s="14">
        <f>IF(Table17[[#This Row],[Column2222]]&lt;1,Table17[[#This Row],[Column9]],Table17[[#This Row],[Column9]]*Table17[[#This Row],[Column2222]])</f>
        <v>19642500</v>
      </c>
      <c r="AG40" s="43" t="str">
        <f ca="1">IF(NOT(AL41=Table17[[#This Row],[Column6]]),SUMIF(Table17[Column6],Table17[[#This Row],[Column6]],Table17[Column7]),"")</f>
        <v/>
      </c>
      <c r="AH40" s="44">
        <f ca="1">INDEX(NOTA[TGL_H],Sheet1!A:A)</f>
        <v>45439</v>
      </c>
      <c r="AI40" s="44">
        <f ca="1">INDEX(NOTA[TGL.NOTA_H],Sheet1!A:A)</f>
        <v>45436</v>
      </c>
      <c r="AK40" t="str">
        <f>IF(INDEX(NOTA[KETERANGAN],A:A)="","",INDEX(NOTA[KETERANGAN],A:A))</f>
        <v/>
      </c>
      <c r="AL40" t="str">
        <f ca="1">INDEX(NOTA[NO.NOTA_H],Sheet1!A:A)</f>
        <v>SIW/0423/05-24</v>
      </c>
      <c r="AM40">
        <f>INDEX(NOTA[KETERANGAN],Sheet1!A:A)</f>
        <v>0</v>
      </c>
      <c r="AN40" t="str">
        <f ca="1">INDEX(NOTA[SUPPLIER_H],Sheet1!A:A)</f>
        <v>SAHABAT REJEKI</v>
      </c>
      <c r="AO40" t="e">
        <f t="shared" ca="1" si="0"/>
        <v>#N/A</v>
      </c>
      <c r="AR40" s="45" t="s">
        <v>166</v>
      </c>
    </row>
    <row r="41" spans="1:44">
      <c r="A41" s="3">
        <v>45</v>
      </c>
      <c r="C41">
        <f>INDEX(NOTA[//DB],Sheet1!A:A)</f>
        <v>3417</v>
      </c>
      <c r="D41">
        <f>MATCH(Table17[[#This Row],[//db]],[3]!Table2[\\],0)</f>
        <v>297</v>
      </c>
      <c r="E41" t="str">
        <f>INDEX([3]!db[NB NOTA],Table17[[#This Row],[//db]])</f>
        <v>SKETCH BOOK 8K HMX-45002 TOWN (45LBR)</v>
      </c>
      <c r="F41" t="str">
        <f>INDEX([3]!db[NB BM],Table17[[#This Row],[//db]])</f>
        <v>SKETCH BOOK 8K HMX-45002 TOWN (45LBR)</v>
      </c>
      <c r="G41" t="str">
        <f>_xlfn.IFNA(INDEX([3]!Table2[NAMA],Table17[[#This Row],[dbconcat]]),"")</f>
        <v>SKETCH BOOK 8K HMX-45002 TOWN (45LBR)</v>
      </c>
      <c r="H41" t="str">
        <f>INDEX([3]!Table2[KODE BARANG],Table17[[#This Row],[dbconcat]])</f>
        <v>BGA-NB3</v>
      </c>
      <c r="I41" t="str">
        <f>IF(Table17[[#This Row],[Column3]]="",UPPER(Table17[[#This Row],[Column1]]),Table17[[#This Row],[Column3]])</f>
        <v>SKETCH BOOK 8K HMX-45002 TOWN (45LBR)</v>
      </c>
      <c r="J41">
        <f>INDEX(NOTA[C],Sheet1!A:A)</f>
        <v>1</v>
      </c>
      <c r="K41">
        <f>IF(OR(Table17[[#This Row],[Column5]]=0,Table17[[#This Row],[Column3]]=""),"",INDEX([3]!Table2[ISI2],Table17[[#This Row],[dbconcat]]))</f>
        <v>68</v>
      </c>
      <c r="L41" t="str">
        <f>IF(Table17[[#This Row],[isis]]="","",INDEX([3]!Table2[SATUAN3],Table17[[#This Row],[dbconcat]]))</f>
        <v>PCS</v>
      </c>
      <c r="M41" t="str">
        <f>IF(Table17[[#This Row],[Column5]]=0,"",IF(Table17[[#This Row],[Column3]]="",INDEX([3]!db[QTY B],Table17[[#This Row],[//db]]),""))</f>
        <v/>
      </c>
      <c r="N41" t="str">
        <f>IF(Table17[[#This Row],[isin]]="","",INDEX([3]!db[STN B],Table17[[#This Row],[//db]]))</f>
        <v/>
      </c>
      <c r="O41" t="str">
        <f>IF(AND(Table17[[#This Row],[isis]]="",Table17[[#This Row],[isin]]=""),INDEX(NOTA[QTY],Sheet1!A:A)/IF(Table17[[#This Row],[Column5]]=0,1,Table17[[#This Row],[Column5]]),"")</f>
        <v/>
      </c>
      <c r="P41" t="str">
        <f>IF(Table17[[#This Row],[Column2]]="","",INDEX(NOTA[STN],Sheet1!A:A))</f>
        <v/>
      </c>
      <c r="Q41" s="5" t="str">
        <f>INDEX([3]!db[QTY B],Table17[[#This Row],[//db]])</f>
        <v>68</v>
      </c>
      <c r="R41" t="str">
        <f>INDEX([3]!db[STN B],Table17[[#This Row],[//db]])</f>
        <v>PCS</v>
      </c>
      <c r="S41" s="40" t="str">
        <f>IF(Table17[[#This Row],[Column5]]=0,Table17[[#This Row],[Column23]]/Table17[[#This Row],[Column224]],"")</f>
        <v/>
      </c>
      <c r="T41" s="4">
        <f>IF(Table17[[#This Row],[Column222]]="",Table17[[#This Row],[Column5]],Table17[[#This Row],[Column222]])</f>
        <v>1</v>
      </c>
      <c r="U41" s="4" t="str">
        <f>IF(Table17[[#This Row],[Column223]]=Table17[[#This Row],[Column24]],"",1)</f>
        <v/>
      </c>
      <c r="V41" s="5">
        <f>IF(Table17[[#This Row],[isis]]="",IF(Table17[[#This Row],[isin]]="",Table17[[#This Row],[Column2]],Table17[[#This Row],[isin]]),Table17[[#This Row],[isis]])</f>
        <v>68</v>
      </c>
      <c r="W41" s="3" t="str">
        <f>IF(Table17[[#This Row],[isis]]="",IF(Table17[[#This Row],[isin]]="",Table17[[#This Row],[Column22]],Table17[[#This Row],[stnn]]),Table17[[#This Row],[stns]])</f>
        <v>PCS</v>
      </c>
      <c r="X41" s="5">
        <f>IF(Table17[[#This Row],[Column2222]]&lt;1,Table17[[#This Row],[Column23]],Table17[[#This Row],[Column23]]*Table17[[#This Row],[Column2222]])</f>
        <v>68</v>
      </c>
      <c r="Y41" s="3" t="str">
        <f>Table17[[#This Row],[Column24]]</f>
        <v>PCS</v>
      </c>
      <c r="Z41" s="5">
        <f>Table17[[#This Row],[HRG / CTN]]/Table17[[#This Row],[Column23]]</f>
        <v>22500</v>
      </c>
      <c r="AA41" s="42">
        <f>IF(INDEX(NOTA[DISC 1],Sheet1!A:A)=0,"",INDEX(NOTA[DISC 1],Sheet1!A:A))</f>
        <v>0.03</v>
      </c>
      <c r="AB41" s="42" t="str">
        <f>IF(INDEX(NOTA[DISC 2],Sheet1!A:A)=0,"",INDEX(NOTA[DISC 2],Sheet1!A:A))</f>
        <v/>
      </c>
      <c r="AC41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41" s="43">
        <f>INDEX(NOTA[HARGA/ CTN_H],Sheet1!A:A)</f>
        <v>1530000</v>
      </c>
      <c r="AE41" s="43">
        <f>IF(Table17[[#This Row],[DISC 3]]="",Table17[[#This Row],[HRG / CTN]],Table17[[#This Row],[HRG / CTN]]-(Table17[[#This Row],[HRG / CTN]]*Table17[[#This Row],[DISC 3]]))</f>
        <v>1484100</v>
      </c>
      <c r="AF41" s="14">
        <f>IF(Table17[[#This Row],[Column2222]]&lt;1,Table17[[#This Row],[Column9]],Table17[[#This Row],[Column9]]*Table17[[#This Row],[Column2222]])</f>
        <v>1484100</v>
      </c>
      <c r="AG41" s="43" t="str">
        <f ca="1">IF(NOT(AL42=Table17[[#This Row],[Column6]]),SUMIF(Table17[Column6],Table17[[#This Row],[Column6]],Table17[Column7]),"")</f>
        <v/>
      </c>
      <c r="AH41" s="44">
        <f ca="1">INDEX(NOTA[TGL_H],Sheet1!A:A)</f>
        <v>45439</v>
      </c>
      <c r="AI41" s="44">
        <f ca="1">INDEX(NOTA[TGL.NOTA_H],Sheet1!A:A)</f>
        <v>45436</v>
      </c>
      <c r="AK41" t="str">
        <f>IF(INDEX(NOTA[KETERANGAN],A:A)="","",INDEX(NOTA[KETERANGAN],A:A))</f>
        <v/>
      </c>
      <c r="AL41" t="str">
        <f ca="1">INDEX(NOTA[NO.NOTA_H],Sheet1!A:A)</f>
        <v>SIW/0423/05-24</v>
      </c>
      <c r="AM41">
        <f>INDEX(NOTA[KETERANGAN],Sheet1!A:A)</f>
        <v>0</v>
      </c>
      <c r="AN41" t="str">
        <f ca="1">INDEX(NOTA[SUPPLIER_H],Sheet1!A:A)</f>
        <v>SAHABAT REJEKI</v>
      </c>
      <c r="AO41" t="e">
        <f t="shared" ca="1" si="0"/>
        <v>#N/A</v>
      </c>
      <c r="AR41" s="45" t="s">
        <v>166</v>
      </c>
    </row>
    <row r="42" spans="1:44" s="49" customFormat="1">
      <c r="A42" s="51">
        <v>46</v>
      </c>
      <c r="C42" s="49">
        <f>INDEX(NOTA[//DB],Sheet1!A:A)</f>
        <v>3418</v>
      </c>
      <c r="D42" s="49">
        <f>MATCH(Table17[[#This Row],[//db]],[3]!Table2[\\],0)</f>
        <v>298</v>
      </c>
      <c r="E42" s="49" t="str">
        <f>INDEX([3]!db[NB NOTA],Table17[[#This Row],[//db]])</f>
        <v>SKETCH BOOK 8K HMX-45003 GIRL (45LBR)</v>
      </c>
      <c r="F42" s="49" t="str">
        <f>INDEX([3]!db[NB BM],Table17[[#This Row],[//db]])</f>
        <v>SKETCH BOOK 8K HMX-45003 GIRL (45LBR)</v>
      </c>
      <c r="G42" s="49" t="str">
        <f>_xlfn.IFNA(INDEX([3]!Table2[NAMA],Table17[[#This Row],[dbconcat]]),"")</f>
        <v>SKETCH BOOK 8K HMX-45003 GIRL (45LBR)</v>
      </c>
      <c r="H42" s="49" t="str">
        <f>INDEX([3]!Table2[KODE BARANG],Table17[[#This Row],[dbconcat]])</f>
        <v>BGA-NB4</v>
      </c>
      <c r="I42" s="49" t="str">
        <f>IF(Table17[[#This Row],[Column3]]="",UPPER(Table17[[#This Row],[Column1]]),Table17[[#This Row],[Column3]])</f>
        <v>SKETCH BOOK 8K HMX-45003 GIRL (45LBR)</v>
      </c>
      <c r="J42" s="49">
        <f>INDEX(NOTA[C],Sheet1!A:A)</f>
        <v>1</v>
      </c>
      <c r="K42" s="49">
        <f>IF(OR(Table17[[#This Row],[Column5]]=0,Table17[[#This Row],[Column3]]=""),"",INDEX([3]!Table2[ISI2],Table17[[#This Row],[dbconcat]]))</f>
        <v>68</v>
      </c>
      <c r="L42" s="49" t="str">
        <f>IF(Table17[[#This Row],[isis]]="","",INDEX([3]!Table2[SATUAN3],Table17[[#This Row],[dbconcat]]))</f>
        <v>PCS</v>
      </c>
      <c r="M42" s="49" t="str">
        <f>IF(Table17[[#This Row],[Column5]]=0,"",IF(Table17[[#This Row],[Column3]]="",INDEX([3]!db[QTY B],Table17[[#This Row],[//db]]),""))</f>
        <v/>
      </c>
      <c r="N42" s="49" t="str">
        <f>IF(Table17[[#This Row],[isin]]="","",INDEX([3]!db[STN B],Table17[[#This Row],[//db]]))</f>
        <v/>
      </c>
      <c r="O42" s="49" t="str">
        <f>IF(AND(Table17[[#This Row],[isis]]="",Table17[[#This Row],[isin]]=""),INDEX(NOTA[QTY],Sheet1!A:A)/IF(Table17[[#This Row],[Column5]]=0,1,Table17[[#This Row],[Column5]]),"")</f>
        <v/>
      </c>
      <c r="P42" s="49" t="str">
        <f>IF(Table17[[#This Row],[Column2]]="","",INDEX(NOTA[STN],Sheet1!A:A))</f>
        <v/>
      </c>
      <c r="Q42" s="52" t="str">
        <f>INDEX([3]!db[QTY B],Table17[[#This Row],[//db]])</f>
        <v>68</v>
      </c>
      <c r="R42" s="49" t="str">
        <f>INDEX([3]!db[STN B],Table17[[#This Row],[//db]])</f>
        <v>PCS</v>
      </c>
      <c r="S42" s="53" t="str">
        <f>IF(Table17[[#This Row],[Column5]]=0,Table17[[#This Row],[Column23]]/Table17[[#This Row],[Column224]],"")</f>
        <v/>
      </c>
      <c r="T42" s="54">
        <f>IF(Table17[[#This Row],[Column222]]="",Table17[[#This Row],[Column5]],Table17[[#This Row],[Column222]])</f>
        <v>1</v>
      </c>
      <c r="U42" s="54" t="str">
        <f>IF(Table17[[#This Row],[Column223]]=Table17[[#This Row],[Column24]],"",1)</f>
        <v/>
      </c>
      <c r="V42" s="52">
        <f>IF(Table17[[#This Row],[isis]]="",IF(Table17[[#This Row],[isin]]="",Table17[[#This Row],[Column2]],Table17[[#This Row],[isin]]),Table17[[#This Row],[isis]])</f>
        <v>68</v>
      </c>
      <c r="W42" s="51" t="str">
        <f>IF(Table17[[#This Row],[isis]]="",IF(Table17[[#This Row],[isin]]="",Table17[[#This Row],[Column22]],Table17[[#This Row],[stnn]]),Table17[[#This Row],[stns]])</f>
        <v>PCS</v>
      </c>
      <c r="X42" s="52">
        <f>IF(Table17[[#This Row],[Column2222]]&lt;1,Table17[[#This Row],[Column23]],Table17[[#This Row],[Column23]]*Table17[[#This Row],[Column2222]])</f>
        <v>68</v>
      </c>
      <c r="Y42" s="51" t="str">
        <f>Table17[[#This Row],[Column24]]</f>
        <v>PCS</v>
      </c>
      <c r="Z42" s="52">
        <f>Table17[[#This Row],[HRG / CTN]]/Table17[[#This Row],[Column23]]</f>
        <v>22500</v>
      </c>
      <c r="AA42" s="55">
        <f>IF(INDEX(NOTA[DISC 1],Sheet1!A:A)=0,"",INDEX(NOTA[DISC 1],Sheet1!A:A))</f>
        <v>0.03</v>
      </c>
      <c r="AB42" s="55" t="str">
        <f>IF(INDEX(NOTA[DISC 2],Sheet1!A:A)=0,"",INDEX(NOTA[DISC 2],Sheet1!A:A))</f>
        <v/>
      </c>
      <c r="AC42" s="5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42" s="56">
        <f>INDEX(NOTA[HARGA/ CTN_H],Sheet1!A:A)</f>
        <v>1530000</v>
      </c>
      <c r="AE42" s="56">
        <f>IF(Table17[[#This Row],[DISC 3]]="",Table17[[#This Row],[HRG / CTN]],Table17[[#This Row],[HRG / CTN]]-(Table17[[#This Row],[HRG / CTN]]*Table17[[#This Row],[DISC 3]]))</f>
        <v>1484100</v>
      </c>
      <c r="AF42" s="57">
        <f>IF(Table17[[#This Row],[Column2222]]&lt;1,Table17[[#This Row],[Column9]],Table17[[#This Row],[Column9]]*Table17[[#This Row],[Column2222]])</f>
        <v>1484100</v>
      </c>
      <c r="AG42" s="56">
        <f ca="1">IF(NOT(AL43=Table17[[#This Row],[Column6]]),SUMIF(Table17[Column6],Table17[[#This Row],[Column6]],Table17[Column7]),"")</f>
        <v>22610700</v>
      </c>
      <c r="AH42" s="58">
        <f ca="1">INDEX(NOTA[TGL_H],Sheet1!A:A)</f>
        <v>45439</v>
      </c>
      <c r="AI42" s="58">
        <f ca="1">INDEX(NOTA[TGL.NOTA_H],Sheet1!A:A)</f>
        <v>45436</v>
      </c>
      <c r="AJ42" s="59"/>
      <c r="AK42" s="49" t="str">
        <f>IF(INDEX(NOTA[KETERANGAN],A:A)="","",INDEX(NOTA[KETERANGAN],A:A))</f>
        <v/>
      </c>
      <c r="AL42" s="49" t="str">
        <f ca="1">INDEX(NOTA[NO.NOTA_H],Sheet1!A:A)</f>
        <v>SIW/0423/05-24</v>
      </c>
      <c r="AM42" s="49">
        <f>INDEX(NOTA[KETERANGAN],Sheet1!A:A)</f>
        <v>0</v>
      </c>
      <c r="AN42" s="49" t="str">
        <f ca="1">INDEX(NOTA[SUPPLIER_H],Sheet1!A:A)</f>
        <v>SAHABAT REJEKI</v>
      </c>
      <c r="AO42" s="49" t="e">
        <f t="shared" ca="1" si="0"/>
        <v>#N/A</v>
      </c>
      <c r="AR42" s="50" t="s">
        <v>166</v>
      </c>
    </row>
    <row r="43" spans="1:44">
      <c r="A43" s="3">
        <v>48</v>
      </c>
      <c r="C43">
        <f>INDEX(NOTA[//DB],Sheet1!A:A)</f>
        <v>17</v>
      </c>
      <c r="D43">
        <f>MATCH(Table17[[#This Row],[//db]],[3]!Table2[\\],0)</f>
        <v>870</v>
      </c>
      <c r="E43" t="str">
        <f>INDEX([3]!db[NB NOTA],Table17[[#This Row],[//db]])</f>
        <v>ACRYLIC COLORS PAINT V TRO</v>
      </c>
      <c r="F43" t="str">
        <f>INDEX([3]!db[NB BM],Table17[[#This Row],[//db]])</f>
        <v>CAT ACRYLIC COLOUR PAINT V-TRO</v>
      </c>
      <c r="G43" t="str">
        <f>_xlfn.IFNA(INDEX([3]!Table2[NAMA],Table17[[#This Row],[dbconcat]]),"")</f>
        <v>CAT ACRYLIC COLOUR PAINT V-TRO</v>
      </c>
      <c r="H43" t="str">
        <f>INDEX([3]!Table2[KODE BARANG],Table17[[#This Row],[dbconcat]])</f>
        <v>CAT-VO11</v>
      </c>
      <c r="I43" t="str">
        <f>IF(Table17[[#This Row],[Column3]]="",UPPER(Table17[[#This Row],[Column1]]),Table17[[#This Row],[Column3]])</f>
        <v>CAT ACRYLIC COLOUR PAINT V-TRO</v>
      </c>
      <c r="J43">
        <f>INDEX(NOTA[C],Sheet1!A:A)</f>
        <v>10</v>
      </c>
      <c r="K43">
        <f>IF(OR(Table17[[#This Row],[Column5]]=0,Table17[[#This Row],[Column3]]=""),"",INDEX([3]!Table2[ISI2],Table17[[#This Row],[dbconcat]]))</f>
        <v>100</v>
      </c>
      <c r="L43" t="str">
        <f>IF(Table17[[#This Row],[isis]]="","",INDEX([3]!Table2[SATUAN3],Table17[[#This Row],[dbconcat]]))</f>
        <v>PCS</v>
      </c>
      <c r="M43" t="str">
        <f>IF(Table17[[#This Row],[Column5]]=0,"",IF(Table17[[#This Row],[Column3]]="",INDEX([3]!db[QTY B],Table17[[#This Row],[//db]]),""))</f>
        <v/>
      </c>
      <c r="N43" t="str">
        <f>IF(Table17[[#This Row],[isin]]="","",INDEX([3]!db[STN B],Table17[[#This Row],[//db]]))</f>
        <v/>
      </c>
      <c r="O43" t="str">
        <f>IF(AND(Table17[[#This Row],[isis]]="",Table17[[#This Row],[isin]]=""),INDEX(NOTA[QTY],Sheet1!A:A)/IF(Table17[[#This Row],[Column5]]=0,1,Table17[[#This Row],[Column5]]),"")</f>
        <v/>
      </c>
      <c r="P43" t="str">
        <f>IF(Table17[[#This Row],[Column2]]="","",INDEX(NOTA[STN],Sheet1!A:A))</f>
        <v/>
      </c>
      <c r="Q43" s="5" t="str">
        <f>INDEX([3]!db[QTY B],Table17[[#This Row],[//db]])</f>
        <v>100</v>
      </c>
      <c r="R43" t="str">
        <f>INDEX([3]!db[STN B],Table17[[#This Row],[//db]])</f>
        <v>PCS</v>
      </c>
      <c r="S43" s="40" t="str">
        <f>IF(Table17[[#This Row],[Column5]]=0,Table17[[#This Row],[Column23]]/Table17[[#This Row],[Column224]],"")</f>
        <v/>
      </c>
      <c r="T43" s="4">
        <f>IF(Table17[[#This Row],[Column222]]="",Table17[[#This Row],[Column5]],Table17[[#This Row],[Column222]])</f>
        <v>10</v>
      </c>
      <c r="U43" s="4" t="str">
        <f>IF(Table17[[#This Row],[Column223]]=Table17[[#This Row],[Column24]],"",1)</f>
        <v/>
      </c>
      <c r="V43" s="5">
        <f>IF(Table17[[#This Row],[isis]]="",IF(Table17[[#This Row],[isin]]="",Table17[[#This Row],[Column2]],Table17[[#This Row],[isin]]),Table17[[#This Row],[isis]])</f>
        <v>100</v>
      </c>
      <c r="W43" s="3" t="str">
        <f>IF(Table17[[#This Row],[isis]]="",IF(Table17[[#This Row],[isin]]="",Table17[[#This Row],[Column22]],Table17[[#This Row],[stnn]]),Table17[[#This Row],[stns]])</f>
        <v>PCS</v>
      </c>
      <c r="X43" s="5">
        <f>IF(Table17[[#This Row],[Column2222]]&lt;1,Table17[[#This Row],[Column23]],Table17[[#This Row],[Column23]]*Table17[[#This Row],[Column2222]])</f>
        <v>1000</v>
      </c>
      <c r="Y43" s="3" t="str">
        <f>Table17[[#This Row],[Column24]]</f>
        <v>PCS</v>
      </c>
      <c r="Z43" s="60">
        <f>Table17[[#This Row],[HRG / CTN]]/Table17[[#This Row],[Column23]]</f>
        <v>13500</v>
      </c>
      <c r="AA43" s="42" t="str">
        <f>IF(INDEX(NOTA[DISC 1],Sheet1!A:A)=0,"",INDEX(NOTA[DISC 1],Sheet1!A:A))</f>
        <v/>
      </c>
      <c r="AB43" s="42" t="str">
        <f>IF(INDEX(NOTA[DISC 2],Sheet1!A:A)=0,"",INDEX(NOTA[DISC 2],Sheet1!A:A))</f>
        <v/>
      </c>
      <c r="AC4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3" s="43">
        <f>INDEX(NOTA[HARGA/ CTN_H],Sheet1!A:A)</f>
        <v>1350000</v>
      </c>
      <c r="AE43" s="43">
        <f>IF(Table17[[#This Row],[DISC 3]]="",Table17[[#This Row],[HRG / CTN]],Table17[[#This Row],[HRG / CTN]]-(Table17[[#This Row],[HRG / CTN]]*Table17[[#This Row],[DISC 3]]))</f>
        <v>1350000</v>
      </c>
      <c r="AF43" s="14">
        <f>IF(Table17[[#This Row],[Column2222]]&lt;1,Table17[[#This Row],[Column9]],Table17[[#This Row],[Column9]]*Table17[[#This Row],[Column2222]])</f>
        <v>13500000</v>
      </c>
      <c r="AG43" s="43" t="str">
        <f ca="1">IF(NOT(AL44=Table17[[#This Row],[Column6]]),SUMIF(Table17[Column6],Table17[[#This Row],[Column6]],Table17[Column7]),"")</f>
        <v/>
      </c>
      <c r="AH43" s="44">
        <f ca="1">INDEX(NOTA[TGL_H],Sheet1!A:A)</f>
        <v>45442</v>
      </c>
      <c r="AI43" s="44">
        <f ca="1">INDEX(NOTA[TGL.NOTA_H],Sheet1!A:A)</f>
        <v>45436</v>
      </c>
      <c r="AK43" t="str">
        <f>IF(INDEX(NOTA[KETERANGAN],A:A)="","",INDEX(NOTA[KETERANGAN],A:A))</f>
        <v/>
      </c>
      <c r="AL43" t="str">
        <f ca="1">INDEX(NOTA[NO.NOTA_H],Sheet1!A:A)</f>
        <v>24/V/366</v>
      </c>
      <c r="AM43">
        <f>INDEX(NOTA[KETERANGAN],Sheet1!A:A)</f>
        <v>0</v>
      </c>
      <c r="AN43" t="str">
        <f ca="1">INDEX(NOTA[SUPPLIER_H],Sheet1!A:A)</f>
        <v>SURYA PRATAMA</v>
      </c>
      <c r="AO43" t="e">
        <f t="shared" ref="AO43:AO73" ca="1" si="1">MATCH(AL:AL,AR:AR,0)</f>
        <v>#N/A</v>
      </c>
      <c r="AR43" s="45" t="s">
        <v>166</v>
      </c>
    </row>
    <row r="44" spans="1:44">
      <c r="A44" s="3">
        <v>49</v>
      </c>
      <c r="C44">
        <f>INDEX(NOTA[//DB],Sheet1!A:A)</f>
        <v>3163</v>
      </c>
      <c r="D44" t="e">
        <f>MATCH(Table17[[#This Row],[//db]],[3]!Table2[\\],0)</f>
        <v>#N/A</v>
      </c>
      <c r="E44" t="str">
        <f>INDEX([3]!db[NB NOTA],Table17[[#This Row],[//db]])</f>
        <v>WATER COLORS PAINT V TRO</v>
      </c>
      <c r="F44" t="str">
        <f>INDEX([3]!db[NB BM],Table17[[#This Row],[//db]])</f>
        <v>CAT WATER COLORS PAINT V-TRO</v>
      </c>
      <c r="G44" t="str">
        <f>_xlfn.IFNA(INDEX([3]!Table2[NAMA],Table17[[#This Row],[dbconcat]]),"")</f>
        <v/>
      </c>
      <c r="H44" t="e">
        <f>INDEX([3]!Table2[KODE BARANG],Table17[[#This Row],[dbconcat]])</f>
        <v>#N/A</v>
      </c>
      <c r="I44" t="str">
        <f>IF(Table17[[#This Row],[Column3]]="",UPPER(Table17[[#This Row],[Column1]]),Table17[[#This Row],[Column3]])</f>
        <v>CAT WATER COLORS PAINT V-TRO</v>
      </c>
      <c r="J44">
        <f>INDEX(NOTA[C],Sheet1!A:A)</f>
        <v>10</v>
      </c>
      <c r="K44" t="str">
        <f>IF(OR(Table17[[#This Row],[Column5]]=0,Table17[[#This Row],[Column3]]=""),"",INDEX([3]!Table2[ISI2],Table17[[#This Row],[dbconcat]]))</f>
        <v/>
      </c>
      <c r="L44" t="str">
        <f>IF(Table17[[#This Row],[isis]]="","",INDEX([3]!Table2[SATUAN3],Table17[[#This Row],[dbconcat]]))</f>
        <v/>
      </c>
      <c r="M44" t="str">
        <f>IF(Table17[[#This Row],[Column5]]=0,"",IF(Table17[[#This Row],[Column3]]="",INDEX([3]!db[QTY B],Table17[[#This Row],[//db]]),""))</f>
        <v>100</v>
      </c>
      <c r="N44" t="str">
        <f>IF(Table17[[#This Row],[isin]]="","",INDEX([3]!db[STN B],Table17[[#This Row],[//db]]))</f>
        <v>PCS</v>
      </c>
      <c r="O44" t="str">
        <f>IF(AND(Table17[[#This Row],[isis]]="",Table17[[#This Row],[isin]]=""),INDEX(NOTA[QTY],Sheet1!A:A)/IF(Table17[[#This Row],[Column5]]=0,1,Table17[[#This Row],[Column5]]),"")</f>
        <v/>
      </c>
      <c r="P44" t="str">
        <f>IF(Table17[[#This Row],[Column2]]="","",INDEX(NOTA[STN],Sheet1!A:A))</f>
        <v/>
      </c>
      <c r="Q44" s="5" t="str">
        <f>INDEX([3]!db[QTY B],Table17[[#This Row],[//db]])</f>
        <v>100</v>
      </c>
      <c r="R44" t="str">
        <f>INDEX([3]!db[STN B],Table17[[#This Row],[//db]])</f>
        <v>PCS</v>
      </c>
      <c r="S44" s="40" t="str">
        <f>IF(Table17[[#This Row],[Column5]]=0,Table17[[#This Row],[Column23]]/Table17[[#This Row],[Column224]],"")</f>
        <v/>
      </c>
      <c r="T44" s="4">
        <f>IF(Table17[[#This Row],[Column222]]="",Table17[[#This Row],[Column5]],Table17[[#This Row],[Column222]])</f>
        <v>10</v>
      </c>
      <c r="U44" s="4" t="str">
        <f>IF(Table17[[#This Row],[Column223]]=Table17[[#This Row],[Column24]],"",1)</f>
        <v/>
      </c>
      <c r="V44" s="5" t="str">
        <f>IF(Table17[[#This Row],[isis]]="",IF(Table17[[#This Row],[isin]]="",Table17[[#This Row],[Column2]],Table17[[#This Row],[isin]]),Table17[[#This Row],[isis]])</f>
        <v>100</v>
      </c>
      <c r="W44" s="3" t="str">
        <f>IF(Table17[[#This Row],[isis]]="",IF(Table17[[#This Row],[isin]]="",Table17[[#This Row],[Column22]],Table17[[#This Row],[stnn]]),Table17[[#This Row],[stns]])</f>
        <v>PCS</v>
      </c>
      <c r="X44" s="5">
        <f>IF(Table17[[#This Row],[Column2222]]&lt;1,Table17[[#This Row],[Column23]],Table17[[#This Row],[Column23]]*Table17[[#This Row],[Column2222]])</f>
        <v>1000</v>
      </c>
      <c r="Y44" s="3" t="str">
        <f>Table17[[#This Row],[Column24]]</f>
        <v>PCS</v>
      </c>
      <c r="Z44" s="5">
        <f>Table17[[#This Row],[HRG / CTN]]/Table17[[#This Row],[Column23]]</f>
        <v>12500</v>
      </c>
      <c r="AA44" s="42" t="str">
        <f>IF(INDEX(NOTA[DISC 1],Sheet1!A:A)=0,"",INDEX(NOTA[DISC 1],Sheet1!A:A))</f>
        <v/>
      </c>
      <c r="AB44" s="42" t="str">
        <f>IF(INDEX(NOTA[DISC 2],Sheet1!A:A)=0,"",INDEX(NOTA[DISC 2],Sheet1!A:A))</f>
        <v/>
      </c>
      <c r="AC4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4" s="43">
        <f>INDEX(NOTA[HARGA/ CTN_H],Sheet1!A:A)</f>
        <v>1250000</v>
      </c>
      <c r="AE44" s="43">
        <f>IF(Table17[[#This Row],[DISC 3]]="",Table17[[#This Row],[HRG / CTN]],Table17[[#This Row],[HRG / CTN]]-(Table17[[#This Row],[HRG / CTN]]*Table17[[#This Row],[DISC 3]]))</f>
        <v>1250000</v>
      </c>
      <c r="AF44" s="14">
        <f>IF(Table17[[#This Row],[Column2222]]&lt;1,Table17[[#This Row],[Column9]],Table17[[#This Row],[Column9]]*Table17[[#This Row],[Column2222]])</f>
        <v>12500000</v>
      </c>
      <c r="AG44" s="43">
        <f ca="1">IF(NOT(AL45=Table17[[#This Row],[Column6]]),SUMIF(Table17[Column6],Table17[[#This Row],[Column6]],Table17[Column7]),"")</f>
        <v>26000000</v>
      </c>
      <c r="AH44" s="44">
        <f ca="1">INDEX(NOTA[TGL_H],Sheet1!A:A)</f>
        <v>45442</v>
      </c>
      <c r="AI44" s="44">
        <f ca="1">INDEX(NOTA[TGL.NOTA_H],Sheet1!A:A)</f>
        <v>45436</v>
      </c>
      <c r="AK44" t="str">
        <f>IF(INDEX(NOTA[KETERANGAN],A:A)="","",INDEX(NOTA[KETERANGAN],A:A))</f>
        <v/>
      </c>
      <c r="AL44" t="str">
        <f ca="1">INDEX(NOTA[NO.NOTA_H],Sheet1!A:A)</f>
        <v>24/V/366</v>
      </c>
      <c r="AM44">
        <f>INDEX(NOTA[KETERANGAN],Sheet1!A:A)</f>
        <v>0</v>
      </c>
      <c r="AN44" t="str">
        <f ca="1">INDEX(NOTA[SUPPLIER_H],Sheet1!A:A)</f>
        <v>SURYA PRATAMA</v>
      </c>
      <c r="AO44" t="e">
        <f t="shared" ca="1" si="1"/>
        <v>#N/A</v>
      </c>
      <c r="AR44" s="45" t="s">
        <v>166</v>
      </c>
    </row>
    <row r="45" spans="1:44">
      <c r="A45" s="3">
        <v>51</v>
      </c>
      <c r="C45">
        <f>INDEX(NOTA[//DB],Sheet1!A:A)</f>
        <v>3419</v>
      </c>
      <c r="D45">
        <f>MATCH(Table17[[#This Row],[//db]],[3]!Table2[\\],0)</f>
        <v>2725</v>
      </c>
      <c r="E45" t="str">
        <f>INDEX([3]!db[NB NOTA],Table17[[#This Row],[//db]])</f>
        <v>PISAU LIPAT MINI (PEMES RENTENG) VTRO MCK01</v>
      </c>
      <c r="F45" t="str">
        <f>INDEX([3]!db[NB BM],Table17[[#This Row],[//db]])</f>
        <v>SILET RENTENG V-TRO</v>
      </c>
      <c r="G45" t="str">
        <f>_xlfn.IFNA(INDEX([3]!Table2[NAMA],Table17[[#This Row],[dbconcat]]),"")</f>
        <v>SILET RENTENG V-TRO</v>
      </c>
      <c r="H45" t="str">
        <f>INDEX([3]!Table2[KODE BARANG],Table17[[#This Row],[dbconcat]])</f>
        <v>SIL-VO1</v>
      </c>
      <c r="I45" t="str">
        <f>IF(Table17[[#This Row],[Column3]]="",UPPER(Table17[[#This Row],[Column1]]),Table17[[#This Row],[Column3]])</f>
        <v>SILET RENTENG V-TRO</v>
      </c>
      <c r="J45">
        <f>INDEX(NOTA[C],Sheet1!A:A)</f>
        <v>10</v>
      </c>
      <c r="K45">
        <f>IF(OR(Table17[[#This Row],[Column5]]=0,Table17[[#This Row],[Column3]]=""),"",INDEX([3]!Table2[ISI2],Table17[[#This Row],[dbconcat]]))</f>
        <v>20</v>
      </c>
      <c r="L45" t="str">
        <f>IF(Table17[[#This Row],[isis]]="","",INDEX([3]!Table2[SATUAN3],Table17[[#This Row],[dbconcat]]))</f>
        <v>GRS</v>
      </c>
      <c r="M45" t="str">
        <f>IF(Table17[[#This Row],[Column5]]=0,"",IF(Table17[[#This Row],[Column3]]="",INDEX([3]!db[QTY B],Table17[[#This Row],[//db]]),""))</f>
        <v/>
      </c>
      <c r="N45" t="str">
        <f>IF(Table17[[#This Row],[isin]]="","",INDEX([3]!db[STN B],Table17[[#This Row],[//db]]))</f>
        <v/>
      </c>
      <c r="O45" t="str">
        <f>IF(AND(Table17[[#This Row],[isis]]="",Table17[[#This Row],[isin]]=""),INDEX(NOTA[QTY],Sheet1!A:A)/IF(Table17[[#This Row],[Column5]]=0,1,Table17[[#This Row],[Column5]]),"")</f>
        <v/>
      </c>
      <c r="P45" t="str">
        <f>IF(Table17[[#This Row],[Column2]]="","",INDEX(NOTA[STN],Sheet1!A:A))</f>
        <v/>
      </c>
      <c r="Q45" s="5" t="str">
        <f>INDEX([3]!db[QTY B],Table17[[#This Row],[//db]])</f>
        <v>240</v>
      </c>
      <c r="R45" t="str">
        <f>INDEX([3]!db[STN B],Table17[[#This Row],[//db]])</f>
        <v>LSN</v>
      </c>
      <c r="S45" s="40" t="str">
        <f>IF(Table17[[#This Row],[Column5]]=0,Table17[[#This Row],[Column23]]/Table17[[#This Row],[Column224]],"")</f>
        <v/>
      </c>
      <c r="T45" s="4">
        <f>IF(Table17[[#This Row],[Column222]]="",Table17[[#This Row],[Column5]],Table17[[#This Row],[Column222]])</f>
        <v>10</v>
      </c>
      <c r="U45" s="4">
        <f>IF(Table17[[#This Row],[Column223]]=Table17[[#This Row],[Column24]],"",1)</f>
        <v>1</v>
      </c>
      <c r="V45" s="5">
        <f>IF(Table17[[#This Row],[isis]]="",IF(Table17[[#This Row],[isin]]="",Table17[[#This Row],[Column2]],Table17[[#This Row],[isin]]),Table17[[#This Row],[isis]])</f>
        <v>20</v>
      </c>
      <c r="W45" s="3" t="str">
        <f>IF(Table17[[#This Row],[isis]]="",IF(Table17[[#This Row],[isin]]="",Table17[[#This Row],[Column22]],Table17[[#This Row],[stnn]]),Table17[[#This Row],[stns]])</f>
        <v>GRS</v>
      </c>
      <c r="X45" s="5">
        <f>IF(Table17[[#This Row],[Column2222]]&lt;1,Table17[[#This Row],[Column23]],Table17[[#This Row],[Column23]]*Table17[[#This Row],[Column2222]])</f>
        <v>200</v>
      </c>
      <c r="Y45" s="3" t="str">
        <f>Table17[[#This Row],[Column24]]</f>
        <v>GRS</v>
      </c>
      <c r="Z45" s="5">
        <f>Table17[[#This Row],[HRG / CTN]]/Table17[[#This Row],[Column23]]</f>
        <v>31800</v>
      </c>
      <c r="AA45" s="42" t="str">
        <f>IF(INDEX(NOTA[DISC 1],Sheet1!A:A)=0,"",INDEX(NOTA[DISC 1],Sheet1!A:A))</f>
        <v/>
      </c>
      <c r="AB45" s="42" t="str">
        <f>IF(INDEX(NOTA[DISC 2],Sheet1!A:A)=0,"",INDEX(NOTA[DISC 2],Sheet1!A:A))</f>
        <v/>
      </c>
      <c r="AC4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5" s="43">
        <f>INDEX(NOTA[HARGA/ CTN_H],Sheet1!A:A)</f>
        <v>636000</v>
      </c>
      <c r="AE45" s="43">
        <f>IF(Table17[[#This Row],[DISC 3]]="",Table17[[#This Row],[HRG / CTN]],Table17[[#This Row],[HRG / CTN]]-(Table17[[#This Row],[HRG / CTN]]*Table17[[#This Row],[DISC 3]]))</f>
        <v>636000</v>
      </c>
      <c r="AF45" s="14">
        <f>IF(Table17[[#This Row],[Column2222]]&lt;1,Table17[[#This Row],[Column9]],Table17[[#This Row],[Column9]]*Table17[[#This Row],[Column2222]])</f>
        <v>6360000</v>
      </c>
      <c r="AG45" s="43" t="str">
        <f ca="1">IF(NOT(AL46=Table17[[#This Row],[Column6]]),SUMIF(Table17[Column6],Table17[[#This Row],[Column6]],Table17[Column7]),"")</f>
        <v/>
      </c>
      <c r="AH45" s="44">
        <f ca="1">INDEX(NOTA[TGL_H],Sheet1!A:A)</f>
        <v>45442</v>
      </c>
      <c r="AI45" s="44">
        <f ca="1">INDEX(NOTA[TGL.NOTA_H],Sheet1!A:A)</f>
        <v>45429</v>
      </c>
      <c r="AK45" t="str">
        <f>IF(INDEX(NOTA[KETERANGAN],A:A)="","",INDEX(NOTA[KETERANGAN],A:A))</f>
        <v/>
      </c>
      <c r="AL45" t="str">
        <f ca="1">INDEX(NOTA[NO.NOTA_H],Sheet1!A:A)</f>
        <v>24/V/272</v>
      </c>
      <c r="AM45">
        <f>INDEX(NOTA[KETERANGAN],Sheet1!A:A)</f>
        <v>0</v>
      </c>
      <c r="AN45" t="str">
        <f ca="1">INDEX(NOTA[SUPPLIER_H],Sheet1!A:A)</f>
        <v>SURYA PRATAMA</v>
      </c>
      <c r="AO45" t="e">
        <f t="shared" ca="1" si="1"/>
        <v>#N/A</v>
      </c>
      <c r="AR45" s="45" t="s">
        <v>166</v>
      </c>
    </row>
    <row r="46" spans="1:44">
      <c r="A46" s="3">
        <v>52</v>
      </c>
      <c r="C46">
        <f>INDEX(NOTA[//DB],Sheet1!A:A)</f>
        <v>3420</v>
      </c>
      <c r="D46" t="e">
        <f>MATCH(Table17[[#This Row],[//db]],[3]!Table2[\\],0)</f>
        <v>#N/A</v>
      </c>
      <c r="E46" t="str">
        <f>INDEX([3]!db[NB NOTA],Table17[[#This Row],[//db]])</f>
        <v>RAUTAN TOPLES BIG 158 (SANRIO)</v>
      </c>
      <c r="F46" t="str">
        <f>INDEX([3]!db[NB BM],Table17[[#This Row],[//db]])</f>
        <v>ASAHAN TOPLES 158 SANRIO</v>
      </c>
      <c r="G46" t="str">
        <f>_xlfn.IFNA(INDEX([3]!Table2[NAMA],Table17[[#This Row],[dbconcat]]),"")</f>
        <v/>
      </c>
      <c r="H46" t="e">
        <f>INDEX([3]!Table2[KODE BARANG],Table17[[#This Row],[dbconcat]])</f>
        <v>#N/A</v>
      </c>
      <c r="I46" t="str">
        <f>IF(Table17[[#This Row],[Column3]]="",UPPER(Table17[[#This Row],[Column1]]),Table17[[#This Row],[Column3]])</f>
        <v>ASAHAN TOPLES 158 SANRIO</v>
      </c>
      <c r="J46">
        <f>INDEX(NOTA[C],Sheet1!A:A)</f>
        <v>5</v>
      </c>
      <c r="K46" t="str">
        <f>IF(OR(Table17[[#This Row],[Column5]]=0,Table17[[#This Row],[Column3]]=""),"",INDEX([3]!Table2[ISI2],Table17[[#This Row],[dbconcat]]))</f>
        <v/>
      </c>
      <c r="L46" t="str">
        <f>IF(Table17[[#This Row],[isis]]="","",INDEX([3]!Table2[SATUAN3],Table17[[#This Row],[dbconcat]]))</f>
        <v/>
      </c>
      <c r="M46" t="str">
        <f>IF(Table17[[#This Row],[Column5]]=0,"",IF(Table17[[#This Row],[Column3]]="",INDEX([3]!db[QTY B],Table17[[#This Row],[//db]]),""))</f>
        <v>60</v>
      </c>
      <c r="N46" t="str">
        <f>IF(Table17[[#This Row],[isin]]="","",INDEX([3]!db[STN B],Table17[[#This Row],[//db]]))</f>
        <v>TOP</v>
      </c>
      <c r="O46" t="str">
        <f>IF(AND(Table17[[#This Row],[isis]]="",Table17[[#This Row],[isin]]=""),INDEX(NOTA[QTY],Sheet1!A:A)/IF(Table17[[#This Row],[Column5]]=0,1,Table17[[#This Row],[Column5]]),"")</f>
        <v/>
      </c>
      <c r="P46" t="str">
        <f>IF(Table17[[#This Row],[Column2]]="","",INDEX(NOTA[STN],Sheet1!A:A))</f>
        <v/>
      </c>
      <c r="Q46" s="5" t="str">
        <f>INDEX([3]!db[QTY B],Table17[[#This Row],[//db]])</f>
        <v>60</v>
      </c>
      <c r="R46" t="str">
        <f>INDEX([3]!db[STN B],Table17[[#This Row],[//db]])</f>
        <v>TOP</v>
      </c>
      <c r="S46" s="40" t="str">
        <f>IF(Table17[[#This Row],[Column5]]=0,Table17[[#This Row],[Column23]]/Table17[[#This Row],[Column224]],"")</f>
        <v/>
      </c>
      <c r="T46" s="4">
        <f>IF(Table17[[#This Row],[Column222]]="",Table17[[#This Row],[Column5]],Table17[[#This Row],[Column222]])</f>
        <v>5</v>
      </c>
      <c r="U46" s="4" t="str">
        <f>IF(Table17[[#This Row],[Column223]]=Table17[[#This Row],[Column24]],"",1)</f>
        <v/>
      </c>
      <c r="V46" s="5" t="str">
        <f>IF(Table17[[#This Row],[isis]]="",IF(Table17[[#This Row],[isin]]="",Table17[[#This Row],[Column2]],Table17[[#This Row],[isin]]),Table17[[#This Row],[isis]])</f>
        <v>60</v>
      </c>
      <c r="W46" s="3" t="str">
        <f>IF(Table17[[#This Row],[isis]]="",IF(Table17[[#This Row],[isin]]="",Table17[[#This Row],[Column22]],Table17[[#This Row],[stnn]]),Table17[[#This Row],[stns]])</f>
        <v>TOP</v>
      </c>
      <c r="X46" s="5">
        <f>IF(Table17[[#This Row],[Column2222]]&lt;1,Table17[[#This Row],[Column23]],Table17[[#This Row],[Column23]]*Table17[[#This Row],[Column2222]])</f>
        <v>300</v>
      </c>
      <c r="Y46" s="3" t="str">
        <f>Table17[[#This Row],[Column24]]</f>
        <v>TOP</v>
      </c>
      <c r="Z46" s="5">
        <f>Table17[[#This Row],[HRG / CTN]]/Table17[[#This Row],[Column23]]</f>
        <v>53000</v>
      </c>
      <c r="AA46" s="42" t="str">
        <f>IF(INDEX(NOTA[DISC 1],Sheet1!A:A)=0,"",INDEX(NOTA[DISC 1],Sheet1!A:A))</f>
        <v/>
      </c>
      <c r="AB46" s="42" t="str">
        <f>IF(INDEX(NOTA[DISC 2],Sheet1!A:A)=0,"",INDEX(NOTA[DISC 2],Sheet1!A:A))</f>
        <v/>
      </c>
      <c r="AC4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6" s="43">
        <f>INDEX(NOTA[HARGA/ CTN_H],Sheet1!A:A)</f>
        <v>3180000</v>
      </c>
      <c r="AE46" s="43">
        <f>IF(Table17[[#This Row],[DISC 3]]="",Table17[[#This Row],[HRG / CTN]],Table17[[#This Row],[HRG / CTN]]-(Table17[[#This Row],[HRG / CTN]]*Table17[[#This Row],[DISC 3]]))</f>
        <v>3180000</v>
      </c>
      <c r="AF46" s="14">
        <f>IF(Table17[[#This Row],[Column2222]]&lt;1,Table17[[#This Row],[Column9]],Table17[[#This Row],[Column9]]*Table17[[#This Row],[Column2222]])</f>
        <v>15900000</v>
      </c>
      <c r="AG46" s="43" t="str">
        <f ca="1">IF(NOT(AL47=Table17[[#This Row],[Column6]]),SUMIF(Table17[Column6],Table17[[#This Row],[Column6]],Table17[Column7]),"")</f>
        <v/>
      </c>
      <c r="AH46" s="44">
        <f ca="1">INDEX(NOTA[TGL_H],Sheet1!A:A)</f>
        <v>45442</v>
      </c>
      <c r="AI46" s="44">
        <f ca="1">INDEX(NOTA[TGL.NOTA_H],Sheet1!A:A)</f>
        <v>45429</v>
      </c>
      <c r="AK46" t="str">
        <f>IF(INDEX(NOTA[KETERANGAN],A:A)="","",INDEX(NOTA[KETERANGAN],A:A))</f>
        <v/>
      </c>
      <c r="AL46" t="str">
        <f ca="1">INDEX(NOTA[NO.NOTA_H],Sheet1!A:A)</f>
        <v>24/V/272</v>
      </c>
      <c r="AM46">
        <f>INDEX(NOTA[KETERANGAN],Sheet1!A:A)</f>
        <v>0</v>
      </c>
      <c r="AN46" t="str">
        <f ca="1">INDEX(NOTA[SUPPLIER_H],Sheet1!A:A)</f>
        <v>SURYA PRATAMA</v>
      </c>
      <c r="AO46" t="e">
        <f t="shared" ca="1" si="1"/>
        <v>#N/A</v>
      </c>
      <c r="AR46" s="45" t="s">
        <v>169</v>
      </c>
    </row>
    <row r="47" spans="1:44">
      <c r="A47" s="3">
        <v>53</v>
      </c>
      <c r="C47">
        <f>INDEX(NOTA[//DB],Sheet1!A:A)</f>
        <v>3421</v>
      </c>
      <c r="D47" t="e">
        <f>MATCH(Table17[[#This Row],[//db]],[3]!Table2[\\],0)</f>
        <v>#N/A</v>
      </c>
      <c r="E47" t="str">
        <f>INDEX([3]!db[NB NOTA],Table17[[#This Row],[//db]])</f>
        <v>RAUTAN TOPLES BIG 623 (OMG KUROMI)</v>
      </c>
      <c r="F47" t="str">
        <f>INDEX([3]!db[NB BM],Table17[[#This Row],[//db]])</f>
        <v>ASAHAN TOPLES 623 KUROMI</v>
      </c>
      <c r="G47" t="str">
        <f>_xlfn.IFNA(INDEX([3]!Table2[NAMA],Table17[[#This Row],[dbconcat]]),"")</f>
        <v/>
      </c>
      <c r="H47" t="e">
        <f>INDEX([3]!Table2[KODE BARANG],Table17[[#This Row],[dbconcat]])</f>
        <v>#N/A</v>
      </c>
      <c r="I47" t="str">
        <f>IF(Table17[[#This Row],[Column3]]="",UPPER(Table17[[#This Row],[Column1]]),Table17[[#This Row],[Column3]])</f>
        <v>ASAHAN TOPLES 623 KUROMI</v>
      </c>
      <c r="J47">
        <f>INDEX(NOTA[C],Sheet1!A:A)</f>
        <v>5</v>
      </c>
      <c r="K47" t="str">
        <f>IF(OR(Table17[[#This Row],[Column5]]=0,Table17[[#This Row],[Column3]]=""),"",INDEX([3]!Table2[ISI2],Table17[[#This Row],[dbconcat]]))</f>
        <v/>
      </c>
      <c r="L47" t="str">
        <f>IF(Table17[[#This Row],[isis]]="","",INDEX([3]!Table2[SATUAN3],Table17[[#This Row],[dbconcat]]))</f>
        <v/>
      </c>
      <c r="M47" t="str">
        <f>IF(Table17[[#This Row],[Column5]]=0,"",IF(Table17[[#This Row],[Column3]]="",INDEX([3]!db[QTY B],Table17[[#This Row],[//db]]),""))</f>
        <v>48</v>
      </c>
      <c r="N47" t="str">
        <f>IF(Table17[[#This Row],[isin]]="","",INDEX([3]!db[STN B],Table17[[#This Row],[//db]]))</f>
        <v>TOP</v>
      </c>
      <c r="O47" t="str">
        <f>IF(AND(Table17[[#This Row],[isis]]="",Table17[[#This Row],[isin]]=""),INDEX(NOTA[QTY],Sheet1!A:A)/IF(Table17[[#This Row],[Column5]]=0,1,Table17[[#This Row],[Column5]]),"")</f>
        <v/>
      </c>
      <c r="P47" t="str">
        <f>IF(Table17[[#This Row],[Column2]]="","",INDEX(NOTA[STN],Sheet1!A:A))</f>
        <v/>
      </c>
      <c r="Q47" s="5" t="str">
        <f>INDEX([3]!db[QTY B],Table17[[#This Row],[//db]])</f>
        <v>48</v>
      </c>
      <c r="R47" t="str">
        <f>INDEX([3]!db[STN B],Table17[[#This Row],[//db]])</f>
        <v>TOP</v>
      </c>
      <c r="S47" s="40" t="str">
        <f>IF(Table17[[#This Row],[Column5]]=0,Table17[[#This Row],[Column23]]/Table17[[#This Row],[Column224]],"")</f>
        <v/>
      </c>
      <c r="T47" s="4">
        <f>IF(Table17[[#This Row],[Column222]]="",Table17[[#This Row],[Column5]],Table17[[#This Row],[Column222]])</f>
        <v>5</v>
      </c>
      <c r="U47" s="4" t="str">
        <f>IF(Table17[[#This Row],[Column223]]=Table17[[#This Row],[Column24]],"",1)</f>
        <v/>
      </c>
      <c r="V47" s="5" t="str">
        <f>IF(Table17[[#This Row],[isis]]="",IF(Table17[[#This Row],[isin]]="",Table17[[#This Row],[Column2]],Table17[[#This Row],[isin]]),Table17[[#This Row],[isis]])</f>
        <v>48</v>
      </c>
      <c r="W47" s="3" t="str">
        <f>IF(Table17[[#This Row],[isis]]="",IF(Table17[[#This Row],[isin]]="",Table17[[#This Row],[Column22]],Table17[[#This Row],[stnn]]),Table17[[#This Row],[stns]])</f>
        <v>TOP</v>
      </c>
      <c r="X47" s="5">
        <f>IF(Table17[[#This Row],[Column2222]]&lt;1,Table17[[#This Row],[Column23]],Table17[[#This Row],[Column23]]*Table17[[#This Row],[Column2222]])</f>
        <v>240</v>
      </c>
      <c r="Y47" s="3" t="str">
        <f>Table17[[#This Row],[Column24]]</f>
        <v>TOP</v>
      </c>
      <c r="Z47" s="5">
        <f>Table17[[#This Row],[HRG / CTN]]/Table17[[#This Row],[Column23]]</f>
        <v>75000</v>
      </c>
      <c r="AA47" s="42" t="str">
        <f>IF(INDEX(NOTA[DISC 1],Sheet1!A:A)=0,"",INDEX(NOTA[DISC 1],Sheet1!A:A))</f>
        <v/>
      </c>
      <c r="AB47" s="42" t="str">
        <f>IF(INDEX(NOTA[DISC 2],Sheet1!A:A)=0,"",INDEX(NOTA[DISC 2],Sheet1!A:A))</f>
        <v/>
      </c>
      <c r="AC4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7" s="43">
        <f>INDEX(NOTA[HARGA/ CTN_H],Sheet1!A:A)</f>
        <v>3600000</v>
      </c>
      <c r="AE47" s="43">
        <f>IF(Table17[[#This Row],[DISC 3]]="",Table17[[#This Row],[HRG / CTN]],Table17[[#This Row],[HRG / CTN]]-(Table17[[#This Row],[HRG / CTN]]*Table17[[#This Row],[DISC 3]]))</f>
        <v>3600000</v>
      </c>
      <c r="AF47" s="14">
        <f>IF(Table17[[#This Row],[Column2222]]&lt;1,Table17[[#This Row],[Column9]],Table17[[#This Row],[Column9]]*Table17[[#This Row],[Column2222]])</f>
        <v>18000000</v>
      </c>
      <c r="AG47" s="43">
        <f ca="1">IF(NOT(AL48=Table17[[#This Row],[Column6]]),SUMIF(Table17[Column6],Table17[[#This Row],[Column6]],Table17[Column7]),"")</f>
        <v>40260000</v>
      </c>
      <c r="AH47" s="44">
        <f ca="1">INDEX(NOTA[TGL_H],Sheet1!A:A)</f>
        <v>45442</v>
      </c>
      <c r="AI47" s="44">
        <f ca="1">INDEX(NOTA[TGL.NOTA_H],Sheet1!A:A)</f>
        <v>45429</v>
      </c>
      <c r="AK47" t="str">
        <f>IF(INDEX(NOTA[KETERANGAN],A:A)="","",INDEX(NOTA[KETERANGAN],A:A))</f>
        <v/>
      </c>
      <c r="AL47" t="str">
        <f ca="1">INDEX(NOTA[NO.NOTA_H],Sheet1!A:A)</f>
        <v>24/V/272</v>
      </c>
      <c r="AM47">
        <f>INDEX(NOTA[KETERANGAN],Sheet1!A:A)</f>
        <v>0</v>
      </c>
      <c r="AN47" t="str">
        <f ca="1">INDEX(NOTA[SUPPLIER_H],Sheet1!A:A)</f>
        <v>SURYA PRATAMA</v>
      </c>
      <c r="AO47" t="e">
        <f t="shared" ca="1" si="1"/>
        <v>#N/A</v>
      </c>
      <c r="AR47" s="45" t="s">
        <v>169</v>
      </c>
    </row>
    <row r="48" spans="1:44">
      <c r="A48" s="3">
        <v>55</v>
      </c>
      <c r="C48">
        <f>INDEX(NOTA[//DB],Sheet1!A:A)</f>
        <v>3422</v>
      </c>
      <c r="D48" t="e">
        <f>MATCH(Table17[[#This Row],[//db]],[3]!Table2[\\],0)</f>
        <v>#N/A</v>
      </c>
      <c r="E48" t="str">
        <f>INDEX([3]!db[NB NOTA],Table17[[#This Row],[//db]])</f>
        <v>GEL PEN ZHUI ZHUA 1020</v>
      </c>
      <c r="F48" t="str">
        <f>INDEX([3]!db[NB BM],Table17[[#This Row],[//db]])</f>
        <v>BP GEL ZUI XUA HY-1020 HITAM</v>
      </c>
      <c r="G48" t="str">
        <f>_xlfn.IFNA(INDEX([3]!Table2[NAMA],Table17[[#This Row],[dbconcat]]),"")</f>
        <v/>
      </c>
      <c r="H48" t="e">
        <f>INDEX([3]!Table2[KODE BARANG],Table17[[#This Row],[dbconcat]])</f>
        <v>#N/A</v>
      </c>
      <c r="I48" t="str">
        <f>IF(Table17[[#This Row],[Column3]]="",UPPER(Table17[[#This Row],[Column1]]),Table17[[#This Row],[Column3]])</f>
        <v>BP GEL ZUI XUA HY-1020 HITAM</v>
      </c>
      <c r="J48">
        <f>INDEX(NOTA[C],Sheet1!A:A)</f>
        <v>10</v>
      </c>
      <c r="K48" t="str">
        <f>IF(OR(Table17[[#This Row],[Column5]]=0,Table17[[#This Row],[Column3]]=""),"",INDEX([3]!Table2[ISI2],Table17[[#This Row],[dbconcat]]))</f>
        <v/>
      </c>
      <c r="L48" t="str">
        <f>IF(Table17[[#This Row],[isis]]="","",INDEX([3]!Table2[SATUAN3],Table17[[#This Row],[dbconcat]]))</f>
        <v/>
      </c>
      <c r="M48" t="str">
        <f>IF(Table17[[#This Row],[Column5]]=0,"",IF(Table17[[#This Row],[Column3]]="",INDEX([3]!db[QTY B],Table17[[#This Row],[//db]]),""))</f>
        <v>192</v>
      </c>
      <c r="N48" t="str">
        <f>IF(Table17[[#This Row],[isin]]="","",INDEX([3]!db[STN B],Table17[[#This Row],[//db]]))</f>
        <v>LSN</v>
      </c>
      <c r="O48" t="str">
        <f>IF(AND(Table17[[#This Row],[isis]]="",Table17[[#This Row],[isin]]=""),INDEX(NOTA[QTY],Sheet1!A:A)/IF(Table17[[#This Row],[Column5]]=0,1,Table17[[#This Row],[Column5]]),"")</f>
        <v/>
      </c>
      <c r="P48" t="str">
        <f>IF(Table17[[#This Row],[Column2]]="","",INDEX(NOTA[STN],Sheet1!A:A))</f>
        <v/>
      </c>
      <c r="Q48" s="5" t="str">
        <f>INDEX([3]!db[QTY B],Table17[[#This Row],[//db]])</f>
        <v>192</v>
      </c>
      <c r="R48" t="str">
        <f>INDEX([3]!db[STN B],Table17[[#This Row],[//db]])</f>
        <v>LSN</v>
      </c>
      <c r="S48" s="40" t="str">
        <f>IF(Table17[[#This Row],[Column5]]=0,Table17[[#This Row],[Column23]]/Table17[[#This Row],[Column224]],"")</f>
        <v/>
      </c>
      <c r="T48" s="4">
        <f>IF(Table17[[#This Row],[Column222]]="",Table17[[#This Row],[Column5]],Table17[[#This Row],[Column222]])</f>
        <v>10</v>
      </c>
      <c r="U48" s="4" t="str">
        <f>IF(Table17[[#This Row],[Column223]]=Table17[[#This Row],[Column24]],"",1)</f>
        <v/>
      </c>
      <c r="V48" s="5" t="str">
        <f>IF(Table17[[#This Row],[isis]]="",IF(Table17[[#This Row],[isin]]="",Table17[[#This Row],[Column2]],Table17[[#This Row],[isin]]),Table17[[#This Row],[isis]])</f>
        <v>192</v>
      </c>
      <c r="W48" s="3" t="str">
        <f>IF(Table17[[#This Row],[isis]]="",IF(Table17[[#This Row],[isin]]="",Table17[[#This Row],[Column22]],Table17[[#This Row],[stnn]]),Table17[[#This Row],[stns]])</f>
        <v>LSN</v>
      </c>
      <c r="X48" s="5">
        <f>IF(Table17[[#This Row],[Column2222]]&lt;1,Table17[[#This Row],[Column23]],Table17[[#This Row],[Column23]]*Table17[[#This Row],[Column2222]])</f>
        <v>1920</v>
      </c>
      <c r="Y48" s="3" t="str">
        <f>Table17[[#This Row],[Column24]]</f>
        <v>LSN</v>
      </c>
      <c r="Z48" s="5">
        <f>Table17[[#This Row],[HRG / CTN]]/Table17[[#This Row],[Column23]]</f>
        <v>10000</v>
      </c>
      <c r="AA48" s="42" t="str">
        <f>IF(INDEX(NOTA[DISC 1],Sheet1!A:A)=0,"",INDEX(NOTA[DISC 1],Sheet1!A:A))</f>
        <v/>
      </c>
      <c r="AB48" s="42" t="str">
        <f>IF(INDEX(NOTA[DISC 2],Sheet1!A:A)=0,"",INDEX(NOTA[DISC 2],Sheet1!A:A))</f>
        <v/>
      </c>
      <c r="AC4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8" s="43">
        <f>INDEX(NOTA[HARGA/ CTN_H],Sheet1!A:A)</f>
        <v>1920000</v>
      </c>
      <c r="AE48" s="43">
        <f>IF(Table17[[#This Row],[DISC 3]]="",Table17[[#This Row],[HRG / CTN]],Table17[[#This Row],[HRG / CTN]]-(Table17[[#This Row],[HRG / CTN]]*Table17[[#This Row],[DISC 3]]))</f>
        <v>1920000</v>
      </c>
      <c r="AF48" s="14">
        <f>IF(Table17[[#This Row],[Column2222]]&lt;1,Table17[[#This Row],[Column9]],Table17[[#This Row],[Column9]]*Table17[[#This Row],[Column2222]])</f>
        <v>19200000</v>
      </c>
      <c r="AG48" s="43">
        <f ca="1">IF(NOT(AL49=Table17[[#This Row],[Column6]]),SUMIF(Table17[Column6],Table17[[#This Row],[Column6]],Table17[Column7]),"")</f>
        <v>19200000</v>
      </c>
      <c r="AH48" s="44">
        <f ca="1">INDEX(NOTA[TGL_H],Sheet1!A:A)</f>
        <v>45442</v>
      </c>
      <c r="AI48" s="44">
        <f ca="1">INDEX(NOTA[TGL.NOTA_H],Sheet1!A:A)</f>
        <v>45437</v>
      </c>
      <c r="AK48" t="str">
        <f>IF(INDEX(NOTA[KETERANGAN],A:A)="","",INDEX(NOTA[KETERANGAN],A:A))</f>
        <v/>
      </c>
      <c r="AL48" t="str">
        <f ca="1">INDEX(NOTA[NO.NOTA_H],Sheet1!A:A)</f>
        <v>24/1/413</v>
      </c>
      <c r="AM48">
        <f>INDEX(NOTA[KETERANGAN],Sheet1!A:A)</f>
        <v>0</v>
      </c>
      <c r="AN48" t="str">
        <f ca="1">INDEX(NOTA[SUPPLIER_H],Sheet1!A:A)</f>
        <v>SURYA PRATAMA</v>
      </c>
      <c r="AO48" t="e">
        <f t="shared" ca="1" si="1"/>
        <v>#N/A</v>
      </c>
      <c r="AR48" s="45" t="s">
        <v>169</v>
      </c>
    </row>
    <row r="49" spans="1:44">
      <c r="A49" s="3">
        <v>57</v>
      </c>
      <c r="C49">
        <f>INDEX(NOTA[//DB],Sheet1!A:A)</f>
        <v>933</v>
      </c>
      <c r="D49">
        <f>MATCH(Table17[[#This Row],[//db]],[3]!Table2[\\],0)</f>
        <v>1027</v>
      </c>
      <c r="E49" t="str">
        <f>INDEX([3]!db[NB NOTA],Table17[[#This Row],[//db]])</f>
        <v>ENTER 30CM 675</v>
      </c>
      <c r="F49" t="str">
        <f>INDEX([3]!db[NB BM],Table17[[#This Row],[//db]])</f>
        <v>GARISAN MIKA 30CM ENTER 675</v>
      </c>
      <c r="G49" t="str">
        <f>_xlfn.IFNA(INDEX([3]!Table2[NAMA],Table17[[#This Row],[dbconcat]]),"")</f>
        <v>GARISAN MIKA 30CM ENTER 675</v>
      </c>
      <c r="H49" t="str">
        <f>INDEX([3]!Table2[KODE BARANG],Table17[[#This Row],[dbconcat]])</f>
        <v>GAR-EN2</v>
      </c>
      <c r="I49" t="str">
        <f>IF(Table17[[#This Row],[Column3]]="",UPPER(Table17[[#This Row],[Column1]]),Table17[[#This Row],[Column3]])</f>
        <v>GARISAN MIKA 30CM ENTER 675</v>
      </c>
      <c r="J49">
        <f>INDEX(NOTA[C],Sheet1!A:A)</f>
        <v>1</v>
      </c>
      <c r="K49">
        <f>IF(OR(Table17[[#This Row],[Column5]]=0,Table17[[#This Row],[Column3]]=""),"",INDEX([3]!Table2[ISI2],Table17[[#This Row],[dbconcat]]))</f>
        <v>200</v>
      </c>
      <c r="L49" t="str">
        <f>IF(Table17[[#This Row],[isis]]="","",INDEX([3]!Table2[SATUAN3],Table17[[#This Row],[dbconcat]]))</f>
        <v>LSN</v>
      </c>
      <c r="M49" t="str">
        <f>IF(Table17[[#This Row],[Column5]]=0,"",IF(Table17[[#This Row],[Column3]]="",INDEX([3]!db[QTY B],Table17[[#This Row],[//db]]),""))</f>
        <v/>
      </c>
      <c r="N49" t="str">
        <f>IF(Table17[[#This Row],[isin]]="","",INDEX([3]!db[STN B],Table17[[#This Row],[//db]]))</f>
        <v/>
      </c>
      <c r="O49" t="str">
        <f>IF(AND(Table17[[#This Row],[isis]]="",Table17[[#This Row],[isin]]=""),INDEX(NOTA[QTY],Sheet1!A:A)/IF(Table17[[#This Row],[Column5]]=0,1,Table17[[#This Row],[Column5]]),"")</f>
        <v/>
      </c>
      <c r="P49" t="str">
        <f>IF(Table17[[#This Row],[Column2]]="","",INDEX(NOTA[STN],Sheet1!A:A))</f>
        <v/>
      </c>
      <c r="Q49" s="5" t="str">
        <f>INDEX([3]!db[QTY B],Table17[[#This Row],[//db]])</f>
        <v>200</v>
      </c>
      <c r="R49" t="str">
        <f>INDEX([3]!db[STN B],Table17[[#This Row],[//db]])</f>
        <v>LSN</v>
      </c>
      <c r="S49" s="40" t="str">
        <f>IF(Table17[[#This Row],[Column5]]=0,Table17[[#This Row],[Column23]]/Table17[[#This Row],[Column224]],"")</f>
        <v/>
      </c>
      <c r="T49" s="4">
        <f>IF(Table17[[#This Row],[Column222]]="",Table17[[#This Row],[Column5]],Table17[[#This Row],[Column222]])</f>
        <v>1</v>
      </c>
      <c r="U49" s="4" t="str">
        <f>IF(Table17[[#This Row],[Column223]]=Table17[[#This Row],[Column24]],"",1)</f>
        <v/>
      </c>
      <c r="V49" s="5">
        <f>IF(Table17[[#This Row],[isis]]="",IF(Table17[[#This Row],[isin]]="",Table17[[#This Row],[Column2]],Table17[[#This Row],[isin]]),Table17[[#This Row],[isis]])</f>
        <v>200</v>
      </c>
      <c r="W49" s="3" t="str">
        <f>IF(Table17[[#This Row],[isis]]="",IF(Table17[[#This Row],[isin]]="",Table17[[#This Row],[Column22]],Table17[[#This Row],[stnn]]),Table17[[#This Row],[stns]])</f>
        <v>LSN</v>
      </c>
      <c r="X49" s="5">
        <f>IF(Table17[[#This Row],[Column2222]]&lt;1,Table17[[#This Row],[Column23]],Table17[[#This Row],[Column23]]*Table17[[#This Row],[Column2222]])</f>
        <v>200</v>
      </c>
      <c r="Y49" s="3" t="str">
        <f>Table17[[#This Row],[Column24]]</f>
        <v>LSN</v>
      </c>
      <c r="Z49" s="5">
        <f>Table17[[#This Row],[HRG / CTN]]/Table17[[#This Row],[Column23]]</f>
        <v>43750</v>
      </c>
      <c r="AA49" s="42" t="str">
        <f>IF(INDEX(NOTA[DISC 1],Sheet1!A:A)=0,"",INDEX(NOTA[DISC 1],Sheet1!A:A))</f>
        <v/>
      </c>
      <c r="AB49" s="42" t="str">
        <f>IF(INDEX(NOTA[DISC 2],Sheet1!A:A)=0,"",INDEX(NOTA[DISC 2],Sheet1!A:A))</f>
        <v/>
      </c>
      <c r="AC4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9" s="43">
        <f>INDEX(NOTA[HARGA/ CTN_H],Sheet1!A:A)</f>
        <v>8750000</v>
      </c>
      <c r="AE49" s="43">
        <f>IF(Table17[[#This Row],[DISC 3]]="",Table17[[#This Row],[HRG / CTN]],Table17[[#This Row],[HRG / CTN]]-(Table17[[#This Row],[HRG / CTN]]*Table17[[#This Row],[DISC 3]]))</f>
        <v>8750000</v>
      </c>
      <c r="AF49" s="14">
        <f>IF(Table17[[#This Row],[Column2222]]&lt;1,Table17[[#This Row],[Column9]],Table17[[#This Row],[Column9]]*Table17[[#This Row],[Column2222]])</f>
        <v>8750000</v>
      </c>
      <c r="AG49" s="43">
        <f ca="1">IF(NOT(AL50=Table17[[#This Row],[Column6]]),SUMIF(Table17[Column6],Table17[[#This Row],[Column6]],Table17[Column7]),"")</f>
        <v>8750000</v>
      </c>
      <c r="AH49" s="44">
        <f ca="1">INDEX(NOTA[TGL_H],Sheet1!A:A)</f>
        <v>45446</v>
      </c>
      <c r="AI49" s="44">
        <f ca="1">INDEX(NOTA[TGL.NOTA_H],Sheet1!A:A)</f>
        <v>45439</v>
      </c>
      <c r="AK49" t="str">
        <f>IF(INDEX(NOTA[KETERANGAN],A:A)="","",INDEX(NOTA[KETERANGAN],A:A))</f>
        <v/>
      </c>
      <c r="AL49" t="str">
        <f ca="1">INDEX(NOTA[NO.NOTA_H],Sheet1!A:A)</f>
        <v>GX5.24</v>
      </c>
      <c r="AM49">
        <f>INDEX(NOTA[KETERANGAN],Sheet1!A:A)</f>
        <v>0</v>
      </c>
      <c r="AN49" t="str">
        <f ca="1">INDEX(NOTA[SUPPLIER_H],Sheet1!A:A)</f>
        <v>ETJ</v>
      </c>
      <c r="AO49" t="e">
        <f t="shared" ca="1" si="1"/>
        <v>#N/A</v>
      </c>
      <c r="AR49" s="45" t="s">
        <v>169</v>
      </c>
    </row>
    <row r="50" spans="1:44">
      <c r="A50" s="3">
        <v>59</v>
      </c>
      <c r="C50">
        <f>INDEX(NOTA[//DB],Sheet1!A:A)</f>
        <v>933</v>
      </c>
      <c r="D50">
        <f>MATCH(Table17[[#This Row],[//db]],[3]!Table2[\\],0)</f>
        <v>1027</v>
      </c>
      <c r="E50" t="str">
        <f>INDEX([3]!db[NB NOTA],Table17[[#This Row],[//db]])</f>
        <v>ENTER 30CM 675</v>
      </c>
      <c r="F50" t="str">
        <f>INDEX([3]!db[NB BM],Table17[[#This Row],[//db]])</f>
        <v>GARISAN MIKA 30CM ENTER 675</v>
      </c>
      <c r="G50" t="str">
        <f>_xlfn.IFNA(INDEX([3]!Table2[NAMA],Table17[[#This Row],[dbconcat]]),"")</f>
        <v>GARISAN MIKA 30CM ENTER 675</v>
      </c>
      <c r="H50" t="str">
        <f>INDEX([3]!Table2[KODE BARANG],Table17[[#This Row],[dbconcat]])</f>
        <v>GAR-EN2</v>
      </c>
      <c r="I50" t="str">
        <f>IF(Table17[[#This Row],[Column3]]="",UPPER(Table17[[#This Row],[Column1]]),Table17[[#This Row],[Column3]])</f>
        <v>GARISAN MIKA 30CM ENTER 675</v>
      </c>
      <c r="J50">
        <f>INDEX(NOTA[C],Sheet1!A:A)</f>
        <v>1</v>
      </c>
      <c r="K50">
        <f>IF(OR(Table17[[#This Row],[Column5]]=0,Table17[[#This Row],[Column3]]=""),"",INDEX([3]!Table2[ISI2],Table17[[#This Row],[dbconcat]]))</f>
        <v>200</v>
      </c>
      <c r="L50" t="str">
        <f>IF(Table17[[#This Row],[isis]]="","",INDEX([3]!Table2[SATUAN3],Table17[[#This Row],[dbconcat]]))</f>
        <v>LSN</v>
      </c>
      <c r="M50" t="str">
        <f>IF(Table17[[#This Row],[Column5]]=0,"",IF(Table17[[#This Row],[Column3]]="",INDEX([3]!db[QTY B],Table17[[#This Row],[//db]]),""))</f>
        <v/>
      </c>
      <c r="N50" t="str">
        <f>IF(Table17[[#This Row],[isin]]="","",INDEX([3]!db[STN B],Table17[[#This Row],[//db]]))</f>
        <v/>
      </c>
      <c r="O50" t="str">
        <f>IF(AND(Table17[[#This Row],[isis]]="",Table17[[#This Row],[isin]]=""),INDEX(NOTA[QTY],Sheet1!A:A)/IF(Table17[[#This Row],[Column5]]=0,1,Table17[[#This Row],[Column5]]),"")</f>
        <v/>
      </c>
      <c r="P50" t="str">
        <f>IF(Table17[[#This Row],[Column2]]="","",INDEX(NOTA[STN],Sheet1!A:A))</f>
        <v/>
      </c>
      <c r="Q50" s="5" t="str">
        <f>INDEX([3]!db[QTY B],Table17[[#This Row],[//db]])</f>
        <v>200</v>
      </c>
      <c r="R50" t="str">
        <f>INDEX([3]!db[STN B],Table17[[#This Row],[//db]])</f>
        <v>LSN</v>
      </c>
      <c r="S50" s="40" t="str">
        <f>IF(Table17[[#This Row],[Column5]]=0,Table17[[#This Row],[Column23]]/Table17[[#This Row],[Column224]],"")</f>
        <v/>
      </c>
      <c r="T50" s="4">
        <f>IF(Table17[[#This Row],[Column222]]="",Table17[[#This Row],[Column5]],Table17[[#This Row],[Column222]])</f>
        <v>1</v>
      </c>
      <c r="U50" s="4" t="str">
        <f>IF(Table17[[#This Row],[Column223]]=Table17[[#This Row],[Column24]],"",1)</f>
        <v/>
      </c>
      <c r="V50" s="5">
        <f>IF(Table17[[#This Row],[isis]]="",IF(Table17[[#This Row],[isin]]="",Table17[[#This Row],[Column2]],Table17[[#This Row],[isin]]),Table17[[#This Row],[isis]])</f>
        <v>200</v>
      </c>
      <c r="W50" s="3" t="str">
        <f>IF(Table17[[#This Row],[isis]]="",IF(Table17[[#This Row],[isin]]="",Table17[[#This Row],[Column22]],Table17[[#This Row],[stnn]]),Table17[[#This Row],[stns]])</f>
        <v>LSN</v>
      </c>
      <c r="X50" s="5">
        <f>IF(Table17[[#This Row],[Column2222]]&lt;1,Table17[[#This Row],[Column23]],Table17[[#This Row],[Column23]]*Table17[[#This Row],[Column2222]])</f>
        <v>200</v>
      </c>
      <c r="Y50" s="3" t="str">
        <f>Table17[[#This Row],[Column24]]</f>
        <v>LSN</v>
      </c>
      <c r="Z50" s="5">
        <f>Table17[[#This Row],[HRG / CTN]]/Table17[[#This Row],[Column23]]</f>
        <v>43750</v>
      </c>
      <c r="AA50" s="42" t="str">
        <f>IF(INDEX(NOTA[DISC 1],Sheet1!A:A)=0,"",INDEX(NOTA[DISC 1],Sheet1!A:A))</f>
        <v/>
      </c>
      <c r="AB50" s="42" t="str">
        <f>IF(INDEX(NOTA[DISC 2],Sheet1!A:A)=0,"",INDEX(NOTA[DISC 2],Sheet1!A:A))</f>
        <v/>
      </c>
      <c r="AC5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0" s="43">
        <f>INDEX(NOTA[HARGA/ CTN_H],Sheet1!A:A)</f>
        <v>8750000</v>
      </c>
      <c r="AE50" s="43">
        <f>IF(Table17[[#This Row],[DISC 3]]="",Table17[[#This Row],[HRG / CTN]],Table17[[#This Row],[HRG / CTN]]-(Table17[[#This Row],[HRG / CTN]]*Table17[[#This Row],[DISC 3]]))</f>
        <v>8750000</v>
      </c>
      <c r="AF50" s="14">
        <f>IF(Table17[[#This Row],[Column2222]]&lt;1,Table17[[#This Row],[Column9]],Table17[[#This Row],[Column9]]*Table17[[#This Row],[Column2222]])</f>
        <v>8750000</v>
      </c>
      <c r="AG50" s="43">
        <f ca="1">IF(NOT(AL51=Table17[[#This Row],[Column6]]),SUMIF(Table17[Column6],Table17[[#This Row],[Column6]],Table17[Column7]),"")</f>
        <v>8750000</v>
      </c>
      <c r="AH50" s="44">
        <f ca="1">INDEX(NOTA[TGL_H],Sheet1!A:A)</f>
        <v>45446</v>
      </c>
      <c r="AI50" s="44">
        <f ca="1">INDEX(NOTA[TGL.NOTA_H],Sheet1!A:A)</f>
        <v>45442</v>
      </c>
      <c r="AK50" t="str">
        <f>IF(INDEX(NOTA[KETERANGAN],A:A)="","",INDEX(NOTA[KETERANGAN],A:A))</f>
        <v/>
      </c>
      <c r="AL50" t="str">
        <f ca="1">INDEX(NOTA[NO.NOTA_H],Sheet1!A:A)</f>
        <v>H0424</v>
      </c>
      <c r="AM50">
        <f>INDEX(NOTA[KETERANGAN],Sheet1!A:A)</f>
        <v>0</v>
      </c>
      <c r="AN50" t="str">
        <f ca="1">INDEX(NOTA[SUPPLIER_H],Sheet1!A:A)</f>
        <v>ETJ</v>
      </c>
      <c r="AO50" t="e">
        <f t="shared" ca="1" si="1"/>
        <v>#N/A</v>
      </c>
      <c r="AR50" s="45" t="s">
        <v>169</v>
      </c>
    </row>
    <row r="51" spans="1:44">
      <c r="A51" s="3">
        <v>61</v>
      </c>
      <c r="C51">
        <f>INDEX(NOTA[//DB],Sheet1!A:A)</f>
        <v>144</v>
      </c>
      <c r="D51">
        <f>MATCH(Table17[[#This Row],[//db]],[3]!Table2[\\],0)</f>
        <v>710</v>
      </c>
      <c r="E51" t="str">
        <f>INDEX([3]!db[NB NOTA],Table17[[#This Row],[//db]])</f>
        <v>BALLPEN GEL TF-1190 HTM 0.3MM HIGHTECH</v>
      </c>
      <c r="F51" t="str">
        <f>INDEX([3]!db[NB BM],Table17[[#This Row],[//db]])</f>
        <v>BP GEL TF-1190 0.3MM HIGHTECH (H)</v>
      </c>
      <c r="G51" t="str">
        <f>_xlfn.IFNA(INDEX([3]!Table2[NAMA],Table17[[#This Row],[dbconcat]]),"")</f>
        <v>BP GEL TF-1190 0.3MM HIGHTECH (H)</v>
      </c>
      <c r="H51" t="str">
        <f>INDEX([3]!Table2[KODE BARANG],Table17[[#This Row],[dbconcat]])</f>
        <v>BOL-TF336</v>
      </c>
      <c r="I51" t="str">
        <f>IF(Table17[[#This Row],[Column3]]="",UPPER(Table17[[#This Row],[Column1]]),Table17[[#This Row],[Column3]])</f>
        <v>BP GEL TF-1190 0.3MM HIGHTECH (H)</v>
      </c>
      <c r="J51">
        <f>INDEX(NOTA[C],Sheet1!A:A)</f>
        <v>9</v>
      </c>
      <c r="K51">
        <f>IF(OR(Table17[[#This Row],[Column5]]=0,Table17[[#This Row],[Column3]]=""),"",INDEX([3]!Table2[ISI2],Table17[[#This Row],[dbconcat]]))</f>
        <v>96</v>
      </c>
      <c r="L51" t="str">
        <f>IF(Table17[[#This Row],[isis]]="","",INDEX([3]!Table2[SATUAN3],Table17[[#This Row],[dbconcat]]))</f>
        <v>LSN</v>
      </c>
      <c r="M51" t="str">
        <f>IF(Table17[[#This Row],[Column5]]=0,"",IF(Table17[[#This Row],[Column3]]="",INDEX([3]!db[QTY B],Table17[[#This Row],[//db]]),""))</f>
        <v/>
      </c>
      <c r="N51" t="str">
        <f>IF(Table17[[#This Row],[isin]]="","",INDEX([3]!db[STN B],Table17[[#This Row],[//db]]))</f>
        <v/>
      </c>
      <c r="O51" t="str">
        <f>IF(AND(Table17[[#This Row],[isis]]="",Table17[[#This Row],[isin]]=""),INDEX(NOTA[QTY],Sheet1!A:A)/IF(Table17[[#This Row],[Column5]]=0,1,Table17[[#This Row],[Column5]]),"")</f>
        <v/>
      </c>
      <c r="P51" t="str">
        <f>IF(Table17[[#This Row],[Column2]]="","",INDEX(NOTA[STN],Sheet1!A:A))</f>
        <v/>
      </c>
      <c r="Q51" s="5" t="str">
        <f>INDEX([3]!db[QTY B],Table17[[#This Row],[//db]])</f>
        <v>96</v>
      </c>
      <c r="R51" t="str">
        <f>INDEX([3]!db[STN B],Table17[[#This Row],[//db]])</f>
        <v>LSN</v>
      </c>
      <c r="S51" s="40" t="str">
        <f>IF(Table17[[#This Row],[Column5]]=0,Table17[[#This Row],[Column23]]/Table17[[#This Row],[Column224]],"")</f>
        <v/>
      </c>
      <c r="T51" s="4">
        <f>IF(Table17[[#This Row],[Column222]]="",Table17[[#This Row],[Column5]],Table17[[#This Row],[Column222]])</f>
        <v>9</v>
      </c>
      <c r="U51" s="4" t="str">
        <f>IF(Table17[[#This Row],[Column223]]=Table17[[#This Row],[Column24]],"",1)</f>
        <v/>
      </c>
      <c r="V51" s="5">
        <f>IF(Table17[[#This Row],[isis]]="",IF(Table17[[#This Row],[isin]]="",Table17[[#This Row],[Column2]],Table17[[#This Row],[isin]]),Table17[[#This Row],[isis]])</f>
        <v>96</v>
      </c>
      <c r="W51" s="3" t="str">
        <f>IF(Table17[[#This Row],[isis]]="",IF(Table17[[#This Row],[isin]]="",Table17[[#This Row],[Column22]],Table17[[#This Row],[stnn]]),Table17[[#This Row],[stns]])</f>
        <v>LSN</v>
      </c>
      <c r="X51" s="5">
        <f>IF(Table17[[#This Row],[Column2222]]&lt;1,Table17[[#This Row],[Column23]],Table17[[#This Row],[Column23]]*Table17[[#This Row],[Column2222]])</f>
        <v>864</v>
      </c>
      <c r="Y51" s="3" t="str">
        <f>Table17[[#This Row],[Column24]]</f>
        <v>LSN</v>
      </c>
      <c r="Z51" s="5">
        <f>Table17[[#This Row],[HRG / CTN]]/Table17[[#This Row],[Column23]]</f>
        <v>26500</v>
      </c>
      <c r="AA51" s="42">
        <f>IF(INDEX(NOTA[DISC 1],Sheet1!A:A)=0,"",INDEX(NOTA[DISC 1],Sheet1!A:A))</f>
        <v>0.03</v>
      </c>
      <c r="AB51" s="42" t="str">
        <f>IF(INDEX(NOTA[DISC 2],Sheet1!A:A)=0,"",INDEX(NOTA[DISC 2],Sheet1!A:A))</f>
        <v/>
      </c>
      <c r="AC51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51" s="43">
        <f>INDEX(NOTA[HARGA/ CTN_H],Sheet1!A:A)</f>
        <v>2544000</v>
      </c>
      <c r="AE51" s="43">
        <f>IF(Table17[[#This Row],[DISC 3]]="",Table17[[#This Row],[HRG / CTN]],Table17[[#This Row],[HRG / CTN]]-(Table17[[#This Row],[HRG / CTN]]*Table17[[#This Row],[DISC 3]]))</f>
        <v>2467680</v>
      </c>
      <c r="AF51" s="14">
        <f>IF(Table17[[#This Row],[Column2222]]&lt;1,Table17[[#This Row],[Column9]],Table17[[#This Row],[Column9]]*Table17[[#This Row],[Column2222]])</f>
        <v>22209120</v>
      </c>
      <c r="AG51" s="43">
        <f ca="1">IF(NOT(AL52=Table17[[#This Row],[Column6]]),SUMIF(Table17[Column6],Table17[[#This Row],[Column6]],Table17[Column7]),"")</f>
        <v>22209120</v>
      </c>
      <c r="AH51" s="44">
        <f ca="1">INDEX(NOTA[TGL_H],Sheet1!A:A)</f>
        <v>45447</v>
      </c>
      <c r="AI51" s="44">
        <f ca="1">INDEX(NOTA[TGL.NOTA_H],Sheet1!A:A)</f>
        <v>45440</v>
      </c>
      <c r="AK51" t="str">
        <f>IF(INDEX(NOTA[KETERANGAN],A:A)="","",INDEX(NOTA[KETERANGAN],A:A))</f>
        <v/>
      </c>
      <c r="AL51" t="str">
        <f ca="1">INDEX(NOTA[NO.NOTA_H],Sheet1!A:A)</f>
        <v>HM/099/05-24H</v>
      </c>
      <c r="AM51">
        <f>INDEX(NOTA[KETERANGAN],Sheet1!A:A)</f>
        <v>0</v>
      </c>
      <c r="AN51" t="str">
        <f ca="1">INDEX(NOTA[SUPPLIER_H],Sheet1!A:A)</f>
        <v>DUTA BUANA</v>
      </c>
      <c r="AO51" t="e">
        <f t="shared" ca="1" si="1"/>
        <v>#N/A</v>
      </c>
      <c r="AR51" s="45" t="s">
        <v>169</v>
      </c>
    </row>
    <row r="52" spans="1:44">
      <c r="A52" s="3">
        <v>63</v>
      </c>
      <c r="C52">
        <f>INDEX(NOTA[//DB],Sheet1!A:A)</f>
        <v>1044</v>
      </c>
      <c r="D52">
        <f>MATCH(Table17[[#This Row],[//db]],[3]!Table2[\\],0)</f>
        <v>482</v>
      </c>
      <c r="E52" t="str">
        <f>INDEX([3]!db[NB NOTA],Table17[[#This Row],[//db]])</f>
        <v>GEL DEBOZZ 0.5 DB-G05</v>
      </c>
      <c r="F52" t="str">
        <f>INDEX([3]!db[NB BM],Table17[[#This Row],[//db]])</f>
        <v>Bp Debozz DB G 05</v>
      </c>
      <c r="G52" t="str">
        <f>_xlfn.IFNA(INDEX([3]!Table2[NAMA],Table17[[#This Row],[dbconcat]]),"")</f>
        <v>BP DEBOZZ DB G 05</v>
      </c>
      <c r="H52" t="str">
        <f>INDEX([3]!Table2[KODE BARANG],Table17[[#This Row],[dbconcat]])</f>
        <v>BOL-DB104</v>
      </c>
      <c r="I52" t="str">
        <f>IF(Table17[[#This Row],[Column3]]="",UPPER(Table17[[#This Row],[Column1]]),Table17[[#This Row],[Column3]])</f>
        <v>BP DEBOZZ DB G 05</v>
      </c>
      <c r="J52">
        <f>INDEX(NOTA[C],Sheet1!A:A)</f>
        <v>3</v>
      </c>
      <c r="K52">
        <f>IF(OR(Table17[[#This Row],[Column5]]=0,Table17[[#This Row],[Column3]]=""),"",INDEX([3]!Table2[ISI2],Table17[[#This Row],[dbconcat]]))</f>
        <v>120</v>
      </c>
      <c r="L52" t="str">
        <f>IF(Table17[[#This Row],[isis]]="","",INDEX([3]!Table2[SATUAN3],Table17[[#This Row],[dbconcat]]))</f>
        <v>LSN</v>
      </c>
      <c r="M52" t="str">
        <f>IF(Table17[[#This Row],[Column5]]=0,"",IF(Table17[[#This Row],[Column3]]="",INDEX([3]!db[QTY B],Table17[[#This Row],[//db]]),""))</f>
        <v/>
      </c>
      <c r="N52" t="str">
        <f>IF(Table17[[#This Row],[isin]]="","",INDEX([3]!db[STN B],Table17[[#This Row],[//db]]))</f>
        <v/>
      </c>
      <c r="O52" t="str">
        <f>IF(AND(Table17[[#This Row],[isis]]="",Table17[[#This Row],[isin]]=""),INDEX(NOTA[QTY],Sheet1!A:A)/IF(Table17[[#This Row],[Column5]]=0,1,Table17[[#This Row],[Column5]]),"")</f>
        <v/>
      </c>
      <c r="P52" t="str">
        <f>IF(Table17[[#This Row],[Column2]]="","",INDEX(NOTA[STN],Sheet1!A:A))</f>
        <v/>
      </c>
      <c r="Q52" s="5" t="str">
        <f>INDEX([3]!db[QTY B],Table17[[#This Row],[//db]])</f>
        <v>120</v>
      </c>
      <c r="R52" t="str">
        <f>INDEX([3]!db[STN B],Table17[[#This Row],[//db]])</f>
        <v>LSN</v>
      </c>
      <c r="S52" s="40" t="str">
        <f>IF(Table17[[#This Row],[Column5]]=0,Table17[[#This Row],[Column23]]/Table17[[#This Row],[Column224]],"")</f>
        <v/>
      </c>
      <c r="T52" s="4">
        <f>IF(Table17[[#This Row],[Column222]]="",Table17[[#This Row],[Column5]],Table17[[#This Row],[Column222]])</f>
        <v>3</v>
      </c>
      <c r="U52" s="4" t="str">
        <f>IF(Table17[[#This Row],[Column223]]=Table17[[#This Row],[Column24]],"",1)</f>
        <v/>
      </c>
      <c r="V52" s="5">
        <f>IF(Table17[[#This Row],[isis]]="",IF(Table17[[#This Row],[isin]]="",Table17[[#This Row],[Column2]],Table17[[#This Row],[isin]]),Table17[[#This Row],[isis]])</f>
        <v>120</v>
      </c>
      <c r="W52" s="3" t="str">
        <f>IF(Table17[[#This Row],[isis]]="",IF(Table17[[#This Row],[isin]]="",Table17[[#This Row],[Column22]],Table17[[#This Row],[stnn]]),Table17[[#This Row],[stns]])</f>
        <v>LSN</v>
      </c>
      <c r="X52" s="5">
        <f>IF(Table17[[#This Row],[Column2222]]&lt;1,Table17[[#This Row],[Column23]],Table17[[#This Row],[Column23]]*Table17[[#This Row],[Column2222]])</f>
        <v>360</v>
      </c>
      <c r="Y52" s="3" t="str">
        <f>Table17[[#This Row],[Column24]]</f>
        <v>LSN</v>
      </c>
      <c r="Z52" s="5">
        <f>Table17[[#This Row],[HRG / CTN]]/Table17[[#This Row],[Column23]]</f>
        <v>25500</v>
      </c>
      <c r="AA52" s="42" t="str">
        <f>IF(INDEX(NOTA[DISC 1],Sheet1!A:A)=0,"",INDEX(NOTA[DISC 1],Sheet1!A:A))</f>
        <v/>
      </c>
      <c r="AB52" s="42" t="str">
        <f>IF(INDEX(NOTA[DISC 2],Sheet1!A:A)=0,"",INDEX(NOTA[DISC 2],Sheet1!A:A))</f>
        <v/>
      </c>
      <c r="AC5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2" s="43">
        <f>INDEX(NOTA[HARGA/ CTN_H],Sheet1!A:A)</f>
        <v>3060000</v>
      </c>
      <c r="AE52" s="43">
        <f>IF(Table17[[#This Row],[DISC 3]]="",Table17[[#This Row],[HRG / CTN]],Table17[[#This Row],[HRG / CTN]]-(Table17[[#This Row],[HRG / CTN]]*Table17[[#This Row],[DISC 3]]))</f>
        <v>3060000</v>
      </c>
      <c r="AF52" s="14">
        <f>IF(Table17[[#This Row],[Column2222]]&lt;1,Table17[[#This Row],[Column9]],Table17[[#This Row],[Column9]]*Table17[[#This Row],[Column2222]])</f>
        <v>9180000</v>
      </c>
      <c r="AG52" s="43" t="str">
        <f ca="1">IF(NOT(AL53=Table17[[#This Row],[Column6]]),SUMIF(Table17[Column6],Table17[[#This Row],[Column6]],Table17[Column7]),"")</f>
        <v/>
      </c>
      <c r="AH52" s="44">
        <f ca="1">INDEX(NOTA[TGL_H],Sheet1!A:A)</f>
        <v>45447</v>
      </c>
      <c r="AI52" s="44">
        <f ca="1">INDEX(NOTA[TGL.NOTA_H],Sheet1!A:A)</f>
        <v>45441</v>
      </c>
      <c r="AK52" t="str">
        <f>IF(INDEX(NOTA[KETERANGAN],A:A)="","",INDEX(NOTA[KETERANGAN],A:A))</f>
        <v/>
      </c>
      <c r="AL52" t="str">
        <f ca="1">INDEX(NOTA[NO.NOTA_H],Sheet1!A:A)</f>
        <v>JUE642/24</v>
      </c>
      <c r="AM52">
        <f>INDEX(NOTA[KETERANGAN],Sheet1!A:A)</f>
        <v>0</v>
      </c>
      <c r="AN52" t="str">
        <f ca="1">INDEX(NOTA[SUPPLIER_H],Sheet1!A:A)</f>
        <v>DB STATIONERY</v>
      </c>
      <c r="AO52" t="e">
        <f t="shared" ca="1" si="1"/>
        <v>#N/A</v>
      </c>
      <c r="AR52" s="45" t="s">
        <v>169</v>
      </c>
    </row>
    <row r="53" spans="1:44">
      <c r="A53" s="3">
        <v>64</v>
      </c>
      <c r="C53">
        <f>INDEX(NOTA[//DB],Sheet1!A:A)</f>
        <v>1143</v>
      </c>
      <c r="D53" t="e">
        <f>MATCH(Table17[[#This Row],[//db]],[3]!Table2[\\],0)</f>
        <v>#N/A</v>
      </c>
      <c r="E53" t="str">
        <f>INDEX([3]!db[NB NOTA],Table17[[#This Row],[//db]])</f>
        <v>GEL TECHJOB TG346-B</v>
      </c>
      <c r="F53" t="str">
        <f>INDEX([3]!db[NB BM],Table17[[#This Row],[//db]])</f>
        <v>Bp Gel Techjob TG 346-B</v>
      </c>
      <c r="G53" t="str">
        <f>_xlfn.IFNA(INDEX([3]!Table2[NAMA],Table17[[#This Row],[dbconcat]]),"")</f>
        <v/>
      </c>
      <c r="H53" t="e">
        <f>INDEX([3]!Table2[KODE BARANG],Table17[[#This Row],[dbconcat]])</f>
        <v>#N/A</v>
      </c>
      <c r="I53" t="str">
        <f>IF(Table17[[#This Row],[Column3]]="",UPPER(Table17[[#This Row],[Column1]]),Table17[[#This Row],[Column3]])</f>
        <v>BP GEL TECHJOB TG 346-B</v>
      </c>
      <c r="J53">
        <f>INDEX(NOTA[C],Sheet1!A:A)</f>
        <v>2</v>
      </c>
      <c r="K53" t="str">
        <f>IF(OR(Table17[[#This Row],[Column5]]=0,Table17[[#This Row],[Column3]]=""),"",INDEX([3]!Table2[ISI2],Table17[[#This Row],[dbconcat]]))</f>
        <v/>
      </c>
      <c r="L53" t="str">
        <f>IF(Table17[[#This Row],[isis]]="","",INDEX([3]!Table2[SATUAN3],Table17[[#This Row],[dbconcat]]))</f>
        <v/>
      </c>
      <c r="M53" t="str">
        <f>IF(Table17[[#This Row],[Column5]]=0,"",IF(Table17[[#This Row],[Column3]]="",INDEX([3]!db[QTY B],Table17[[#This Row],[//db]]),""))</f>
        <v>144</v>
      </c>
      <c r="N53" t="str">
        <f>IF(Table17[[#This Row],[isin]]="","",INDEX([3]!db[STN B],Table17[[#This Row],[//db]]))</f>
        <v>LSN</v>
      </c>
      <c r="O53" t="str">
        <f>IF(AND(Table17[[#This Row],[isis]]="",Table17[[#This Row],[isin]]=""),INDEX(NOTA[QTY],Sheet1!A:A)/IF(Table17[[#This Row],[Column5]]=0,1,Table17[[#This Row],[Column5]]),"")</f>
        <v/>
      </c>
      <c r="P53" t="str">
        <f>IF(Table17[[#This Row],[Column2]]="","",INDEX(NOTA[STN],Sheet1!A:A))</f>
        <v/>
      </c>
      <c r="Q53" s="5" t="str">
        <f>INDEX([3]!db[QTY B],Table17[[#This Row],[//db]])</f>
        <v>144</v>
      </c>
      <c r="R53" t="str">
        <f>INDEX([3]!db[STN B],Table17[[#This Row],[//db]])</f>
        <v>LSN</v>
      </c>
      <c r="S53" s="40" t="str">
        <f>IF(Table17[[#This Row],[Column5]]=0,Table17[[#This Row],[Column23]]/Table17[[#This Row],[Column224]],"")</f>
        <v/>
      </c>
      <c r="T53" s="4">
        <f>IF(Table17[[#This Row],[Column222]]="",Table17[[#This Row],[Column5]],Table17[[#This Row],[Column222]])</f>
        <v>2</v>
      </c>
      <c r="U53" s="4" t="str">
        <f>IF(Table17[[#This Row],[Column223]]=Table17[[#This Row],[Column24]],"",1)</f>
        <v/>
      </c>
      <c r="V53" s="5" t="str">
        <f>IF(Table17[[#This Row],[isis]]="",IF(Table17[[#This Row],[isin]]="",Table17[[#This Row],[Column2]],Table17[[#This Row],[isin]]),Table17[[#This Row],[isis]])</f>
        <v>144</v>
      </c>
      <c r="W53" s="3" t="str">
        <f>IF(Table17[[#This Row],[isis]]="",IF(Table17[[#This Row],[isin]]="",Table17[[#This Row],[Column22]],Table17[[#This Row],[stnn]]),Table17[[#This Row],[stns]])</f>
        <v>LSN</v>
      </c>
      <c r="X53" s="5">
        <f>IF(Table17[[#This Row],[Column2222]]&lt;1,Table17[[#This Row],[Column23]],Table17[[#This Row],[Column23]]*Table17[[#This Row],[Column2222]])</f>
        <v>288</v>
      </c>
      <c r="Y53" s="3" t="str">
        <f>Table17[[#This Row],[Column24]]</f>
        <v>LSN</v>
      </c>
      <c r="Z53" s="5">
        <f>Table17[[#This Row],[HRG / CTN]]/Table17[[#This Row],[Column23]]</f>
        <v>25500</v>
      </c>
      <c r="AA53" s="42" t="str">
        <f>IF(INDEX(NOTA[DISC 1],Sheet1!A:A)=0,"",INDEX(NOTA[DISC 1],Sheet1!A:A))</f>
        <v/>
      </c>
      <c r="AB53" s="42" t="str">
        <f>IF(INDEX(NOTA[DISC 2],Sheet1!A:A)=0,"",INDEX(NOTA[DISC 2],Sheet1!A:A))</f>
        <v/>
      </c>
      <c r="AC5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3" s="43">
        <f>INDEX(NOTA[HARGA/ CTN_H],Sheet1!A:A)</f>
        <v>3672000</v>
      </c>
      <c r="AE53" s="43">
        <f>IF(Table17[[#This Row],[DISC 3]]="",Table17[[#This Row],[HRG / CTN]],Table17[[#This Row],[HRG / CTN]]-(Table17[[#This Row],[HRG / CTN]]*Table17[[#This Row],[DISC 3]]))</f>
        <v>3672000</v>
      </c>
      <c r="AF53" s="14">
        <f>IF(Table17[[#This Row],[Column2222]]&lt;1,Table17[[#This Row],[Column9]],Table17[[#This Row],[Column9]]*Table17[[#This Row],[Column2222]])</f>
        <v>7344000</v>
      </c>
      <c r="AG53" s="43" t="str">
        <f ca="1">IF(NOT(AL54=Table17[[#This Row],[Column6]]),SUMIF(Table17[Column6],Table17[[#This Row],[Column6]],Table17[Column7]),"")</f>
        <v/>
      </c>
      <c r="AH53" s="44">
        <f ca="1">INDEX(NOTA[TGL_H],Sheet1!A:A)</f>
        <v>45447</v>
      </c>
      <c r="AI53" s="44">
        <f ca="1">INDEX(NOTA[TGL.NOTA_H],Sheet1!A:A)</f>
        <v>45441</v>
      </c>
      <c r="AK53" t="str">
        <f>IF(INDEX(NOTA[KETERANGAN],A:A)="","",INDEX(NOTA[KETERANGAN],A:A))</f>
        <v/>
      </c>
      <c r="AL53" t="str">
        <f ca="1">INDEX(NOTA[NO.NOTA_H],Sheet1!A:A)</f>
        <v>JUE642/24</v>
      </c>
      <c r="AM53">
        <f>INDEX(NOTA[KETERANGAN],Sheet1!A:A)</f>
        <v>0</v>
      </c>
      <c r="AN53" t="str">
        <f ca="1">INDEX(NOTA[SUPPLIER_H],Sheet1!A:A)</f>
        <v>DB STATIONERY</v>
      </c>
      <c r="AO53" t="e">
        <f t="shared" ca="1" si="1"/>
        <v>#N/A</v>
      </c>
      <c r="AR53" s="45" t="s">
        <v>169</v>
      </c>
    </row>
    <row r="54" spans="1:44">
      <c r="A54" s="3">
        <v>65</v>
      </c>
      <c r="C54">
        <f>INDEX(NOTA[//DB],Sheet1!A:A)</f>
        <v>1484</v>
      </c>
      <c r="D54">
        <f>MATCH(Table17[[#This Row],[//db]],[3]!Table2[\\],0)</f>
        <v>1431</v>
      </c>
      <c r="E54" t="str">
        <f>INDEX([3]!db[NB NOTA],Table17[[#This Row],[//db]])</f>
        <v>ISI GEL TIZO 1.0 TG308-AR</v>
      </c>
      <c r="F54" t="str">
        <f>INDEX([3]!db[NB BM],Table17[[#This Row],[//db]])</f>
        <v>Isi Gel TIZO TG 308-AR</v>
      </c>
      <c r="G54" t="str">
        <f>_xlfn.IFNA(INDEX([3]!Table2[NAMA],Table17[[#This Row],[dbconcat]]),"")</f>
        <v>ISI GEL TIZO TG 308-AR</v>
      </c>
      <c r="H54" t="str">
        <f>INDEX([3]!Table2[KODE BARANG],Table17[[#This Row],[dbconcat]])</f>
        <v>IGE-TZ16</v>
      </c>
      <c r="I54" t="str">
        <f>IF(Table17[[#This Row],[Column3]]="",UPPER(Table17[[#This Row],[Column1]]),Table17[[#This Row],[Column3]])</f>
        <v>ISI GEL TIZO TG 308-AR</v>
      </c>
      <c r="J54">
        <f>INDEX(NOTA[C],Sheet1!A:A)</f>
        <v>2</v>
      </c>
      <c r="K54">
        <f>IF(OR(Table17[[#This Row],[Column5]]=0,Table17[[#This Row],[Column3]]=""),"",INDEX([3]!Table2[ISI2],Table17[[#This Row],[dbconcat]]))</f>
        <v>80</v>
      </c>
      <c r="L54" t="str">
        <f>IF(Table17[[#This Row],[isis]]="","",INDEX([3]!Table2[SATUAN3],Table17[[#This Row],[dbconcat]]))</f>
        <v>PAK</v>
      </c>
      <c r="M54" t="str">
        <f>IF(Table17[[#This Row],[Column5]]=0,"",IF(Table17[[#This Row],[Column3]]="",INDEX([3]!db[QTY B],Table17[[#This Row],[//db]]),""))</f>
        <v/>
      </c>
      <c r="N54" t="str">
        <f>IF(Table17[[#This Row],[isin]]="","",INDEX([3]!db[STN B],Table17[[#This Row],[//db]]))</f>
        <v/>
      </c>
      <c r="O54" t="str">
        <f>IF(AND(Table17[[#This Row],[isis]]="",Table17[[#This Row],[isin]]=""),INDEX(NOTA[QTY],Sheet1!A:A)/IF(Table17[[#This Row],[Column5]]=0,1,Table17[[#This Row],[Column5]]),"")</f>
        <v/>
      </c>
      <c r="P54" t="str">
        <f>IF(Table17[[#This Row],[Column2]]="","",INDEX(NOTA[STN],Sheet1!A:A))</f>
        <v/>
      </c>
      <c r="Q54" s="5" t="str">
        <f>INDEX([3]!db[QTY B],Table17[[#This Row],[//db]])</f>
        <v>80</v>
      </c>
      <c r="R54" t="str">
        <f>INDEX([3]!db[STN B],Table17[[#This Row],[//db]])</f>
        <v>PAK</v>
      </c>
      <c r="S54" s="40" t="str">
        <f>IF(Table17[[#This Row],[Column5]]=0,Table17[[#This Row],[Column23]]/Table17[[#This Row],[Column224]],"")</f>
        <v/>
      </c>
      <c r="T54" s="4">
        <f>IF(Table17[[#This Row],[Column222]]="",Table17[[#This Row],[Column5]],Table17[[#This Row],[Column222]])</f>
        <v>2</v>
      </c>
      <c r="U54" s="4" t="str">
        <f>IF(Table17[[#This Row],[Column223]]=Table17[[#This Row],[Column24]],"",1)</f>
        <v/>
      </c>
      <c r="V54" s="5">
        <f>IF(Table17[[#This Row],[isis]]="",IF(Table17[[#This Row],[isin]]="",Table17[[#This Row],[Column2]],Table17[[#This Row],[isin]]),Table17[[#This Row],[isis]])</f>
        <v>80</v>
      </c>
      <c r="W54" s="3" t="str">
        <f>IF(Table17[[#This Row],[isis]]="",IF(Table17[[#This Row],[isin]]="",Table17[[#This Row],[Column22]],Table17[[#This Row],[stnn]]),Table17[[#This Row],[stns]])</f>
        <v>PAK</v>
      </c>
      <c r="X54" s="5">
        <f>IF(Table17[[#This Row],[Column2222]]&lt;1,Table17[[#This Row],[Column23]],Table17[[#This Row],[Column23]]*Table17[[#This Row],[Column2222]])</f>
        <v>160</v>
      </c>
      <c r="Y54" s="3" t="str">
        <f>Table17[[#This Row],[Column24]]</f>
        <v>PAK</v>
      </c>
      <c r="Z54" s="5">
        <f>Table17[[#This Row],[HRG / CTN]]/Table17[[#This Row],[Column23]]</f>
        <v>22500</v>
      </c>
      <c r="AA54" s="42" t="str">
        <f>IF(INDEX(NOTA[DISC 1],Sheet1!A:A)=0,"",INDEX(NOTA[DISC 1],Sheet1!A:A))</f>
        <v/>
      </c>
      <c r="AB54" s="42" t="str">
        <f>IF(INDEX(NOTA[DISC 2],Sheet1!A:A)=0,"",INDEX(NOTA[DISC 2],Sheet1!A:A))</f>
        <v/>
      </c>
      <c r="AC5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4" s="43">
        <f>INDEX(NOTA[HARGA/ CTN_H],Sheet1!A:A)</f>
        <v>1800000</v>
      </c>
      <c r="AE54" s="43">
        <f>IF(Table17[[#This Row],[DISC 3]]="",Table17[[#This Row],[HRG / CTN]],Table17[[#This Row],[HRG / CTN]]-(Table17[[#This Row],[HRG / CTN]]*Table17[[#This Row],[DISC 3]]))</f>
        <v>1800000</v>
      </c>
      <c r="AF54" s="14">
        <f>IF(Table17[[#This Row],[Column2222]]&lt;1,Table17[[#This Row],[Column9]],Table17[[#This Row],[Column9]]*Table17[[#This Row],[Column2222]])</f>
        <v>3600000</v>
      </c>
      <c r="AG54" s="43">
        <f ca="1">IF(NOT(AL55=Table17[[#This Row],[Column6]]),SUMIF(Table17[Column6],Table17[[#This Row],[Column6]],Table17[Column7]),"")</f>
        <v>20124000</v>
      </c>
      <c r="AH54" s="44">
        <f ca="1">INDEX(NOTA[TGL_H],Sheet1!A:A)</f>
        <v>45447</v>
      </c>
      <c r="AI54" s="44">
        <f ca="1">INDEX(NOTA[TGL.NOTA_H],Sheet1!A:A)</f>
        <v>45441</v>
      </c>
      <c r="AK54" t="str">
        <f>IF(INDEX(NOTA[KETERANGAN],A:A)="","",INDEX(NOTA[KETERANGAN],A:A))</f>
        <v/>
      </c>
      <c r="AL54" t="str">
        <f ca="1">INDEX(NOTA[NO.NOTA_H],Sheet1!A:A)</f>
        <v>JUE642/24</v>
      </c>
      <c r="AM54">
        <f>INDEX(NOTA[KETERANGAN],Sheet1!A:A)</f>
        <v>0</v>
      </c>
      <c r="AN54" t="str">
        <f ca="1">INDEX(NOTA[SUPPLIER_H],Sheet1!A:A)</f>
        <v>DB STATIONERY</v>
      </c>
      <c r="AO54" t="e">
        <f t="shared" ca="1" si="1"/>
        <v>#N/A</v>
      </c>
      <c r="AR54" s="45" t="s">
        <v>169</v>
      </c>
    </row>
    <row r="55" spans="1:44">
      <c r="A55" s="3">
        <v>67</v>
      </c>
      <c r="C55">
        <f>INDEX(NOTA[//DB],Sheet1!A:A)</f>
        <v>407</v>
      </c>
      <c r="D55">
        <f>MATCH(Table17[[#This Row],[//db]],[3]!Table2[\\],0)</f>
        <v>348</v>
      </c>
      <c r="E55" t="str">
        <f>INDEX([3]!db[NB NOTA],Table17[[#This Row],[//db]])</f>
        <v>BNL AA0321-01/A6-80/FRUIT</v>
      </c>
      <c r="F55" t="str">
        <f>INDEX([3]!db[NB BM],Table17[[#This Row],[//db]])</f>
        <v>BN Tali AA0321-01/ A6-80</v>
      </c>
      <c r="G55" t="str">
        <f>_xlfn.IFNA(INDEX([3]!Table2[NAMA],Table17[[#This Row],[dbconcat]]),"")</f>
        <v>BN TALI AA 0321-01 A6-80</v>
      </c>
      <c r="H55" t="str">
        <f>INDEX([3]!Table2[KODE BARANG],Table17[[#This Row],[dbconcat]])</f>
        <v>BIN-NB32</v>
      </c>
      <c r="I55" t="str">
        <f>IF(Table17[[#This Row],[Column3]]="",UPPER(Table17[[#This Row],[Column1]]),Table17[[#This Row],[Column3]])</f>
        <v>BN TALI AA 0321-01 A6-80</v>
      </c>
      <c r="J55">
        <f>INDEX(NOTA[C],Sheet1!A:A)</f>
        <v>1</v>
      </c>
      <c r="K55">
        <f>IF(OR(Table17[[#This Row],[Column5]]=0,Table17[[#This Row],[Column3]]=""),"",INDEX([3]!Table2[ISI2],Table17[[#This Row],[dbconcat]]))</f>
        <v>240</v>
      </c>
      <c r="L55" t="str">
        <f>IF(Table17[[#This Row],[isis]]="","",INDEX([3]!Table2[SATUAN3],Table17[[#This Row],[dbconcat]]))</f>
        <v>PCS</v>
      </c>
      <c r="M55" t="str">
        <f>IF(Table17[[#This Row],[Column5]]=0,"",IF(Table17[[#This Row],[Column3]]="",INDEX([3]!db[QTY B],Table17[[#This Row],[//db]]),""))</f>
        <v/>
      </c>
      <c r="N55" t="str">
        <f>IF(Table17[[#This Row],[isin]]="","",INDEX([3]!db[STN B],Table17[[#This Row],[//db]]))</f>
        <v/>
      </c>
      <c r="O55" t="str">
        <f>IF(AND(Table17[[#This Row],[isis]]="",Table17[[#This Row],[isin]]=""),INDEX(NOTA[QTY],Sheet1!A:A)/IF(Table17[[#This Row],[Column5]]=0,1,Table17[[#This Row],[Column5]]),"")</f>
        <v/>
      </c>
      <c r="P55" t="str">
        <f>IF(Table17[[#This Row],[Column2]]="","",INDEX(NOTA[STN],Sheet1!A:A))</f>
        <v/>
      </c>
      <c r="Q55" s="5" t="str">
        <f>INDEX([3]!db[QTY B],Table17[[#This Row],[//db]])</f>
        <v>240</v>
      </c>
      <c r="R55" t="str">
        <f>INDEX([3]!db[STN B],Table17[[#This Row],[//db]])</f>
        <v>PCS</v>
      </c>
      <c r="S55" s="40" t="str">
        <f>IF(Table17[[#This Row],[Column5]]=0,Table17[[#This Row],[Column23]]/Table17[[#This Row],[Column224]],"")</f>
        <v/>
      </c>
      <c r="T55" s="4">
        <f>IF(Table17[[#This Row],[Column222]]="",Table17[[#This Row],[Column5]],Table17[[#This Row],[Column222]])</f>
        <v>1</v>
      </c>
      <c r="U55" s="4" t="str">
        <f>IF(Table17[[#This Row],[Column223]]=Table17[[#This Row],[Column24]],"",1)</f>
        <v/>
      </c>
      <c r="V55" s="5">
        <f>IF(Table17[[#This Row],[isis]]="",IF(Table17[[#This Row],[isin]]="",Table17[[#This Row],[Column2]],Table17[[#This Row],[isin]]),Table17[[#This Row],[isis]])</f>
        <v>240</v>
      </c>
      <c r="W55" s="3" t="str">
        <f>IF(Table17[[#This Row],[isis]]="",IF(Table17[[#This Row],[isin]]="",Table17[[#This Row],[Column22]],Table17[[#This Row],[stnn]]),Table17[[#This Row],[stns]])</f>
        <v>PCS</v>
      </c>
      <c r="X55" s="5">
        <f>IF(Table17[[#This Row],[Column2222]]&lt;1,Table17[[#This Row],[Column23]],Table17[[#This Row],[Column23]]*Table17[[#This Row],[Column2222]])</f>
        <v>240</v>
      </c>
      <c r="Y55" s="3" t="str">
        <f>Table17[[#This Row],[Column24]]</f>
        <v>PCS</v>
      </c>
      <c r="Z55" s="5">
        <f>Table17[[#This Row],[HRG / CTN]]/Table17[[#This Row],[Column23]]</f>
        <v>8100</v>
      </c>
      <c r="AA55" s="42" t="str">
        <f>IF(INDEX(NOTA[DISC 1],Sheet1!A:A)=0,"",INDEX(NOTA[DISC 1],Sheet1!A:A))</f>
        <v/>
      </c>
      <c r="AB55" s="42" t="str">
        <f>IF(INDEX(NOTA[DISC 2],Sheet1!A:A)=0,"",INDEX(NOTA[DISC 2],Sheet1!A:A))</f>
        <v/>
      </c>
      <c r="AC5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5" s="43">
        <f>INDEX(NOTA[HARGA/ CTN_H],Sheet1!A:A)</f>
        <v>1944000</v>
      </c>
      <c r="AE55" s="43">
        <f>IF(Table17[[#This Row],[DISC 3]]="",Table17[[#This Row],[HRG / CTN]],Table17[[#This Row],[HRG / CTN]]-(Table17[[#This Row],[HRG / CTN]]*Table17[[#This Row],[DISC 3]]))</f>
        <v>1944000</v>
      </c>
      <c r="AF55" s="14">
        <f>IF(Table17[[#This Row],[Column2222]]&lt;1,Table17[[#This Row],[Column9]],Table17[[#This Row],[Column9]]*Table17[[#This Row],[Column2222]])</f>
        <v>1944000</v>
      </c>
      <c r="AG55" s="43" t="str">
        <f ca="1">IF(NOT(AL56=Table17[[#This Row],[Column6]]),SUMIF(Table17[Column6],Table17[[#This Row],[Column6]],Table17[Column7]),"")</f>
        <v/>
      </c>
      <c r="AH55" s="44">
        <f ca="1">INDEX(NOTA[TGL_H],Sheet1!A:A)</f>
        <v>45447</v>
      </c>
      <c r="AI55" s="44">
        <f ca="1">INDEX(NOTA[TGL.NOTA_H],Sheet1!A:A)</f>
        <v>45446</v>
      </c>
      <c r="AK55" t="str">
        <f>IF(INDEX(NOTA[KETERANGAN],A:A)="","",INDEX(NOTA[KETERANGAN],A:A))</f>
        <v/>
      </c>
      <c r="AL55" t="str">
        <f ca="1">INDEX(NOTA[NO.NOTA_H],Sheet1!A:A)</f>
        <v>WF0002B1</v>
      </c>
      <c r="AM55">
        <f>INDEX(NOTA[KETERANGAN],Sheet1!A:A)</f>
        <v>0</v>
      </c>
      <c r="AN55" t="str">
        <f ca="1">INDEX(NOTA[SUPPLIER_H],Sheet1!A:A)</f>
        <v>SBS</v>
      </c>
      <c r="AO55" t="e">
        <f t="shared" ca="1" si="1"/>
        <v>#N/A</v>
      </c>
      <c r="AR55" s="45" t="s">
        <v>169</v>
      </c>
    </row>
    <row r="56" spans="1:44">
      <c r="A56" s="3">
        <v>68</v>
      </c>
      <c r="C56">
        <f>INDEX(NOTA[//DB],Sheet1!A:A)</f>
        <v>408</v>
      </c>
      <c r="D56">
        <f>MATCH(Table17[[#This Row],[//db]],[3]!Table2[\\],0)</f>
        <v>349</v>
      </c>
      <c r="E56" t="str">
        <f>INDEX([3]!db[NB NOTA],Table17[[#This Row],[//db]])</f>
        <v>BNL AA0321-02/ A6-80/ LIFE GLOWING</v>
      </c>
      <c r="F56" t="str">
        <f>INDEX([3]!db[NB BM],Table17[[#This Row],[//db]])</f>
        <v>BN Tali AA0321-02/ A6-80</v>
      </c>
      <c r="G56" t="str">
        <f>_xlfn.IFNA(INDEX([3]!Table2[NAMA],Table17[[#This Row],[dbconcat]]),"")</f>
        <v>BN TALI AA 0321-02 A6-80</v>
      </c>
      <c r="H56" t="str">
        <f>INDEX([3]!Table2[KODE BARANG],Table17[[#This Row],[dbconcat]])</f>
        <v>BIN-NB33</v>
      </c>
      <c r="I56" t="str">
        <f>IF(Table17[[#This Row],[Column3]]="",UPPER(Table17[[#This Row],[Column1]]),Table17[[#This Row],[Column3]])</f>
        <v>BN TALI AA 0321-02 A6-80</v>
      </c>
      <c r="J56">
        <f>INDEX(NOTA[C],Sheet1!A:A)</f>
        <v>1</v>
      </c>
      <c r="K56">
        <f>IF(OR(Table17[[#This Row],[Column5]]=0,Table17[[#This Row],[Column3]]=""),"",INDEX([3]!Table2[ISI2],Table17[[#This Row],[dbconcat]]))</f>
        <v>240</v>
      </c>
      <c r="L56" t="str">
        <f>IF(Table17[[#This Row],[isis]]="","",INDEX([3]!Table2[SATUAN3],Table17[[#This Row],[dbconcat]]))</f>
        <v>PCS</v>
      </c>
      <c r="M56" t="str">
        <f>IF(Table17[[#This Row],[Column5]]=0,"",IF(Table17[[#This Row],[Column3]]="",INDEX([3]!db[QTY B],Table17[[#This Row],[//db]]),""))</f>
        <v/>
      </c>
      <c r="N56" t="str">
        <f>IF(Table17[[#This Row],[isin]]="","",INDEX([3]!db[STN B],Table17[[#This Row],[//db]]))</f>
        <v/>
      </c>
      <c r="O56" t="str">
        <f>IF(AND(Table17[[#This Row],[isis]]="",Table17[[#This Row],[isin]]=""),INDEX(NOTA[QTY],Sheet1!A:A)/IF(Table17[[#This Row],[Column5]]=0,1,Table17[[#This Row],[Column5]]),"")</f>
        <v/>
      </c>
      <c r="P56" t="str">
        <f>IF(Table17[[#This Row],[Column2]]="","",INDEX(NOTA[STN],Sheet1!A:A))</f>
        <v/>
      </c>
      <c r="Q56" s="5" t="str">
        <f>INDEX([3]!db[QTY B],Table17[[#This Row],[//db]])</f>
        <v>240</v>
      </c>
      <c r="R56" t="str">
        <f>INDEX([3]!db[STN B],Table17[[#This Row],[//db]])</f>
        <v>PCS</v>
      </c>
      <c r="S56" s="40" t="str">
        <f>IF(Table17[[#This Row],[Column5]]=0,Table17[[#This Row],[Column23]]/Table17[[#This Row],[Column224]],"")</f>
        <v/>
      </c>
      <c r="T56" s="4">
        <f>IF(Table17[[#This Row],[Column222]]="",Table17[[#This Row],[Column5]],Table17[[#This Row],[Column222]])</f>
        <v>1</v>
      </c>
      <c r="U56" s="4" t="str">
        <f>IF(Table17[[#This Row],[Column223]]=Table17[[#This Row],[Column24]],"",1)</f>
        <v/>
      </c>
      <c r="V56" s="5">
        <f>IF(Table17[[#This Row],[isis]]="",IF(Table17[[#This Row],[isin]]="",Table17[[#This Row],[Column2]],Table17[[#This Row],[isin]]),Table17[[#This Row],[isis]])</f>
        <v>240</v>
      </c>
      <c r="W56" s="3" t="str">
        <f>IF(Table17[[#This Row],[isis]]="",IF(Table17[[#This Row],[isin]]="",Table17[[#This Row],[Column22]],Table17[[#This Row],[stnn]]),Table17[[#This Row],[stns]])</f>
        <v>PCS</v>
      </c>
      <c r="X56" s="5">
        <f>IF(Table17[[#This Row],[Column2222]]&lt;1,Table17[[#This Row],[Column23]],Table17[[#This Row],[Column23]]*Table17[[#This Row],[Column2222]])</f>
        <v>240</v>
      </c>
      <c r="Y56" s="3" t="str">
        <f>Table17[[#This Row],[Column24]]</f>
        <v>PCS</v>
      </c>
      <c r="Z56" s="5">
        <f>Table17[[#This Row],[HRG / CTN]]/Table17[[#This Row],[Column23]]</f>
        <v>8100</v>
      </c>
      <c r="AA56" s="42" t="str">
        <f>IF(INDEX(NOTA[DISC 1],Sheet1!A:A)=0,"",INDEX(NOTA[DISC 1],Sheet1!A:A))</f>
        <v/>
      </c>
      <c r="AB56" s="42" t="str">
        <f>IF(INDEX(NOTA[DISC 2],Sheet1!A:A)=0,"",INDEX(NOTA[DISC 2],Sheet1!A:A))</f>
        <v/>
      </c>
      <c r="AC5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6" s="43">
        <f>INDEX(NOTA[HARGA/ CTN_H],Sheet1!A:A)</f>
        <v>1944000</v>
      </c>
      <c r="AE56" s="43">
        <f>IF(Table17[[#This Row],[DISC 3]]="",Table17[[#This Row],[HRG / CTN]],Table17[[#This Row],[HRG / CTN]]-(Table17[[#This Row],[HRG / CTN]]*Table17[[#This Row],[DISC 3]]))</f>
        <v>1944000</v>
      </c>
      <c r="AF56" s="14">
        <f>IF(Table17[[#This Row],[Column2222]]&lt;1,Table17[[#This Row],[Column9]],Table17[[#This Row],[Column9]]*Table17[[#This Row],[Column2222]])</f>
        <v>1944000</v>
      </c>
      <c r="AG56" s="43" t="str">
        <f ca="1">IF(NOT(AL57=Table17[[#This Row],[Column6]]),SUMIF(Table17[Column6],Table17[[#This Row],[Column6]],Table17[Column7]),"")</f>
        <v/>
      </c>
      <c r="AH56" s="44">
        <f ca="1">INDEX(NOTA[TGL_H],Sheet1!A:A)</f>
        <v>45447</v>
      </c>
      <c r="AI56" s="44">
        <f ca="1">INDEX(NOTA[TGL.NOTA_H],Sheet1!A:A)</f>
        <v>45446</v>
      </c>
      <c r="AK56" t="str">
        <f>IF(INDEX(NOTA[KETERANGAN],A:A)="","",INDEX(NOTA[KETERANGAN],A:A))</f>
        <v/>
      </c>
      <c r="AL56" t="str">
        <f ca="1">INDEX(NOTA[NO.NOTA_H],Sheet1!A:A)</f>
        <v>WF0002B1</v>
      </c>
      <c r="AM56">
        <f>INDEX(NOTA[KETERANGAN],Sheet1!A:A)</f>
        <v>0</v>
      </c>
      <c r="AN56" t="str">
        <f ca="1">INDEX(NOTA[SUPPLIER_H],Sheet1!A:A)</f>
        <v>SBS</v>
      </c>
      <c r="AO56" t="e">
        <f t="shared" ca="1" si="1"/>
        <v>#N/A</v>
      </c>
      <c r="AR56" s="45" t="s">
        <v>169</v>
      </c>
    </row>
    <row r="57" spans="1:44">
      <c r="A57" s="3">
        <v>69</v>
      </c>
      <c r="C57">
        <f>INDEX(NOTA[//DB],Sheet1!A:A)</f>
        <v>410</v>
      </c>
      <c r="D57">
        <f>MATCH(Table17[[#This Row],[//db]],[3]!Table2[\\],0)</f>
        <v>350</v>
      </c>
      <c r="E57" t="str">
        <f>INDEX([3]!db[NB NOTA],Table17[[#This Row],[//db]])</f>
        <v>BNL AA0321-03/ A6-80/ BALLOON</v>
      </c>
      <c r="F57" t="str">
        <f>INDEX([3]!db[NB BM],Table17[[#This Row],[//db]])</f>
        <v>BN Tali AA0321-03/ A6-80</v>
      </c>
      <c r="G57" t="str">
        <f>_xlfn.IFNA(INDEX([3]!Table2[NAMA],Table17[[#This Row],[dbconcat]]),"")</f>
        <v>BN TALI AA 0321-03 A6-80</v>
      </c>
      <c r="H57" t="str">
        <f>INDEX([3]!Table2[KODE BARANG],Table17[[#This Row],[dbconcat]])</f>
        <v>BIN-NB34</v>
      </c>
      <c r="I57" t="str">
        <f>IF(Table17[[#This Row],[Column3]]="",UPPER(Table17[[#This Row],[Column1]]),Table17[[#This Row],[Column3]])</f>
        <v>BN TALI AA 0321-03 A6-80</v>
      </c>
      <c r="J57">
        <f>INDEX(NOTA[C],Sheet1!A:A)</f>
        <v>1</v>
      </c>
      <c r="K57">
        <f>IF(OR(Table17[[#This Row],[Column5]]=0,Table17[[#This Row],[Column3]]=""),"",INDEX([3]!Table2[ISI2],Table17[[#This Row],[dbconcat]]))</f>
        <v>240</v>
      </c>
      <c r="L57" t="str">
        <f>IF(Table17[[#This Row],[isis]]="","",INDEX([3]!Table2[SATUAN3],Table17[[#This Row],[dbconcat]]))</f>
        <v>PCS</v>
      </c>
      <c r="M57" t="str">
        <f>IF(Table17[[#This Row],[Column5]]=0,"",IF(Table17[[#This Row],[Column3]]="",INDEX([3]!db[QTY B],Table17[[#This Row],[//db]]),""))</f>
        <v/>
      </c>
      <c r="N57" t="str">
        <f>IF(Table17[[#This Row],[isin]]="","",INDEX([3]!db[STN B],Table17[[#This Row],[//db]]))</f>
        <v/>
      </c>
      <c r="O57" t="str">
        <f>IF(AND(Table17[[#This Row],[isis]]="",Table17[[#This Row],[isin]]=""),INDEX(NOTA[QTY],Sheet1!A:A)/IF(Table17[[#This Row],[Column5]]=0,1,Table17[[#This Row],[Column5]]),"")</f>
        <v/>
      </c>
      <c r="P57" t="str">
        <f>IF(Table17[[#This Row],[Column2]]="","",INDEX(NOTA[STN],Sheet1!A:A))</f>
        <v/>
      </c>
      <c r="Q57" s="5" t="str">
        <f>INDEX([3]!db[QTY B],Table17[[#This Row],[//db]])</f>
        <v>240</v>
      </c>
      <c r="R57" t="str">
        <f>INDEX([3]!db[STN B],Table17[[#This Row],[//db]])</f>
        <v>PCS</v>
      </c>
      <c r="S57" s="40" t="str">
        <f>IF(Table17[[#This Row],[Column5]]=0,Table17[[#This Row],[Column23]]/Table17[[#This Row],[Column224]],"")</f>
        <v/>
      </c>
      <c r="T57" s="4">
        <f>IF(Table17[[#This Row],[Column222]]="",Table17[[#This Row],[Column5]],Table17[[#This Row],[Column222]])</f>
        <v>1</v>
      </c>
      <c r="U57" s="4" t="str">
        <f>IF(Table17[[#This Row],[Column223]]=Table17[[#This Row],[Column24]],"",1)</f>
        <v/>
      </c>
      <c r="V57" s="5">
        <f>IF(Table17[[#This Row],[isis]]="",IF(Table17[[#This Row],[isin]]="",Table17[[#This Row],[Column2]],Table17[[#This Row],[isin]]),Table17[[#This Row],[isis]])</f>
        <v>240</v>
      </c>
      <c r="W57" s="3" t="str">
        <f>IF(Table17[[#This Row],[isis]]="",IF(Table17[[#This Row],[isin]]="",Table17[[#This Row],[Column22]],Table17[[#This Row],[stnn]]),Table17[[#This Row],[stns]])</f>
        <v>PCS</v>
      </c>
      <c r="X57" s="5">
        <f>IF(Table17[[#This Row],[Column2222]]&lt;1,Table17[[#This Row],[Column23]],Table17[[#This Row],[Column23]]*Table17[[#This Row],[Column2222]])</f>
        <v>240</v>
      </c>
      <c r="Y57" s="3" t="str">
        <f>Table17[[#This Row],[Column24]]</f>
        <v>PCS</v>
      </c>
      <c r="Z57" s="5">
        <f>Table17[[#This Row],[HRG / CTN]]/Table17[[#This Row],[Column23]]</f>
        <v>8100</v>
      </c>
      <c r="AA57" s="42" t="str">
        <f>IF(INDEX(NOTA[DISC 1],Sheet1!A:A)=0,"",INDEX(NOTA[DISC 1],Sheet1!A:A))</f>
        <v/>
      </c>
      <c r="AB57" s="42" t="str">
        <f>IF(INDEX(NOTA[DISC 2],Sheet1!A:A)=0,"",INDEX(NOTA[DISC 2],Sheet1!A:A))</f>
        <v/>
      </c>
      <c r="AC5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7" s="43">
        <f>INDEX(NOTA[HARGA/ CTN_H],Sheet1!A:A)</f>
        <v>1944000</v>
      </c>
      <c r="AE57" s="43">
        <f>IF(Table17[[#This Row],[DISC 3]]="",Table17[[#This Row],[HRG / CTN]],Table17[[#This Row],[HRG / CTN]]-(Table17[[#This Row],[HRG / CTN]]*Table17[[#This Row],[DISC 3]]))</f>
        <v>1944000</v>
      </c>
      <c r="AF57" s="14">
        <f>IF(Table17[[#This Row],[Column2222]]&lt;1,Table17[[#This Row],[Column9]],Table17[[#This Row],[Column9]]*Table17[[#This Row],[Column2222]])</f>
        <v>1944000</v>
      </c>
      <c r="AG57" s="43">
        <f ca="1">IF(NOT(AL58=Table17[[#This Row],[Column6]]),SUMIF(Table17[Column6],Table17[[#This Row],[Column6]],Table17[Column7]),"")</f>
        <v>5832000</v>
      </c>
      <c r="AH57" s="44">
        <f ca="1">INDEX(NOTA[TGL_H],Sheet1!A:A)</f>
        <v>45447</v>
      </c>
      <c r="AI57" s="44">
        <f ca="1">INDEX(NOTA[TGL.NOTA_H],Sheet1!A:A)</f>
        <v>45446</v>
      </c>
      <c r="AK57" t="str">
        <f>IF(INDEX(NOTA[KETERANGAN],A:A)="","",INDEX(NOTA[KETERANGAN],A:A))</f>
        <v/>
      </c>
      <c r="AL57" t="str">
        <f ca="1">INDEX(NOTA[NO.NOTA_H],Sheet1!A:A)</f>
        <v>WF0002B1</v>
      </c>
      <c r="AM57">
        <f>INDEX(NOTA[KETERANGAN],Sheet1!A:A)</f>
        <v>0</v>
      </c>
      <c r="AN57" t="str">
        <f ca="1">INDEX(NOTA[SUPPLIER_H],Sheet1!A:A)</f>
        <v>SBS</v>
      </c>
      <c r="AO57" t="e">
        <f t="shared" ca="1" si="1"/>
        <v>#N/A</v>
      </c>
      <c r="AR57" s="45" t="s">
        <v>169</v>
      </c>
    </row>
    <row r="58" spans="1:44">
      <c r="A58" s="3">
        <v>71</v>
      </c>
      <c r="C58">
        <f>INDEX(NOTA[//DB],Sheet1!A:A)</f>
        <v>3423</v>
      </c>
      <c r="D58">
        <f>MATCH(Table17[[#This Row],[//db]],[3]!Table2[\\],0)</f>
        <v>2467</v>
      </c>
      <c r="E58" t="str">
        <f>INDEX([3]!db[NB NOTA],Table17[[#This Row],[//db]])</f>
        <v>PCP GASTA PC-201M/ METALIK</v>
      </c>
      <c r="F58" t="str">
        <f>INDEX([3]!db[NB BM],Table17[[#This Row],[//db]])</f>
        <v>PC GASTA PC-201M METALIK</v>
      </c>
      <c r="G58" t="str">
        <f>_xlfn.IFNA(INDEX([3]!Table2[NAMA],Table17[[#This Row],[dbconcat]]),"")</f>
        <v>PC GASTA PC-201M METALIK</v>
      </c>
      <c r="H58" t="str">
        <f>INDEX([3]!Table2[KODE BARANG],Table17[[#This Row],[dbconcat]])</f>
        <v>PCA-GS220</v>
      </c>
      <c r="I58" t="str">
        <f>IF(Table17[[#This Row],[Column3]]="",UPPER(Table17[[#This Row],[Column1]]),Table17[[#This Row],[Column3]])</f>
        <v>PC GASTA PC-201M METALIK</v>
      </c>
      <c r="J58">
        <f>INDEX(NOTA[C],Sheet1!A:A)</f>
        <v>5</v>
      </c>
      <c r="K58">
        <f>IF(OR(Table17[[#This Row],[Column5]]=0,Table17[[#This Row],[Column3]]=""),"",INDEX([3]!Table2[ISI2],Table17[[#This Row],[dbconcat]]))</f>
        <v>24</v>
      </c>
      <c r="L58" t="str">
        <f>IF(Table17[[#This Row],[isis]]="","",INDEX([3]!Table2[SATUAN3],Table17[[#This Row],[dbconcat]]))</f>
        <v>LSN</v>
      </c>
      <c r="M58" t="str">
        <f>IF(Table17[[#This Row],[Column5]]=0,"",IF(Table17[[#This Row],[Column3]]="",INDEX([3]!db[QTY B],Table17[[#This Row],[//db]]),""))</f>
        <v/>
      </c>
      <c r="N58" t="str">
        <f>IF(Table17[[#This Row],[isin]]="","",INDEX([3]!db[STN B],Table17[[#This Row],[//db]]))</f>
        <v/>
      </c>
      <c r="O58" t="str">
        <f>IF(AND(Table17[[#This Row],[isis]]="",Table17[[#This Row],[isin]]=""),INDEX(NOTA[QTY],Sheet1!A:A)/IF(Table17[[#This Row],[Column5]]=0,1,Table17[[#This Row],[Column5]]),"")</f>
        <v/>
      </c>
      <c r="P58" t="str">
        <f>IF(Table17[[#This Row],[Column2]]="","",INDEX(NOTA[STN],Sheet1!A:A))</f>
        <v/>
      </c>
      <c r="Q58" s="5" t="str">
        <f>INDEX([3]!db[QTY B],Table17[[#This Row],[//db]])</f>
        <v>24</v>
      </c>
      <c r="R58" t="str">
        <f>INDEX([3]!db[STN B],Table17[[#This Row],[//db]])</f>
        <v>LSN</v>
      </c>
      <c r="S58" s="40" t="str">
        <f>IF(Table17[[#This Row],[Column5]]=0,Table17[[#This Row],[Column23]]/Table17[[#This Row],[Column224]],"")</f>
        <v/>
      </c>
      <c r="T58" s="4">
        <f>IF(Table17[[#This Row],[Column222]]="",Table17[[#This Row],[Column5]],Table17[[#This Row],[Column222]])</f>
        <v>5</v>
      </c>
      <c r="U58" s="4" t="str">
        <f>IF(Table17[[#This Row],[Column223]]=Table17[[#This Row],[Column24]],"",1)</f>
        <v/>
      </c>
      <c r="V58" s="5">
        <f>IF(Table17[[#This Row],[isis]]="",IF(Table17[[#This Row],[isin]]="",Table17[[#This Row],[Column2]],Table17[[#This Row],[isin]]),Table17[[#This Row],[isis]])</f>
        <v>24</v>
      </c>
      <c r="W58" s="3" t="str">
        <f>IF(Table17[[#This Row],[isis]]="",IF(Table17[[#This Row],[isin]]="",Table17[[#This Row],[Column22]],Table17[[#This Row],[stnn]]),Table17[[#This Row],[stns]])</f>
        <v>LSN</v>
      </c>
      <c r="X58" s="5">
        <f>IF(Table17[[#This Row],[Column2222]]&lt;1,Table17[[#This Row],[Column23]],Table17[[#This Row],[Column23]]*Table17[[#This Row],[Column2222]])</f>
        <v>120</v>
      </c>
      <c r="Y58" s="3" t="str">
        <f>Table17[[#This Row],[Column24]]</f>
        <v>LSN</v>
      </c>
      <c r="Z58" s="5">
        <f>Table17[[#This Row],[HRG / CTN]]/Table17[[#This Row],[Column23]]</f>
        <v>48300</v>
      </c>
      <c r="AA58" s="42" t="str">
        <f>IF(INDEX(NOTA[DISC 1],Sheet1!A:A)=0,"",INDEX(NOTA[DISC 1],Sheet1!A:A))</f>
        <v/>
      </c>
      <c r="AB58" s="42" t="str">
        <f>IF(INDEX(NOTA[DISC 2],Sheet1!A:A)=0,"",INDEX(NOTA[DISC 2],Sheet1!A:A))</f>
        <v/>
      </c>
      <c r="AC5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8" s="43">
        <f>INDEX(NOTA[HARGA/ CTN_H],Sheet1!A:A)</f>
        <v>1159200</v>
      </c>
      <c r="AE58" s="43">
        <f>IF(Table17[[#This Row],[DISC 3]]="",Table17[[#This Row],[HRG / CTN]],Table17[[#This Row],[HRG / CTN]]-(Table17[[#This Row],[HRG / CTN]]*Table17[[#This Row],[DISC 3]]))</f>
        <v>1159200</v>
      </c>
      <c r="AF58" s="14">
        <f>IF(Table17[[#This Row],[Column2222]]&lt;1,Table17[[#This Row],[Column9]],Table17[[#This Row],[Column9]]*Table17[[#This Row],[Column2222]])</f>
        <v>5796000</v>
      </c>
      <c r="AG58" s="43">
        <f ca="1">IF(NOT(AL59=Table17[[#This Row],[Column6]]),SUMIF(Table17[Column6],Table17[[#This Row],[Column6]],Table17[Column7]),"")</f>
        <v>5796000</v>
      </c>
      <c r="AH58" s="44">
        <f ca="1">INDEX(NOTA[TGL_H],Sheet1!A:A)</f>
        <v>45447</v>
      </c>
      <c r="AI58" s="44">
        <f ca="1">INDEX(NOTA[TGL.NOTA_H],Sheet1!A:A)</f>
        <v>45446</v>
      </c>
      <c r="AK58" t="str">
        <f>IF(INDEX(NOTA[KETERANGAN],A:A)="","",INDEX(NOTA[KETERANGAN],A:A))</f>
        <v/>
      </c>
      <c r="AL58" t="str">
        <f ca="1">INDEX(NOTA[NO.NOTA_H],Sheet1!A:A)</f>
        <v>WF0003B1</v>
      </c>
      <c r="AM58">
        <f>INDEX(NOTA[KETERANGAN],Sheet1!A:A)</f>
        <v>0</v>
      </c>
      <c r="AN58" t="str">
        <f ca="1">INDEX(NOTA[SUPPLIER_H],Sheet1!A:A)</f>
        <v>SBS</v>
      </c>
      <c r="AO58" t="e">
        <f t="shared" ca="1" si="1"/>
        <v>#N/A</v>
      </c>
      <c r="AR58" s="45" t="s">
        <v>169</v>
      </c>
    </row>
    <row r="59" spans="1:44">
      <c r="A59" s="3">
        <v>73</v>
      </c>
      <c r="C59">
        <f>INDEX(NOTA[//DB],Sheet1!A:A)</f>
        <v>3424</v>
      </c>
      <c r="D59" t="e">
        <f>MATCH(Table17[[#This Row],[//db]],[3]!Table2[\\],0)</f>
        <v>#N/A</v>
      </c>
      <c r="E59" t="str">
        <f>INDEX([3]!db[NB NOTA],Table17[[#This Row],[//db]])</f>
        <v>PALET GAMBAR BIOLA-ANGGUR BUTEK/ WAG-201</v>
      </c>
      <c r="F59" t="str">
        <f>INDEX([3]!db[NB BM],Table17[[#This Row],[//db]])</f>
        <v>PALET ANGGUR</v>
      </c>
      <c r="G59" t="str">
        <f>_xlfn.IFNA(INDEX([3]!Table2[NAMA],Table17[[#This Row],[dbconcat]]),"")</f>
        <v/>
      </c>
      <c r="H59" t="e">
        <f>INDEX([3]!Table2[KODE BARANG],Table17[[#This Row],[dbconcat]])</f>
        <v>#N/A</v>
      </c>
      <c r="I59" t="str">
        <f>IF(Table17[[#This Row],[Column3]]="",UPPER(Table17[[#This Row],[Column1]]),Table17[[#This Row],[Column3]])</f>
        <v>PALET ANGGUR</v>
      </c>
      <c r="J59">
        <f>INDEX(NOTA[C],Sheet1!A:A)</f>
        <v>3</v>
      </c>
      <c r="K59" t="str">
        <f>IF(OR(Table17[[#This Row],[Column5]]=0,Table17[[#This Row],[Column3]]=""),"",INDEX([3]!Table2[ISI2],Table17[[#This Row],[dbconcat]]))</f>
        <v/>
      </c>
      <c r="L59" t="str">
        <f>IF(Table17[[#This Row],[isis]]="","",INDEX([3]!Table2[SATUAN3],Table17[[#This Row],[dbconcat]]))</f>
        <v/>
      </c>
      <c r="M59" t="str">
        <f>IF(Table17[[#This Row],[Column5]]=0,"",IF(Table17[[#This Row],[Column3]]="",INDEX([3]!db[QTY B],Table17[[#This Row],[//db]]),""))</f>
        <v>60</v>
      </c>
      <c r="N59" t="str">
        <f>IF(Table17[[#This Row],[isin]]="","",INDEX([3]!db[STN B],Table17[[#This Row],[//db]]))</f>
        <v>LSN</v>
      </c>
      <c r="O59" t="str">
        <f>IF(AND(Table17[[#This Row],[isis]]="",Table17[[#This Row],[isin]]=""),INDEX(NOTA[QTY],Sheet1!A:A)/IF(Table17[[#This Row],[Column5]]=0,1,Table17[[#This Row],[Column5]]),"")</f>
        <v/>
      </c>
      <c r="P59" t="str">
        <f>IF(Table17[[#This Row],[Column2]]="","",INDEX(NOTA[STN],Sheet1!A:A))</f>
        <v/>
      </c>
      <c r="Q59" s="5" t="str">
        <f>INDEX([3]!db[QTY B],Table17[[#This Row],[//db]])</f>
        <v>60</v>
      </c>
      <c r="R59" t="str">
        <f>INDEX([3]!db[STN B],Table17[[#This Row],[//db]])</f>
        <v>LSN</v>
      </c>
      <c r="S59" s="40" t="str">
        <f>IF(Table17[[#This Row],[Column5]]=0,Table17[[#This Row],[Column23]]/Table17[[#This Row],[Column224]],"")</f>
        <v/>
      </c>
      <c r="T59" s="4">
        <f>IF(Table17[[#This Row],[Column222]]="",Table17[[#This Row],[Column5]],Table17[[#This Row],[Column222]])</f>
        <v>3</v>
      </c>
      <c r="U59" s="4" t="str">
        <f>IF(Table17[[#This Row],[Column223]]=Table17[[#This Row],[Column24]],"",1)</f>
        <v/>
      </c>
      <c r="V59" s="5" t="str">
        <f>IF(Table17[[#This Row],[isis]]="",IF(Table17[[#This Row],[isin]]="",Table17[[#This Row],[Column2]],Table17[[#This Row],[isin]]),Table17[[#This Row],[isis]])</f>
        <v>60</v>
      </c>
      <c r="W59" s="3" t="str">
        <f>IF(Table17[[#This Row],[isis]]="",IF(Table17[[#This Row],[isin]]="",Table17[[#This Row],[Column22]],Table17[[#This Row],[stnn]]),Table17[[#This Row],[stns]])</f>
        <v>LSN</v>
      </c>
      <c r="X59" s="5">
        <f>IF(Table17[[#This Row],[Column2222]]&lt;1,Table17[[#This Row],[Column23]],Table17[[#This Row],[Column23]]*Table17[[#This Row],[Column2222]])</f>
        <v>180</v>
      </c>
      <c r="Y59" s="3" t="str">
        <f>Table17[[#This Row],[Column24]]</f>
        <v>LSN</v>
      </c>
      <c r="Z59" s="5">
        <f>Table17[[#This Row],[HRG / CTN]]/Table17[[#This Row],[Column23]]</f>
        <v>9300</v>
      </c>
      <c r="AA59" s="42" t="str">
        <f>IF(INDEX(NOTA[DISC 1],Sheet1!A:A)=0,"",INDEX(NOTA[DISC 1],Sheet1!A:A))</f>
        <v/>
      </c>
      <c r="AB59" s="42" t="str">
        <f>IF(INDEX(NOTA[DISC 2],Sheet1!A:A)=0,"",INDEX(NOTA[DISC 2],Sheet1!A:A))</f>
        <v/>
      </c>
      <c r="AC5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9" s="43">
        <f>INDEX(NOTA[HARGA/ CTN_H],Sheet1!A:A)</f>
        <v>558000</v>
      </c>
      <c r="AE59" s="43">
        <f>IF(Table17[[#This Row],[DISC 3]]="",Table17[[#This Row],[HRG / CTN]],Table17[[#This Row],[HRG / CTN]]-(Table17[[#This Row],[HRG / CTN]]*Table17[[#This Row],[DISC 3]]))</f>
        <v>558000</v>
      </c>
      <c r="AF59" s="14">
        <f>IF(Table17[[#This Row],[Column2222]]&lt;1,Table17[[#This Row],[Column9]],Table17[[#This Row],[Column9]]*Table17[[#This Row],[Column2222]])</f>
        <v>1674000</v>
      </c>
      <c r="AG59" s="43" t="str">
        <f ca="1">IF(NOT(AL60=Table17[[#This Row],[Column6]]),SUMIF(Table17[Column6],Table17[[#This Row],[Column6]],Table17[Column7]),"")</f>
        <v/>
      </c>
      <c r="AH59" s="44">
        <f ca="1">INDEX(NOTA[TGL_H],Sheet1!A:A)</f>
        <v>45447</v>
      </c>
      <c r="AI59" s="44">
        <f ca="1">INDEX(NOTA[TGL.NOTA_H],Sheet1!A:A)</f>
        <v>45446</v>
      </c>
      <c r="AK59" t="str">
        <f>IF(INDEX(NOTA[KETERANGAN],A:A)="","",INDEX(NOTA[KETERANGAN],A:A))</f>
        <v/>
      </c>
      <c r="AL59" t="str">
        <f ca="1">INDEX(NOTA[NO.NOTA_H],Sheet1!A:A)</f>
        <v>WF0004A</v>
      </c>
      <c r="AM59">
        <f>INDEX(NOTA[KETERANGAN],Sheet1!A:A)</f>
        <v>0</v>
      </c>
      <c r="AN59" t="str">
        <f ca="1">INDEX(NOTA[SUPPLIER_H],Sheet1!A:A)</f>
        <v>SBS</v>
      </c>
      <c r="AO59" t="e">
        <f t="shared" ca="1" si="1"/>
        <v>#N/A</v>
      </c>
      <c r="AR59" s="45" t="s">
        <v>169</v>
      </c>
    </row>
    <row r="60" spans="1:44">
      <c r="A60" s="3">
        <v>74</v>
      </c>
      <c r="C60">
        <f>INDEX(NOTA[//DB],Sheet1!A:A)</f>
        <v>3425</v>
      </c>
      <c r="D60" t="e">
        <f>MATCH(Table17[[#This Row],[//db]],[3]!Table2[\\],0)</f>
        <v>#N/A</v>
      </c>
      <c r="E60" t="str">
        <f>INDEX([3]!db[NB NOTA],Table17[[#This Row],[//db]])</f>
        <v>PALET GAMBAR BIOLA-APEL BUTEK/ WAP-202</v>
      </c>
      <c r="F60" t="str">
        <f>INDEX([3]!db[NB BM],Table17[[#This Row],[//db]])</f>
        <v>PALET APEL</v>
      </c>
      <c r="G60" t="str">
        <f>_xlfn.IFNA(INDEX([3]!Table2[NAMA],Table17[[#This Row],[dbconcat]]),"")</f>
        <v/>
      </c>
      <c r="H60" t="e">
        <f>INDEX([3]!Table2[KODE BARANG],Table17[[#This Row],[dbconcat]])</f>
        <v>#N/A</v>
      </c>
      <c r="I60" t="str">
        <f>IF(Table17[[#This Row],[Column3]]="",UPPER(Table17[[#This Row],[Column1]]),Table17[[#This Row],[Column3]])</f>
        <v>PALET APEL</v>
      </c>
      <c r="J60">
        <f>INDEX(NOTA[C],Sheet1!A:A)</f>
        <v>3</v>
      </c>
      <c r="K60" t="str">
        <f>IF(OR(Table17[[#This Row],[Column5]]=0,Table17[[#This Row],[Column3]]=""),"",INDEX([3]!Table2[ISI2],Table17[[#This Row],[dbconcat]]))</f>
        <v/>
      </c>
      <c r="L60" t="str">
        <f>IF(Table17[[#This Row],[isis]]="","",INDEX([3]!Table2[SATUAN3],Table17[[#This Row],[dbconcat]]))</f>
        <v/>
      </c>
      <c r="M60" t="str">
        <f>IF(Table17[[#This Row],[Column5]]=0,"",IF(Table17[[#This Row],[Column3]]="",INDEX([3]!db[QTY B],Table17[[#This Row],[//db]]),""))</f>
        <v>60</v>
      </c>
      <c r="N60" t="str">
        <f>IF(Table17[[#This Row],[isin]]="","",INDEX([3]!db[STN B],Table17[[#This Row],[//db]]))</f>
        <v>LSN</v>
      </c>
      <c r="O60" t="str">
        <f>IF(AND(Table17[[#This Row],[isis]]="",Table17[[#This Row],[isin]]=""),INDEX(NOTA[QTY],Sheet1!A:A)/IF(Table17[[#This Row],[Column5]]=0,1,Table17[[#This Row],[Column5]]),"")</f>
        <v/>
      </c>
      <c r="P60" t="str">
        <f>IF(Table17[[#This Row],[Column2]]="","",INDEX(NOTA[STN],Sheet1!A:A))</f>
        <v/>
      </c>
      <c r="Q60" s="5" t="str">
        <f>INDEX([3]!db[QTY B],Table17[[#This Row],[//db]])</f>
        <v>60</v>
      </c>
      <c r="R60" t="str">
        <f>INDEX([3]!db[STN B],Table17[[#This Row],[//db]])</f>
        <v>LSN</v>
      </c>
      <c r="S60" s="40" t="str">
        <f>IF(Table17[[#This Row],[Column5]]=0,Table17[[#This Row],[Column23]]/Table17[[#This Row],[Column224]],"")</f>
        <v/>
      </c>
      <c r="T60" s="4">
        <f>IF(Table17[[#This Row],[Column222]]="",Table17[[#This Row],[Column5]],Table17[[#This Row],[Column222]])</f>
        <v>3</v>
      </c>
      <c r="U60" s="4" t="str">
        <f>IF(Table17[[#This Row],[Column223]]=Table17[[#This Row],[Column24]],"",1)</f>
        <v/>
      </c>
      <c r="V60" s="5" t="str">
        <f>IF(Table17[[#This Row],[isis]]="",IF(Table17[[#This Row],[isin]]="",Table17[[#This Row],[Column2]],Table17[[#This Row],[isin]]),Table17[[#This Row],[isis]])</f>
        <v>60</v>
      </c>
      <c r="W60" s="3" t="str">
        <f>IF(Table17[[#This Row],[isis]]="",IF(Table17[[#This Row],[isin]]="",Table17[[#This Row],[Column22]],Table17[[#This Row],[stnn]]),Table17[[#This Row],[stns]])</f>
        <v>LSN</v>
      </c>
      <c r="X60" s="5">
        <f>IF(Table17[[#This Row],[Column2222]]&lt;1,Table17[[#This Row],[Column23]],Table17[[#This Row],[Column23]]*Table17[[#This Row],[Column2222]])</f>
        <v>180</v>
      </c>
      <c r="Y60" s="3" t="str">
        <f>Table17[[#This Row],[Column24]]</f>
        <v>LSN</v>
      </c>
      <c r="Z60" s="5">
        <f>Table17[[#This Row],[HRG / CTN]]/Table17[[#This Row],[Column23]]</f>
        <v>9300</v>
      </c>
      <c r="AA60" s="42" t="str">
        <f>IF(INDEX(NOTA[DISC 1],Sheet1!A:A)=0,"",INDEX(NOTA[DISC 1],Sheet1!A:A))</f>
        <v/>
      </c>
      <c r="AB60" s="42" t="str">
        <f>IF(INDEX(NOTA[DISC 2],Sheet1!A:A)=0,"",INDEX(NOTA[DISC 2],Sheet1!A:A))</f>
        <v/>
      </c>
      <c r="AC6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0" s="43">
        <f>INDEX(NOTA[HARGA/ CTN_H],Sheet1!A:A)</f>
        <v>558000</v>
      </c>
      <c r="AE60" s="43">
        <f>IF(Table17[[#This Row],[DISC 3]]="",Table17[[#This Row],[HRG / CTN]],Table17[[#This Row],[HRG / CTN]]-(Table17[[#This Row],[HRG / CTN]]*Table17[[#This Row],[DISC 3]]))</f>
        <v>558000</v>
      </c>
      <c r="AF60" s="14">
        <f>IF(Table17[[#This Row],[Column2222]]&lt;1,Table17[[#This Row],[Column9]],Table17[[#This Row],[Column9]]*Table17[[#This Row],[Column2222]])</f>
        <v>1674000</v>
      </c>
      <c r="AG60" s="43">
        <f ca="1">IF(NOT(AL61=Table17[[#This Row],[Column6]]),SUMIF(Table17[Column6],Table17[[#This Row],[Column6]],Table17[Column7]),"")</f>
        <v>3348000</v>
      </c>
      <c r="AH60" s="44">
        <f ca="1">INDEX(NOTA[TGL_H],Sheet1!A:A)</f>
        <v>45447</v>
      </c>
      <c r="AI60" s="44">
        <f ca="1">INDEX(NOTA[TGL.NOTA_H],Sheet1!A:A)</f>
        <v>45446</v>
      </c>
      <c r="AK60" t="str">
        <f>IF(INDEX(NOTA[KETERANGAN],A:A)="","",INDEX(NOTA[KETERANGAN],A:A))</f>
        <v/>
      </c>
      <c r="AL60" t="str">
        <f ca="1">INDEX(NOTA[NO.NOTA_H],Sheet1!A:A)</f>
        <v>WF0004A</v>
      </c>
      <c r="AM60">
        <f>INDEX(NOTA[KETERANGAN],Sheet1!A:A)</f>
        <v>0</v>
      </c>
      <c r="AN60" t="str">
        <f ca="1">INDEX(NOTA[SUPPLIER_H],Sheet1!A:A)</f>
        <v>SBS</v>
      </c>
      <c r="AO60" t="e">
        <f t="shared" ca="1" si="1"/>
        <v>#N/A</v>
      </c>
      <c r="AR60" s="45" t="s">
        <v>172</v>
      </c>
    </row>
    <row r="61" spans="1:44">
      <c r="A61" s="3">
        <v>76</v>
      </c>
      <c r="C61">
        <f>INDEX(NOTA[//DB],Sheet1!A:A)</f>
        <v>865</v>
      </c>
      <c r="D61">
        <f>MATCH(Table17[[#This Row],[//db]],[3]!Table2[\\],0)</f>
        <v>987</v>
      </c>
      <c r="E61" t="str">
        <f>INDEX([3]!db[NB NOTA],Table17[[#This Row],[//db]])</f>
        <v>DOC RIT INFINITY</v>
      </c>
      <c r="F61" t="str">
        <f>INDEX([3]!db[NB BM],Table17[[#This Row],[//db]])</f>
        <v>Dokumen Risleting Infinity</v>
      </c>
      <c r="G61" t="str">
        <f>_xlfn.IFNA(INDEX([3]!Table2[NAMA],Table17[[#This Row],[dbconcat]]),"")</f>
        <v>DOKUMEN RISLETING INFINITY</v>
      </c>
      <c r="H61" t="str">
        <f>INDEX([3]!Table2[KODE BARANG],Table17[[#This Row],[dbconcat]])</f>
        <v>DOK-NB28</v>
      </c>
      <c r="I61" t="str">
        <f>IF(Table17[[#This Row],[Column3]]="",UPPER(Table17[[#This Row],[Column1]]),Table17[[#This Row],[Column3]])</f>
        <v>DOKUMEN RISLETING INFINITY</v>
      </c>
      <c r="J61">
        <f>INDEX(NOTA[C],Sheet1!A:A)</f>
        <v>2</v>
      </c>
      <c r="K61">
        <f>IF(OR(Table17[[#This Row],[Column5]]=0,Table17[[#This Row],[Column3]]=""),"",INDEX([3]!Table2[ISI2],Table17[[#This Row],[dbconcat]]))</f>
        <v>8</v>
      </c>
      <c r="L61" t="str">
        <f>IF(Table17[[#This Row],[isis]]="","",INDEX([3]!Table2[SATUAN3],Table17[[#This Row],[dbconcat]]))</f>
        <v>LSN</v>
      </c>
      <c r="M61" t="str">
        <f>IF(Table17[[#This Row],[Column5]]=0,"",IF(Table17[[#This Row],[Column3]]="",INDEX([3]!db[QTY B],Table17[[#This Row],[//db]]),""))</f>
        <v/>
      </c>
      <c r="N61" t="str">
        <f>IF(Table17[[#This Row],[isin]]="","",INDEX([3]!db[STN B],Table17[[#This Row],[//db]]))</f>
        <v/>
      </c>
      <c r="O61" t="str">
        <f>IF(AND(Table17[[#This Row],[isis]]="",Table17[[#This Row],[isin]]=""),INDEX(NOTA[QTY],Sheet1!A:A)/IF(Table17[[#This Row],[Column5]]=0,1,Table17[[#This Row],[Column5]]),"")</f>
        <v/>
      </c>
      <c r="P61" t="str">
        <f>IF(Table17[[#This Row],[Column2]]="","",INDEX(NOTA[STN],Sheet1!A:A))</f>
        <v/>
      </c>
      <c r="Q61" s="5" t="str">
        <f>INDEX([3]!db[QTY B],Table17[[#This Row],[//db]])</f>
        <v>8</v>
      </c>
      <c r="R61" t="str">
        <f>INDEX([3]!db[STN B],Table17[[#This Row],[//db]])</f>
        <v>LSN</v>
      </c>
      <c r="S61" s="40" t="str">
        <f>IF(Table17[[#This Row],[Column5]]=0,Table17[[#This Row],[Column23]]/Table17[[#This Row],[Column224]],"")</f>
        <v/>
      </c>
      <c r="T61" s="4">
        <f>IF(Table17[[#This Row],[Column222]]="",Table17[[#This Row],[Column5]],Table17[[#This Row],[Column222]])</f>
        <v>2</v>
      </c>
      <c r="U61" s="4" t="str">
        <f>IF(Table17[[#This Row],[Column223]]=Table17[[#This Row],[Column24]],"",1)</f>
        <v/>
      </c>
      <c r="V61" s="5">
        <f>IF(Table17[[#This Row],[isis]]="",IF(Table17[[#This Row],[isin]]="",Table17[[#This Row],[Column2]],Table17[[#This Row],[isin]]),Table17[[#This Row],[isis]])</f>
        <v>8</v>
      </c>
      <c r="W61" s="3" t="str">
        <f>IF(Table17[[#This Row],[isis]]="",IF(Table17[[#This Row],[isin]]="",Table17[[#This Row],[Column22]],Table17[[#This Row],[stnn]]),Table17[[#This Row],[stns]])</f>
        <v>LSN</v>
      </c>
      <c r="X61" s="5">
        <f>IF(Table17[[#This Row],[Column2222]]&lt;1,Table17[[#This Row],[Column23]],Table17[[#This Row],[Column23]]*Table17[[#This Row],[Column2222]])</f>
        <v>16</v>
      </c>
      <c r="Y61" s="3" t="str">
        <f>Table17[[#This Row],[Column24]]</f>
        <v>LSN</v>
      </c>
      <c r="Z61" s="5">
        <f>Table17[[#This Row],[HRG / CTN]]/Table17[[#This Row],[Column23]]</f>
        <v>180000</v>
      </c>
      <c r="AA61" s="42" t="str">
        <f>IF(INDEX(NOTA[DISC 1],Sheet1!A:A)=0,"",INDEX(NOTA[DISC 1],Sheet1!A:A))</f>
        <v/>
      </c>
      <c r="AB61" s="42" t="str">
        <f>IF(INDEX(NOTA[DISC 2],Sheet1!A:A)=0,"",INDEX(NOTA[DISC 2],Sheet1!A:A))</f>
        <v/>
      </c>
      <c r="AC6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1" s="43">
        <f>INDEX(NOTA[HARGA/ CTN_H],Sheet1!A:A)</f>
        <v>1440000</v>
      </c>
      <c r="AE61" s="43">
        <f>IF(Table17[[#This Row],[DISC 3]]="",Table17[[#This Row],[HRG / CTN]],Table17[[#This Row],[HRG / CTN]]-(Table17[[#This Row],[HRG / CTN]]*Table17[[#This Row],[DISC 3]]))</f>
        <v>1440000</v>
      </c>
      <c r="AF61" s="14">
        <f>IF(Table17[[#This Row],[Column2222]]&lt;1,Table17[[#This Row],[Column9]],Table17[[#This Row],[Column9]]*Table17[[#This Row],[Column2222]])</f>
        <v>2880000</v>
      </c>
      <c r="AG61" s="43" t="str">
        <f ca="1">IF(NOT(AL62=Table17[[#This Row],[Column6]]),SUMIF(Table17[Column6],Table17[[#This Row],[Column6]],Table17[Column7]),"")</f>
        <v/>
      </c>
      <c r="AH61" s="44">
        <f ca="1">INDEX(NOTA[TGL_H],Sheet1!A:A)</f>
        <v>45448</v>
      </c>
      <c r="AI61" s="44">
        <f ca="1">INDEX(NOTA[TGL.NOTA_H],Sheet1!A:A)</f>
        <v>45448</v>
      </c>
      <c r="AK61" t="str">
        <f>IF(INDEX(NOTA[KETERANGAN],A:A)="","",INDEX(NOTA[KETERANGAN],A:A))</f>
        <v>WARNA BIRU</v>
      </c>
      <c r="AL61" t="str">
        <f ca="1">INDEX(NOTA[NO.NOTA_H],Sheet1!A:A)</f>
        <v>0606</v>
      </c>
      <c r="AM61" t="str">
        <f>INDEX(NOTA[KETERANGAN],Sheet1!A:A)</f>
        <v>WARNA BIRU</v>
      </c>
      <c r="AN61" t="str">
        <f ca="1">INDEX(NOTA[SUPPLIER_H],Sheet1!A:A)</f>
        <v>COMBI</v>
      </c>
      <c r="AO61" t="e">
        <f t="shared" ca="1" si="1"/>
        <v>#N/A</v>
      </c>
      <c r="AR61" s="45" t="s">
        <v>172</v>
      </c>
    </row>
    <row r="62" spans="1:44">
      <c r="A62" s="3">
        <v>77</v>
      </c>
      <c r="C62">
        <f>INDEX(NOTA[//DB],Sheet1!A:A)</f>
        <v>873</v>
      </c>
      <c r="D62">
        <f>MATCH(Table17[[#This Row],[//db]],[3]!Table2[\\],0)</f>
        <v>988</v>
      </c>
      <c r="E62" t="str">
        <f>INDEX([3]!db[NB NOTA],Table17[[#This Row],[//db]])</f>
        <v>DOC RIT PRESTIGE</v>
      </c>
      <c r="F62" t="str">
        <f>INDEX([3]!db[NB BM],Table17[[#This Row],[//db]])</f>
        <v>Dokumen Risleting Prestige</v>
      </c>
      <c r="G62" t="str">
        <f>_xlfn.IFNA(INDEX([3]!Table2[NAMA],Table17[[#This Row],[dbconcat]]),"")</f>
        <v>DOKUMEN RISLETING PRESTIGE</v>
      </c>
      <c r="H62" t="str">
        <f>INDEX([3]!Table2[KODE BARANG],Table17[[#This Row],[dbconcat]])</f>
        <v>DOK-NB29</v>
      </c>
      <c r="I62" t="str">
        <f>IF(Table17[[#This Row],[Column3]]="",UPPER(Table17[[#This Row],[Column1]]),Table17[[#This Row],[Column3]])</f>
        <v>DOKUMEN RISLETING PRESTIGE</v>
      </c>
      <c r="J62">
        <f>INDEX(NOTA[C],Sheet1!A:A)</f>
        <v>2</v>
      </c>
      <c r="K62">
        <f>IF(OR(Table17[[#This Row],[Column5]]=0,Table17[[#This Row],[Column3]]=""),"",INDEX([3]!Table2[ISI2],Table17[[#This Row],[dbconcat]]))</f>
        <v>8</v>
      </c>
      <c r="L62" t="str">
        <f>IF(Table17[[#This Row],[isis]]="","",INDEX([3]!Table2[SATUAN3],Table17[[#This Row],[dbconcat]]))</f>
        <v>LSN</v>
      </c>
      <c r="M62" t="str">
        <f>IF(Table17[[#This Row],[Column5]]=0,"",IF(Table17[[#This Row],[Column3]]="",INDEX([3]!db[QTY B],Table17[[#This Row],[//db]]),""))</f>
        <v/>
      </c>
      <c r="N62" t="str">
        <f>IF(Table17[[#This Row],[isin]]="","",INDEX([3]!db[STN B],Table17[[#This Row],[//db]]))</f>
        <v/>
      </c>
      <c r="O62" t="str">
        <f>IF(AND(Table17[[#This Row],[isis]]="",Table17[[#This Row],[isin]]=""),INDEX(NOTA[QTY],Sheet1!A:A)/IF(Table17[[#This Row],[Column5]]=0,1,Table17[[#This Row],[Column5]]),"")</f>
        <v/>
      </c>
      <c r="P62" t="str">
        <f>IF(Table17[[#This Row],[Column2]]="","",INDEX(NOTA[STN],Sheet1!A:A))</f>
        <v/>
      </c>
      <c r="Q62" s="5" t="str">
        <f>INDEX([3]!db[QTY B],Table17[[#This Row],[//db]])</f>
        <v>8</v>
      </c>
      <c r="R62" t="str">
        <f>INDEX([3]!db[STN B],Table17[[#This Row],[//db]])</f>
        <v>LSN</v>
      </c>
      <c r="S62" s="40" t="str">
        <f>IF(Table17[[#This Row],[Column5]]=0,Table17[[#This Row],[Column23]]/Table17[[#This Row],[Column224]],"")</f>
        <v/>
      </c>
      <c r="T62" s="4">
        <f>IF(Table17[[#This Row],[Column222]]="",Table17[[#This Row],[Column5]],Table17[[#This Row],[Column222]])</f>
        <v>2</v>
      </c>
      <c r="U62" s="4" t="str">
        <f>IF(Table17[[#This Row],[Column223]]=Table17[[#This Row],[Column24]],"",1)</f>
        <v/>
      </c>
      <c r="V62" s="5">
        <f>IF(Table17[[#This Row],[isis]]="",IF(Table17[[#This Row],[isin]]="",Table17[[#This Row],[Column2]],Table17[[#This Row],[isin]]),Table17[[#This Row],[isis]])</f>
        <v>8</v>
      </c>
      <c r="W62" s="3" t="str">
        <f>IF(Table17[[#This Row],[isis]]="",IF(Table17[[#This Row],[isin]]="",Table17[[#This Row],[Column22]],Table17[[#This Row],[stnn]]),Table17[[#This Row],[stns]])</f>
        <v>LSN</v>
      </c>
      <c r="X62" s="5">
        <f>IF(Table17[[#This Row],[Column2222]]&lt;1,Table17[[#This Row],[Column23]],Table17[[#This Row],[Column23]]*Table17[[#This Row],[Column2222]])</f>
        <v>16</v>
      </c>
      <c r="Y62" s="3" t="str">
        <f>Table17[[#This Row],[Column24]]</f>
        <v>LSN</v>
      </c>
      <c r="Z62" s="5">
        <f>Table17[[#This Row],[HRG / CTN]]/Table17[[#This Row],[Column23]]</f>
        <v>195000</v>
      </c>
      <c r="AA62" s="42" t="str">
        <f>IF(INDEX(NOTA[DISC 1],Sheet1!A:A)=0,"",INDEX(NOTA[DISC 1],Sheet1!A:A))</f>
        <v/>
      </c>
      <c r="AB62" s="42" t="str">
        <f>IF(INDEX(NOTA[DISC 2],Sheet1!A:A)=0,"",INDEX(NOTA[DISC 2],Sheet1!A:A))</f>
        <v/>
      </c>
      <c r="AC6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2" s="43">
        <f>INDEX(NOTA[HARGA/ CTN_H],Sheet1!A:A)</f>
        <v>1560000</v>
      </c>
      <c r="AE62" s="43">
        <f>IF(Table17[[#This Row],[DISC 3]]="",Table17[[#This Row],[HRG / CTN]],Table17[[#This Row],[HRG / CTN]]-(Table17[[#This Row],[HRG / CTN]]*Table17[[#This Row],[DISC 3]]))</f>
        <v>1560000</v>
      </c>
      <c r="AF62" s="14">
        <f>IF(Table17[[#This Row],[Column2222]]&lt;1,Table17[[#This Row],[Column9]],Table17[[#This Row],[Column9]]*Table17[[#This Row],[Column2222]])</f>
        <v>3120000</v>
      </c>
      <c r="AG62" s="43">
        <f ca="1">IF(NOT(AL63=Table17[[#This Row],[Column6]]),SUMIF(Table17[Column6],Table17[[#This Row],[Column6]],Table17[Column7]),"")</f>
        <v>6000000</v>
      </c>
      <c r="AH62" s="44">
        <f ca="1">INDEX(NOTA[TGL_H],Sheet1!A:A)</f>
        <v>45448</v>
      </c>
      <c r="AI62" s="44">
        <f ca="1">INDEX(NOTA[TGL.NOTA_H],Sheet1!A:A)</f>
        <v>45448</v>
      </c>
      <c r="AK62" t="str">
        <f>IF(INDEX(NOTA[KETERANGAN],A:A)="","",INDEX(NOTA[KETERANGAN],A:A))</f>
        <v>WARNA CAMPUR</v>
      </c>
      <c r="AL62" t="str">
        <f ca="1">INDEX(NOTA[NO.NOTA_H],Sheet1!A:A)</f>
        <v>0606</v>
      </c>
      <c r="AM62" t="str">
        <f>INDEX(NOTA[KETERANGAN],Sheet1!A:A)</f>
        <v>WARNA CAMPUR</v>
      </c>
      <c r="AN62" t="str">
        <f ca="1">INDEX(NOTA[SUPPLIER_H],Sheet1!A:A)</f>
        <v>COMBI</v>
      </c>
      <c r="AO62" t="e">
        <f t="shared" ca="1" si="1"/>
        <v>#N/A</v>
      </c>
      <c r="AR62" s="45" t="s">
        <v>172</v>
      </c>
    </row>
    <row r="63" spans="1:44">
      <c r="A63" s="3">
        <v>79</v>
      </c>
      <c r="C63">
        <f>INDEX(NOTA[//DB],Sheet1!A:A)</f>
        <v>755</v>
      </c>
      <c r="D63">
        <f>MATCH(Table17[[#This Row],[//db]],[3]!Table2[\\],0)</f>
        <v>3171</v>
      </c>
      <c r="E63" t="str">
        <f>INDEX([3]!db[NB NOTA],Table17[[#This Row],[//db]])</f>
        <v>CORRECTION TAPE MT-737A/5X16/+REFILL</v>
      </c>
      <c r="F63" t="str">
        <f>INDEX([3]!db[NB BM],Table17[[#This Row],[//db]])</f>
        <v>TIPEX MICROTOP MT 737</v>
      </c>
      <c r="G63" t="str">
        <f>_xlfn.IFNA(INDEX([3]!Table2[NAMA],Table17[[#This Row],[dbconcat]]),"")</f>
        <v>TIPEX MICROTOP MT 737</v>
      </c>
      <c r="H63" t="str">
        <f>INDEX([3]!Table2[KODE BARANG],Table17[[#This Row],[dbconcat]])</f>
        <v>TIP-MC1</v>
      </c>
      <c r="I63" t="str">
        <f>IF(Table17[[#This Row],[Column3]]="",UPPER(Table17[[#This Row],[Column1]]),Table17[[#This Row],[Column3]])</f>
        <v>TIPEX MICROTOP MT 737</v>
      </c>
      <c r="J63">
        <f>INDEX(NOTA[C],Sheet1!A:A)</f>
        <v>10</v>
      </c>
      <c r="K63">
        <f>IF(OR(Table17[[#This Row],[Column5]]=0,Table17[[#This Row],[Column3]]=""),"",INDEX([3]!Table2[ISI2],Table17[[#This Row],[dbconcat]]))</f>
        <v>48</v>
      </c>
      <c r="L63" t="str">
        <f>IF(Table17[[#This Row],[isis]]="","",INDEX([3]!Table2[SATUAN3],Table17[[#This Row],[dbconcat]]))</f>
        <v>LSN</v>
      </c>
      <c r="M63" t="str">
        <f>IF(Table17[[#This Row],[Column5]]=0,"",IF(Table17[[#This Row],[Column3]]="",INDEX([3]!db[QTY B],Table17[[#This Row],[//db]]),""))</f>
        <v/>
      </c>
      <c r="N63" t="str">
        <f>IF(Table17[[#This Row],[isin]]="","",INDEX([3]!db[STN B],Table17[[#This Row],[//db]]))</f>
        <v/>
      </c>
      <c r="O63" t="str">
        <f>IF(AND(Table17[[#This Row],[isis]]="",Table17[[#This Row],[isin]]=""),INDEX(NOTA[QTY],Sheet1!A:A)/IF(Table17[[#This Row],[Column5]]=0,1,Table17[[#This Row],[Column5]]),"")</f>
        <v/>
      </c>
      <c r="P63" t="str">
        <f>IF(Table17[[#This Row],[Column2]]="","",INDEX(NOTA[STN],Sheet1!A:A))</f>
        <v/>
      </c>
      <c r="Q63" s="5" t="str">
        <f>INDEX([3]!db[QTY B],Table17[[#This Row],[//db]])</f>
        <v>48</v>
      </c>
      <c r="R63" t="str">
        <f>INDEX([3]!db[STN B],Table17[[#This Row],[//db]])</f>
        <v>LSN</v>
      </c>
      <c r="S63" s="40" t="str">
        <f>IF(Table17[[#This Row],[Column5]]=0,Table17[[#This Row],[Column23]]/Table17[[#This Row],[Column224]],"")</f>
        <v/>
      </c>
      <c r="T63" s="4">
        <f>IF(Table17[[#This Row],[Column222]]="",Table17[[#This Row],[Column5]],Table17[[#This Row],[Column222]])</f>
        <v>10</v>
      </c>
      <c r="U63" s="4" t="str">
        <f>IF(Table17[[#This Row],[Column223]]=Table17[[#This Row],[Column24]],"",1)</f>
        <v/>
      </c>
      <c r="V63" s="5">
        <f>IF(Table17[[#This Row],[isis]]="",IF(Table17[[#This Row],[isin]]="",Table17[[#This Row],[Column2]],Table17[[#This Row],[isin]]),Table17[[#This Row],[isis]])</f>
        <v>48</v>
      </c>
      <c r="W63" s="3" t="str">
        <f>IF(Table17[[#This Row],[isis]]="",IF(Table17[[#This Row],[isin]]="",Table17[[#This Row],[Column22]],Table17[[#This Row],[stnn]]),Table17[[#This Row],[stns]])</f>
        <v>LSN</v>
      </c>
      <c r="X63" s="5">
        <f>IF(Table17[[#This Row],[Column2222]]&lt;1,Table17[[#This Row],[Column23]],Table17[[#This Row],[Column23]]*Table17[[#This Row],[Column2222]])</f>
        <v>480</v>
      </c>
      <c r="Y63" s="3" t="str">
        <f>Table17[[#This Row],[Column24]]</f>
        <v>LSN</v>
      </c>
      <c r="Z63" s="5">
        <f>Table17[[#This Row],[HRG / CTN]]/Table17[[#This Row],[Column23]]</f>
        <v>0</v>
      </c>
      <c r="AA63" s="42" t="str">
        <f>IF(INDEX(NOTA[DISC 1],Sheet1!A:A)=0,"",INDEX(NOTA[DISC 1],Sheet1!A:A))</f>
        <v/>
      </c>
      <c r="AB63" s="42" t="str">
        <f>IF(INDEX(NOTA[DISC 2],Sheet1!A:A)=0,"",INDEX(NOTA[DISC 2],Sheet1!A:A))</f>
        <v/>
      </c>
      <c r="AC6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3" s="43">
        <f>INDEX(NOTA[HARGA/ CTN_H],Sheet1!A:A)</f>
        <v>0</v>
      </c>
      <c r="AE63" s="43">
        <f>IF(Table17[[#This Row],[DISC 3]]="",Table17[[#This Row],[HRG / CTN]],Table17[[#This Row],[HRG / CTN]]-(Table17[[#This Row],[HRG / CTN]]*Table17[[#This Row],[DISC 3]]))</f>
        <v>0</v>
      </c>
      <c r="AF63" s="14">
        <f>IF(Table17[[#This Row],[Column2222]]&lt;1,Table17[[#This Row],[Column9]],Table17[[#This Row],[Column9]]*Table17[[#This Row],[Column2222]])</f>
        <v>0</v>
      </c>
      <c r="AG63" s="43" t="str">
        <f ca="1">IF(NOT(AL64=Table17[[#This Row],[Column6]]),SUMIF(Table17[Column6],Table17[[#This Row],[Column6]],Table17[Column7]),"")</f>
        <v/>
      </c>
      <c r="AH63" s="44">
        <f ca="1">INDEX(NOTA[TGL_H],Sheet1!A:A)</f>
        <v>45448</v>
      </c>
      <c r="AI63" s="44">
        <f ca="1">INDEX(NOTA[TGL.NOTA_H],Sheet1!A:A)</f>
        <v>45441</v>
      </c>
      <c r="AK63" t="str">
        <f>IF(INDEX(NOTA[KETERANGAN],A:A)="","",INDEX(NOTA[KETERANGAN],A:A))</f>
        <v>SURAT JALAN</v>
      </c>
      <c r="AL63" t="str">
        <f ca="1">INDEX(NOTA[NO.NOTA_H],Sheet1!A:A)</f>
        <v>SURAT JALAN : TH033/5/2024</v>
      </c>
      <c r="AM63" t="str">
        <f>INDEX(NOTA[KETERANGAN],Sheet1!A:A)</f>
        <v>SURAT JALAN</v>
      </c>
      <c r="AN63" t="str">
        <f ca="1">INDEX(NOTA[SUPPLIER_H],Sheet1!A:A)</f>
        <v>SBS</v>
      </c>
      <c r="AO63" t="e">
        <f t="shared" ca="1" si="1"/>
        <v>#N/A</v>
      </c>
      <c r="AR63" s="45" t="s">
        <v>172</v>
      </c>
    </row>
    <row r="64" spans="1:44">
      <c r="A64" s="3">
        <v>80</v>
      </c>
      <c r="C64">
        <f>INDEX(NOTA[//DB],Sheet1!A:A)</f>
        <v>930</v>
      </c>
      <c r="D64">
        <f>MATCH(Table17[[#This Row],[//db]],[3]!Table2[\\],0)</f>
        <v>1708</v>
      </c>
      <c r="E64" t="str">
        <f>INDEX([3]!db[NB NOTA],Table17[[#This Row],[//db]])</f>
        <v>ELEVATED TRAY MICROTOP 604 HITAM</v>
      </c>
      <c r="F64" t="str">
        <f>INDEX([3]!db[NB BM],Table17[[#This Row],[//db]])</f>
        <v>Elevated tray Microtop 604 hitam</v>
      </c>
      <c r="G64" t="str">
        <f>_xlfn.IFNA(INDEX([3]!Table2[NAMA],Table17[[#This Row],[dbconcat]]),"")</f>
        <v>ELEVATED TRAY MICROTOP 604 HITAM</v>
      </c>
      <c r="H64" t="str">
        <f>INDEX([3]!Table2[KODE BARANG],Table17[[#This Row],[dbconcat]])</f>
        <v>LTR-MC13</v>
      </c>
      <c r="I64" t="str">
        <f>IF(Table17[[#This Row],[Column3]]="",UPPER(Table17[[#This Row],[Column1]]),Table17[[#This Row],[Column3]])</f>
        <v>ELEVATED TRAY MICROTOP 604 HITAM</v>
      </c>
      <c r="J64">
        <f>INDEX(NOTA[C],Sheet1!A:A)</f>
        <v>2</v>
      </c>
      <c r="K64">
        <f>IF(OR(Table17[[#This Row],[Column5]]=0,Table17[[#This Row],[Column3]]=""),"",INDEX([3]!Table2[ISI2],Table17[[#This Row],[dbconcat]]))</f>
        <v>6</v>
      </c>
      <c r="L64" t="str">
        <f>IF(Table17[[#This Row],[isis]]="","",INDEX([3]!Table2[SATUAN3],Table17[[#This Row],[dbconcat]]))</f>
        <v>PCS</v>
      </c>
      <c r="M64" t="str">
        <f>IF(Table17[[#This Row],[Column5]]=0,"",IF(Table17[[#This Row],[Column3]]="",INDEX([3]!db[QTY B],Table17[[#This Row],[//db]]),""))</f>
        <v/>
      </c>
      <c r="N64" t="str">
        <f>IF(Table17[[#This Row],[isin]]="","",INDEX([3]!db[STN B],Table17[[#This Row],[//db]]))</f>
        <v/>
      </c>
      <c r="O64" t="str">
        <f>IF(AND(Table17[[#This Row],[isis]]="",Table17[[#This Row],[isin]]=""),INDEX(NOTA[QTY],Sheet1!A:A)/IF(Table17[[#This Row],[Column5]]=0,1,Table17[[#This Row],[Column5]]),"")</f>
        <v/>
      </c>
      <c r="P64" t="str">
        <f>IF(Table17[[#This Row],[Column2]]="","",INDEX(NOTA[STN],Sheet1!A:A))</f>
        <v/>
      </c>
      <c r="Q64" s="5" t="str">
        <f>INDEX([3]!db[QTY B],Table17[[#This Row],[//db]])</f>
        <v>24</v>
      </c>
      <c r="R64" t="str">
        <f>INDEX([3]!db[STN B],Table17[[#This Row],[//db]])</f>
        <v>PCS</v>
      </c>
      <c r="S64" s="40" t="str">
        <f>IF(Table17[[#This Row],[Column5]]=0,Table17[[#This Row],[Column23]]/Table17[[#This Row],[Column224]],"")</f>
        <v/>
      </c>
      <c r="T64" s="4">
        <f>IF(Table17[[#This Row],[Column222]]="",Table17[[#This Row],[Column5]],Table17[[#This Row],[Column222]])</f>
        <v>2</v>
      </c>
      <c r="U64" s="4" t="str">
        <f>IF(Table17[[#This Row],[Column223]]=Table17[[#This Row],[Column24]],"",1)</f>
        <v/>
      </c>
      <c r="V64" s="5">
        <f>IF(Table17[[#This Row],[isis]]="",IF(Table17[[#This Row],[isin]]="",Table17[[#This Row],[Column2]],Table17[[#This Row],[isin]]),Table17[[#This Row],[isis]])</f>
        <v>6</v>
      </c>
      <c r="W64" s="3" t="str">
        <f>IF(Table17[[#This Row],[isis]]="",IF(Table17[[#This Row],[isin]]="",Table17[[#This Row],[Column22]],Table17[[#This Row],[stnn]]),Table17[[#This Row],[stns]])</f>
        <v>PCS</v>
      </c>
      <c r="X64" s="5">
        <f>IF(Table17[[#This Row],[Column2222]]&lt;1,Table17[[#This Row],[Column23]],Table17[[#This Row],[Column23]]*Table17[[#This Row],[Column2222]])</f>
        <v>12</v>
      </c>
      <c r="Y64" s="3" t="str">
        <f>Table17[[#This Row],[Column24]]</f>
        <v>PCS</v>
      </c>
      <c r="Z64" s="5">
        <f>Table17[[#This Row],[HRG / CTN]]/Table17[[#This Row],[Column23]]</f>
        <v>0</v>
      </c>
      <c r="AA64" s="42" t="str">
        <f>IF(INDEX(NOTA[DISC 1],Sheet1!A:A)=0,"",INDEX(NOTA[DISC 1],Sheet1!A:A))</f>
        <v/>
      </c>
      <c r="AB64" s="42" t="str">
        <f>IF(INDEX(NOTA[DISC 2],Sheet1!A:A)=0,"",INDEX(NOTA[DISC 2],Sheet1!A:A))</f>
        <v/>
      </c>
      <c r="AC6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4" s="43">
        <f>INDEX(NOTA[HARGA/ CTN_H],Sheet1!A:A)</f>
        <v>0</v>
      </c>
      <c r="AE64" s="43">
        <f>IF(Table17[[#This Row],[DISC 3]]="",Table17[[#This Row],[HRG / CTN]],Table17[[#This Row],[HRG / CTN]]-(Table17[[#This Row],[HRG / CTN]]*Table17[[#This Row],[DISC 3]]))</f>
        <v>0</v>
      </c>
      <c r="AF64" s="14">
        <f>IF(Table17[[#This Row],[Column2222]]&lt;1,Table17[[#This Row],[Column9]],Table17[[#This Row],[Column9]]*Table17[[#This Row],[Column2222]])</f>
        <v>0</v>
      </c>
      <c r="AG64" s="43">
        <f ca="1">IF(NOT(AL65=Table17[[#This Row],[Column6]]),SUMIF(Table17[Column6],Table17[[#This Row],[Column6]],Table17[Column7]),"")</f>
        <v>0</v>
      </c>
      <c r="AH64" s="44">
        <f ca="1">INDEX(NOTA[TGL_H],Sheet1!A:A)</f>
        <v>45448</v>
      </c>
      <c r="AI64" s="44">
        <f ca="1">INDEX(NOTA[TGL.NOTA_H],Sheet1!A:A)</f>
        <v>45441</v>
      </c>
      <c r="AK64" t="str">
        <f>IF(INDEX(NOTA[KETERANGAN],A:A)="","",INDEX(NOTA[KETERANGAN],A:A))</f>
        <v>SURAT JALAN</v>
      </c>
      <c r="AL64" t="str">
        <f ca="1">INDEX(NOTA[NO.NOTA_H],Sheet1!A:A)</f>
        <v>SURAT JALAN : TH033/5/2024</v>
      </c>
      <c r="AM64" t="str">
        <f>INDEX(NOTA[KETERANGAN],Sheet1!A:A)</f>
        <v>SURAT JALAN</v>
      </c>
      <c r="AN64" t="str">
        <f ca="1">INDEX(NOTA[SUPPLIER_H],Sheet1!A:A)</f>
        <v>SBS</v>
      </c>
      <c r="AO64" t="e">
        <f t="shared" ca="1" si="1"/>
        <v>#N/A</v>
      </c>
      <c r="AR64" s="45" t="s">
        <v>172</v>
      </c>
    </row>
    <row r="65" spans="1:44">
      <c r="A65" s="3">
        <v>82</v>
      </c>
      <c r="C65">
        <f>INDEX(NOTA[//DB],Sheet1!A:A)</f>
        <v>886</v>
      </c>
      <c r="D65" t="e">
        <f>MATCH(Table17[[#This Row],[//db]],[3]!Table2[\\],0)</f>
        <v>#N/A</v>
      </c>
      <c r="E65" t="str">
        <f>INDEX([3]!db[NB NOTA],Table17[[#This Row],[//db]])</f>
        <v>DOKUMEN KEEPER DK-40 BIRU</v>
      </c>
      <c r="F65" t="str">
        <f>INDEX([3]!db[NB BM],Table17[[#This Row],[//db]])</f>
        <v>Dokumen Keeper DK-40 Biru</v>
      </c>
      <c r="G65" t="str">
        <f>_xlfn.IFNA(INDEX([3]!Table2[NAMA],Table17[[#This Row],[dbconcat]]),"")</f>
        <v/>
      </c>
      <c r="H65" t="e">
        <f>INDEX([3]!Table2[KODE BARANG],Table17[[#This Row],[dbconcat]])</f>
        <v>#N/A</v>
      </c>
      <c r="I65" t="str">
        <f>IF(Table17[[#This Row],[Column3]]="",UPPER(Table17[[#This Row],[Column1]]),Table17[[#This Row],[Column3]])</f>
        <v>DOKUMEN KEEPER DK-40 BIRU</v>
      </c>
      <c r="J65">
        <f>INDEX(NOTA[C],Sheet1!A:A)</f>
        <v>2</v>
      </c>
      <c r="K65" t="str">
        <f>IF(OR(Table17[[#This Row],[Column5]]=0,Table17[[#This Row],[Column3]]=""),"",INDEX([3]!Table2[ISI2],Table17[[#This Row],[dbconcat]]))</f>
        <v/>
      </c>
      <c r="L65" t="str">
        <f>IF(Table17[[#This Row],[isis]]="","",INDEX([3]!Table2[SATUAN3],Table17[[#This Row],[dbconcat]]))</f>
        <v/>
      </c>
      <c r="M65" t="str">
        <f>IF(Table17[[#This Row],[Column5]]=0,"",IF(Table17[[#This Row],[Column3]]="",INDEX([3]!db[QTY B],Table17[[#This Row],[//db]]),""))</f>
        <v>24</v>
      </c>
      <c r="N65" t="str">
        <f>IF(Table17[[#This Row],[isin]]="","",INDEX([3]!db[STN B],Table17[[#This Row],[//db]]))</f>
        <v>PCS</v>
      </c>
      <c r="O65" t="str">
        <f>IF(AND(Table17[[#This Row],[isis]]="",Table17[[#This Row],[isin]]=""),INDEX(NOTA[QTY],Sheet1!A:A)/IF(Table17[[#This Row],[Column5]]=0,1,Table17[[#This Row],[Column5]]),"")</f>
        <v/>
      </c>
      <c r="P65" t="str">
        <f>IF(Table17[[#This Row],[Column2]]="","",INDEX(NOTA[STN],Sheet1!A:A))</f>
        <v/>
      </c>
      <c r="Q65" s="5" t="str">
        <f>INDEX([3]!db[QTY B],Table17[[#This Row],[//db]])</f>
        <v>24</v>
      </c>
      <c r="R65" t="str">
        <f>INDEX([3]!db[STN B],Table17[[#This Row],[//db]])</f>
        <v>PCS</v>
      </c>
      <c r="S65" s="40" t="str">
        <f>IF(Table17[[#This Row],[Column5]]=0,Table17[[#This Row],[Column23]]/Table17[[#This Row],[Column224]],"")</f>
        <v/>
      </c>
      <c r="T65" s="4">
        <f>IF(Table17[[#This Row],[Column222]]="",Table17[[#This Row],[Column5]],Table17[[#This Row],[Column222]])</f>
        <v>2</v>
      </c>
      <c r="U65" s="4" t="str">
        <f>IF(Table17[[#This Row],[Column223]]=Table17[[#This Row],[Column24]],"",1)</f>
        <v/>
      </c>
      <c r="V65" s="5" t="str">
        <f>IF(Table17[[#This Row],[isis]]="",IF(Table17[[#This Row],[isin]]="",Table17[[#This Row],[Column2]],Table17[[#This Row],[isin]]),Table17[[#This Row],[isis]])</f>
        <v>24</v>
      </c>
      <c r="W65" s="3" t="str">
        <f>IF(Table17[[#This Row],[isis]]="",IF(Table17[[#This Row],[isin]]="",Table17[[#This Row],[Column22]],Table17[[#This Row],[stnn]]),Table17[[#This Row],[stns]])</f>
        <v>PCS</v>
      </c>
      <c r="X65" s="5">
        <f>IF(Table17[[#This Row],[Column2222]]&lt;1,Table17[[#This Row],[Column23]],Table17[[#This Row],[Column23]]*Table17[[#This Row],[Column2222]])</f>
        <v>48</v>
      </c>
      <c r="Y65" s="3" t="str">
        <f>Table17[[#This Row],[Column24]]</f>
        <v>PCS</v>
      </c>
      <c r="Z65" s="5">
        <f>Table17[[#This Row],[HRG / CTN]]/Table17[[#This Row],[Column23]]</f>
        <v>32500</v>
      </c>
      <c r="AA65" s="42">
        <f>IF(INDEX(NOTA[DISC 1],Sheet1!A:A)=0,"",INDEX(NOTA[DISC 1],Sheet1!A:A))</f>
        <v>0.2</v>
      </c>
      <c r="AB65" s="42" t="str">
        <f>IF(INDEX(NOTA[DISC 2],Sheet1!A:A)=0,"",INDEX(NOTA[DISC 2],Sheet1!A:A))</f>
        <v/>
      </c>
      <c r="AC65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65" s="43">
        <f>INDEX(NOTA[HARGA/ CTN_H],Sheet1!A:A)</f>
        <v>780000</v>
      </c>
      <c r="AE65" s="43">
        <f>IF(Table17[[#This Row],[DISC 3]]="",Table17[[#This Row],[HRG / CTN]],Table17[[#This Row],[HRG / CTN]]-(Table17[[#This Row],[HRG / CTN]]*Table17[[#This Row],[DISC 3]]))</f>
        <v>624000</v>
      </c>
      <c r="AF65" s="14">
        <f>IF(Table17[[#This Row],[Column2222]]&lt;1,Table17[[#This Row],[Column9]],Table17[[#This Row],[Column9]]*Table17[[#This Row],[Column2222]])</f>
        <v>1248000</v>
      </c>
      <c r="AG65" s="43" t="str">
        <f ca="1">IF(NOT(AL66=Table17[[#This Row],[Column6]]),SUMIF(Table17[Column6],Table17[[#This Row],[Column6]],Table17[Column7]),"")</f>
        <v/>
      </c>
      <c r="AH65" s="44">
        <f ca="1">INDEX(NOTA[TGL_H],Sheet1!A:A)</f>
        <v>45448</v>
      </c>
      <c r="AI65" s="44">
        <f ca="1">INDEX(NOTA[TGL.NOTA_H],Sheet1!A:A)</f>
        <v>45443</v>
      </c>
      <c r="AK65" t="str">
        <f>IF(INDEX(NOTA[KETERANGAN],A:A)="","",INDEX(NOTA[KETERANGAN],A:A))</f>
        <v/>
      </c>
      <c r="AL65" t="str">
        <f ca="1">INDEX(NOTA[NO.NOTA_H],Sheet1!A:A)</f>
        <v>24/YS/V/105</v>
      </c>
      <c r="AM65">
        <f>INDEX(NOTA[KETERANGAN],Sheet1!A:A)</f>
        <v>0</v>
      </c>
      <c r="AN65" t="str">
        <f ca="1">INDEX(NOTA[SUPPLIER_H],Sheet1!A:A)</f>
        <v>YUSHINCA</v>
      </c>
      <c r="AO65" t="e">
        <f t="shared" ca="1" si="1"/>
        <v>#N/A</v>
      </c>
      <c r="AR65" s="45" t="s">
        <v>172</v>
      </c>
    </row>
    <row r="66" spans="1:44">
      <c r="A66" s="3">
        <v>83</v>
      </c>
      <c r="C66">
        <f>INDEX(NOTA[//DB],Sheet1!A:A)</f>
        <v>888</v>
      </c>
      <c r="D66" t="e">
        <f>MATCH(Table17[[#This Row],[//db]],[3]!Table2[\\],0)</f>
        <v>#N/A</v>
      </c>
      <c r="E66" t="str">
        <f>INDEX([3]!db[NB NOTA],Table17[[#This Row],[//db]])</f>
        <v>DOKUMEN KEEPER DK-40 HITAM</v>
      </c>
      <c r="F66" t="str">
        <f>INDEX([3]!db[NB BM],Table17[[#This Row],[//db]])</f>
        <v>Dokumen Keeper DK-40 Hitam</v>
      </c>
      <c r="G66" t="str">
        <f>_xlfn.IFNA(INDEX([3]!Table2[NAMA],Table17[[#This Row],[dbconcat]]),"")</f>
        <v/>
      </c>
      <c r="H66" t="e">
        <f>INDEX([3]!Table2[KODE BARANG],Table17[[#This Row],[dbconcat]])</f>
        <v>#N/A</v>
      </c>
      <c r="I66" t="str">
        <f>IF(Table17[[#This Row],[Column3]]="",UPPER(Table17[[#This Row],[Column1]]),Table17[[#This Row],[Column3]])</f>
        <v>DOKUMEN KEEPER DK-40 HITAM</v>
      </c>
      <c r="J66">
        <f>INDEX(NOTA[C],Sheet1!A:A)</f>
        <v>3</v>
      </c>
      <c r="K66" t="str">
        <f>IF(OR(Table17[[#This Row],[Column5]]=0,Table17[[#This Row],[Column3]]=""),"",INDEX([3]!Table2[ISI2],Table17[[#This Row],[dbconcat]]))</f>
        <v/>
      </c>
      <c r="L66" t="str">
        <f>IF(Table17[[#This Row],[isis]]="","",INDEX([3]!Table2[SATUAN3],Table17[[#This Row],[dbconcat]]))</f>
        <v/>
      </c>
      <c r="M66" t="str">
        <f>IF(Table17[[#This Row],[Column5]]=0,"",IF(Table17[[#This Row],[Column3]]="",INDEX([3]!db[QTY B],Table17[[#This Row],[//db]]),""))</f>
        <v>24</v>
      </c>
      <c r="N66" t="str">
        <f>IF(Table17[[#This Row],[isin]]="","",INDEX([3]!db[STN B],Table17[[#This Row],[//db]]))</f>
        <v>PCS</v>
      </c>
      <c r="O66" t="str">
        <f>IF(AND(Table17[[#This Row],[isis]]="",Table17[[#This Row],[isin]]=""),INDEX(NOTA[QTY],Sheet1!A:A)/IF(Table17[[#This Row],[Column5]]=0,1,Table17[[#This Row],[Column5]]),"")</f>
        <v/>
      </c>
      <c r="P66" t="str">
        <f>IF(Table17[[#This Row],[Column2]]="","",INDEX(NOTA[STN],Sheet1!A:A))</f>
        <v/>
      </c>
      <c r="Q66" s="5" t="str">
        <f>INDEX([3]!db[QTY B],Table17[[#This Row],[//db]])</f>
        <v>24</v>
      </c>
      <c r="R66" t="str">
        <f>INDEX([3]!db[STN B],Table17[[#This Row],[//db]])</f>
        <v>PCS</v>
      </c>
      <c r="S66" s="40" t="str">
        <f>IF(Table17[[#This Row],[Column5]]=0,Table17[[#This Row],[Column23]]/Table17[[#This Row],[Column224]],"")</f>
        <v/>
      </c>
      <c r="T66" s="4">
        <f>IF(Table17[[#This Row],[Column222]]="",Table17[[#This Row],[Column5]],Table17[[#This Row],[Column222]])</f>
        <v>3</v>
      </c>
      <c r="U66" s="4" t="str">
        <f>IF(Table17[[#This Row],[Column223]]=Table17[[#This Row],[Column24]],"",1)</f>
        <v/>
      </c>
      <c r="V66" s="5" t="str">
        <f>IF(Table17[[#This Row],[isis]]="",IF(Table17[[#This Row],[isin]]="",Table17[[#This Row],[Column2]],Table17[[#This Row],[isin]]),Table17[[#This Row],[isis]])</f>
        <v>24</v>
      </c>
      <c r="W66" s="3" t="str">
        <f>IF(Table17[[#This Row],[isis]]="",IF(Table17[[#This Row],[isin]]="",Table17[[#This Row],[Column22]],Table17[[#This Row],[stnn]]),Table17[[#This Row],[stns]])</f>
        <v>PCS</v>
      </c>
      <c r="X66" s="5">
        <f>IF(Table17[[#This Row],[Column2222]]&lt;1,Table17[[#This Row],[Column23]],Table17[[#This Row],[Column23]]*Table17[[#This Row],[Column2222]])</f>
        <v>72</v>
      </c>
      <c r="Y66" s="3" t="str">
        <f>Table17[[#This Row],[Column24]]</f>
        <v>PCS</v>
      </c>
      <c r="Z66" s="5">
        <f>Table17[[#This Row],[HRG / CTN]]/Table17[[#This Row],[Column23]]</f>
        <v>32500</v>
      </c>
      <c r="AA66" s="42">
        <f>IF(INDEX(NOTA[DISC 1],Sheet1!A:A)=0,"",INDEX(NOTA[DISC 1],Sheet1!A:A))</f>
        <v>0.2</v>
      </c>
      <c r="AB66" s="42" t="str">
        <f>IF(INDEX(NOTA[DISC 2],Sheet1!A:A)=0,"",INDEX(NOTA[DISC 2],Sheet1!A:A))</f>
        <v/>
      </c>
      <c r="AC66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66" s="43">
        <f>INDEX(NOTA[HARGA/ CTN_H],Sheet1!A:A)</f>
        <v>780000</v>
      </c>
      <c r="AE66" s="43">
        <f>IF(Table17[[#This Row],[DISC 3]]="",Table17[[#This Row],[HRG / CTN]],Table17[[#This Row],[HRG / CTN]]-(Table17[[#This Row],[HRG / CTN]]*Table17[[#This Row],[DISC 3]]))</f>
        <v>624000</v>
      </c>
      <c r="AF66" s="14">
        <f>IF(Table17[[#This Row],[Column2222]]&lt;1,Table17[[#This Row],[Column9]],Table17[[#This Row],[Column9]]*Table17[[#This Row],[Column2222]])</f>
        <v>1872000</v>
      </c>
      <c r="AG66" s="43" t="str">
        <f ca="1">IF(NOT(AL67=Table17[[#This Row],[Column6]]),SUMIF(Table17[Column6],Table17[[#This Row],[Column6]],Table17[Column7]),"")</f>
        <v/>
      </c>
      <c r="AH66" s="44">
        <f ca="1">INDEX(NOTA[TGL_H],Sheet1!A:A)</f>
        <v>45448</v>
      </c>
      <c r="AI66" s="44">
        <f ca="1">INDEX(NOTA[TGL.NOTA_H],Sheet1!A:A)</f>
        <v>45443</v>
      </c>
      <c r="AK66" t="str">
        <f>IF(INDEX(NOTA[KETERANGAN],A:A)="","",INDEX(NOTA[KETERANGAN],A:A))</f>
        <v/>
      </c>
      <c r="AL66" t="str">
        <f ca="1">INDEX(NOTA[NO.NOTA_H],Sheet1!A:A)</f>
        <v>24/YS/V/105</v>
      </c>
      <c r="AM66">
        <f>INDEX(NOTA[KETERANGAN],Sheet1!A:A)</f>
        <v>0</v>
      </c>
      <c r="AN66" t="str">
        <f ca="1">INDEX(NOTA[SUPPLIER_H],Sheet1!A:A)</f>
        <v>YUSHINCA</v>
      </c>
      <c r="AO66" t="e">
        <f t="shared" ca="1" si="1"/>
        <v>#N/A</v>
      </c>
      <c r="AR66" s="45" t="s">
        <v>172</v>
      </c>
    </row>
    <row r="67" spans="1:44">
      <c r="A67" s="3">
        <v>84</v>
      </c>
      <c r="C67">
        <f>INDEX(NOTA[//DB],Sheet1!A:A)</f>
        <v>889</v>
      </c>
      <c r="D67" t="e">
        <f>MATCH(Table17[[#This Row],[//db]],[3]!Table2[\\],0)</f>
        <v>#N/A</v>
      </c>
      <c r="E67" t="str">
        <f>INDEX([3]!db[NB NOTA],Table17[[#This Row],[//db]])</f>
        <v>DOKUMEN KEEPER DK-40 MERAH</v>
      </c>
      <c r="F67" t="str">
        <f>INDEX([3]!db[NB BM],Table17[[#This Row],[//db]])</f>
        <v>Dokumen Keeper DK-40 Merah</v>
      </c>
      <c r="G67" t="str">
        <f>_xlfn.IFNA(INDEX([3]!Table2[NAMA],Table17[[#This Row],[dbconcat]]),"")</f>
        <v/>
      </c>
      <c r="H67" t="e">
        <f>INDEX([3]!Table2[KODE BARANG],Table17[[#This Row],[dbconcat]])</f>
        <v>#N/A</v>
      </c>
      <c r="I67" t="str">
        <f>IF(Table17[[#This Row],[Column3]]="",UPPER(Table17[[#This Row],[Column1]]),Table17[[#This Row],[Column3]])</f>
        <v>DOKUMEN KEEPER DK-40 MERAH</v>
      </c>
      <c r="J67">
        <f>INDEX(NOTA[C],Sheet1!A:A)</f>
        <v>1</v>
      </c>
      <c r="K67" t="str">
        <f>IF(OR(Table17[[#This Row],[Column5]]=0,Table17[[#This Row],[Column3]]=""),"",INDEX([3]!Table2[ISI2],Table17[[#This Row],[dbconcat]]))</f>
        <v/>
      </c>
      <c r="L67" t="str">
        <f>IF(Table17[[#This Row],[isis]]="","",INDEX([3]!Table2[SATUAN3],Table17[[#This Row],[dbconcat]]))</f>
        <v/>
      </c>
      <c r="M67" t="str">
        <f>IF(Table17[[#This Row],[Column5]]=0,"",IF(Table17[[#This Row],[Column3]]="",INDEX([3]!db[QTY B],Table17[[#This Row],[//db]]),""))</f>
        <v>24</v>
      </c>
      <c r="N67" t="str">
        <f>IF(Table17[[#This Row],[isin]]="","",INDEX([3]!db[STN B],Table17[[#This Row],[//db]]))</f>
        <v>PCS</v>
      </c>
      <c r="O67" t="str">
        <f>IF(AND(Table17[[#This Row],[isis]]="",Table17[[#This Row],[isin]]=""),INDEX(NOTA[QTY],Sheet1!A:A)/IF(Table17[[#This Row],[Column5]]=0,1,Table17[[#This Row],[Column5]]),"")</f>
        <v/>
      </c>
      <c r="P67" t="str">
        <f>IF(Table17[[#This Row],[Column2]]="","",INDEX(NOTA[STN],Sheet1!A:A))</f>
        <v/>
      </c>
      <c r="Q67" s="5" t="str">
        <f>INDEX([3]!db[QTY B],Table17[[#This Row],[//db]])</f>
        <v>24</v>
      </c>
      <c r="R67" t="str">
        <f>INDEX([3]!db[STN B],Table17[[#This Row],[//db]])</f>
        <v>PCS</v>
      </c>
      <c r="S67" s="40" t="str">
        <f>IF(Table17[[#This Row],[Column5]]=0,Table17[[#This Row],[Column23]]/Table17[[#This Row],[Column224]],"")</f>
        <v/>
      </c>
      <c r="T67" s="4">
        <f>IF(Table17[[#This Row],[Column222]]="",Table17[[#This Row],[Column5]],Table17[[#This Row],[Column222]])</f>
        <v>1</v>
      </c>
      <c r="U67" s="4" t="str">
        <f>IF(Table17[[#This Row],[Column223]]=Table17[[#This Row],[Column24]],"",1)</f>
        <v/>
      </c>
      <c r="V67" s="5" t="str">
        <f>IF(Table17[[#This Row],[isis]]="",IF(Table17[[#This Row],[isin]]="",Table17[[#This Row],[Column2]],Table17[[#This Row],[isin]]),Table17[[#This Row],[isis]])</f>
        <v>24</v>
      </c>
      <c r="W67" s="3" t="str">
        <f>IF(Table17[[#This Row],[isis]]="",IF(Table17[[#This Row],[isin]]="",Table17[[#This Row],[Column22]],Table17[[#This Row],[stnn]]),Table17[[#This Row],[stns]])</f>
        <v>PCS</v>
      </c>
      <c r="X67" s="5">
        <f>IF(Table17[[#This Row],[Column2222]]&lt;1,Table17[[#This Row],[Column23]],Table17[[#This Row],[Column23]]*Table17[[#This Row],[Column2222]])</f>
        <v>24</v>
      </c>
      <c r="Y67" s="3" t="str">
        <f>Table17[[#This Row],[Column24]]</f>
        <v>PCS</v>
      </c>
      <c r="Z67" s="5">
        <f>Table17[[#This Row],[HRG / CTN]]/Table17[[#This Row],[Column23]]</f>
        <v>32500</v>
      </c>
      <c r="AA67" s="42">
        <f>IF(INDEX(NOTA[DISC 1],Sheet1!A:A)=0,"",INDEX(NOTA[DISC 1],Sheet1!A:A))</f>
        <v>0.2</v>
      </c>
      <c r="AB67" s="42" t="str">
        <f>IF(INDEX(NOTA[DISC 2],Sheet1!A:A)=0,"",INDEX(NOTA[DISC 2],Sheet1!A:A))</f>
        <v/>
      </c>
      <c r="AC67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67" s="43">
        <f>INDEX(NOTA[HARGA/ CTN_H],Sheet1!A:A)</f>
        <v>780000</v>
      </c>
      <c r="AE67" s="43">
        <f>IF(Table17[[#This Row],[DISC 3]]="",Table17[[#This Row],[HRG / CTN]],Table17[[#This Row],[HRG / CTN]]-(Table17[[#This Row],[HRG / CTN]]*Table17[[#This Row],[DISC 3]]))</f>
        <v>624000</v>
      </c>
      <c r="AF67" s="14">
        <f>IF(Table17[[#This Row],[Column2222]]&lt;1,Table17[[#This Row],[Column9]],Table17[[#This Row],[Column9]]*Table17[[#This Row],[Column2222]])</f>
        <v>624000</v>
      </c>
      <c r="AG67" s="43" t="str">
        <f ca="1">IF(NOT(AL68=Table17[[#This Row],[Column6]]),SUMIF(Table17[Column6],Table17[[#This Row],[Column6]],Table17[Column7]),"")</f>
        <v/>
      </c>
      <c r="AH67" s="44">
        <f ca="1">INDEX(NOTA[TGL_H],Sheet1!A:A)</f>
        <v>45448</v>
      </c>
      <c r="AI67" s="44">
        <f ca="1">INDEX(NOTA[TGL.NOTA_H],Sheet1!A:A)</f>
        <v>45443</v>
      </c>
      <c r="AK67" t="str">
        <f>IF(INDEX(NOTA[KETERANGAN],A:A)="","",INDEX(NOTA[KETERANGAN],A:A))</f>
        <v/>
      </c>
      <c r="AL67" t="str">
        <f ca="1">INDEX(NOTA[NO.NOTA_H],Sheet1!A:A)</f>
        <v>24/YS/V/105</v>
      </c>
      <c r="AM67">
        <f>INDEX(NOTA[KETERANGAN],Sheet1!A:A)</f>
        <v>0</v>
      </c>
      <c r="AN67" t="str">
        <f ca="1">INDEX(NOTA[SUPPLIER_H],Sheet1!A:A)</f>
        <v>YUSHINCA</v>
      </c>
      <c r="AO67" t="e">
        <f t="shared" ca="1" si="1"/>
        <v>#N/A</v>
      </c>
      <c r="AR67" s="45" t="s">
        <v>172</v>
      </c>
    </row>
    <row r="68" spans="1:44">
      <c r="A68" s="3">
        <v>85</v>
      </c>
      <c r="C68">
        <f>INDEX(NOTA[//DB],Sheet1!A:A)</f>
        <v>886</v>
      </c>
      <c r="D68" t="e">
        <f>MATCH(Table17[[#This Row],[//db]],[3]!Table2[\\],0)</f>
        <v>#N/A</v>
      </c>
      <c r="E68" t="str">
        <f>INDEX([3]!db[NB NOTA],Table17[[#This Row],[//db]])</f>
        <v>DOKUMEN KEEPER DK-40 BIRU</v>
      </c>
      <c r="F68" t="str">
        <f>INDEX([3]!db[NB BM],Table17[[#This Row],[//db]])</f>
        <v>Dokumen Keeper DK-40 Biru</v>
      </c>
      <c r="G68" t="str">
        <f>_xlfn.IFNA(INDEX([3]!Table2[NAMA],Table17[[#This Row],[dbconcat]]),"")</f>
        <v/>
      </c>
      <c r="H68" t="e">
        <f>INDEX([3]!Table2[KODE BARANG],Table17[[#This Row],[dbconcat]])</f>
        <v>#N/A</v>
      </c>
      <c r="I68" t="str">
        <f>IF(Table17[[#This Row],[Column3]]="",UPPER(Table17[[#This Row],[Column1]]),Table17[[#This Row],[Column3]])</f>
        <v>DOKUMEN KEEPER DK-40 BIRU</v>
      </c>
      <c r="J68">
        <f>INDEX(NOTA[C],Sheet1!A:A)</f>
        <v>0</v>
      </c>
      <c r="K68" t="str">
        <f>IF(OR(Table17[[#This Row],[Column5]]=0,Table17[[#This Row],[Column3]]=""),"",INDEX([3]!Table2[ISI2],Table17[[#This Row],[dbconcat]]))</f>
        <v/>
      </c>
      <c r="L68" t="str">
        <f>IF(Table17[[#This Row],[isis]]="","",INDEX([3]!Table2[SATUAN3],Table17[[#This Row],[dbconcat]]))</f>
        <v/>
      </c>
      <c r="M68" t="str">
        <f>IF(Table17[[#This Row],[Column5]]=0,"",IF(Table17[[#This Row],[Column3]]="",INDEX([3]!db[QTY B],Table17[[#This Row],[//db]]),""))</f>
        <v/>
      </c>
      <c r="N68" t="str">
        <f>IF(Table17[[#This Row],[isin]]="","",INDEX([3]!db[STN B],Table17[[#This Row],[//db]]))</f>
        <v/>
      </c>
      <c r="O68">
        <f>IF(AND(Table17[[#This Row],[isis]]="",Table17[[#This Row],[isin]]=""),INDEX(NOTA[QTY],Sheet1!A:A)/IF(Table17[[#This Row],[Column5]]=0,1,Table17[[#This Row],[Column5]]),"")</f>
        <v>16</v>
      </c>
      <c r="P68" t="str">
        <f>IF(Table17[[#This Row],[Column2]]="","",INDEX(NOTA[STN],Sheet1!A:A))</f>
        <v>PCS</v>
      </c>
      <c r="Q68" s="5" t="str">
        <f>INDEX([3]!db[QTY B],Table17[[#This Row],[//db]])</f>
        <v>24</v>
      </c>
      <c r="R68" t="str">
        <f>INDEX([3]!db[STN B],Table17[[#This Row],[//db]])</f>
        <v>PCS</v>
      </c>
      <c r="S68" s="40">
        <f>IF(Table17[[#This Row],[Column5]]=0,Table17[[#This Row],[Column23]]/Table17[[#This Row],[Column224]],"")</f>
        <v>0.66666666666666663</v>
      </c>
      <c r="T68" s="4">
        <f>IF(Table17[[#This Row],[Column222]]="",Table17[[#This Row],[Column5]],Table17[[#This Row],[Column222]])</f>
        <v>0.66666666666666663</v>
      </c>
      <c r="U68" s="4" t="str">
        <f>IF(Table17[[#This Row],[Column223]]=Table17[[#This Row],[Column24]],"",1)</f>
        <v/>
      </c>
      <c r="V68" s="5">
        <f>IF(Table17[[#This Row],[isis]]="",IF(Table17[[#This Row],[isin]]="",Table17[[#This Row],[Column2]],Table17[[#This Row],[isin]]),Table17[[#This Row],[isis]])</f>
        <v>16</v>
      </c>
      <c r="W68" s="3" t="str">
        <f>IF(Table17[[#This Row],[isis]]="",IF(Table17[[#This Row],[isin]]="",Table17[[#This Row],[Column22]],Table17[[#This Row],[stnn]]),Table17[[#This Row],[stns]])</f>
        <v>PCS</v>
      </c>
      <c r="X68" s="5">
        <f>IF(Table17[[#This Row],[Column2222]]&lt;1,Table17[[#This Row],[Column23]],Table17[[#This Row],[Column23]]*Table17[[#This Row],[Column2222]])</f>
        <v>16</v>
      </c>
      <c r="Y68" s="3" t="str">
        <f>Table17[[#This Row],[Column24]]</f>
        <v>PCS</v>
      </c>
      <c r="Z68" s="5">
        <f>Table17[[#This Row],[HRG / CTN]]/Table17[[#This Row],[Column23]]</f>
        <v>32500</v>
      </c>
      <c r="AA68" s="42">
        <f>IF(INDEX(NOTA[DISC 1],Sheet1!A:A)=0,"",INDEX(NOTA[DISC 1],Sheet1!A:A))</f>
        <v>0.2</v>
      </c>
      <c r="AB68" s="42" t="str">
        <f>IF(INDEX(NOTA[DISC 2],Sheet1!A:A)=0,"",INDEX(NOTA[DISC 2],Sheet1!A:A))</f>
        <v/>
      </c>
      <c r="AC68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68" s="43">
        <f>INDEX(NOTA[HARGA/ CTN_H],Sheet1!A:A)</f>
        <v>520000</v>
      </c>
      <c r="AE68" s="43">
        <f>IF(Table17[[#This Row],[DISC 3]]="",Table17[[#This Row],[HRG / CTN]],Table17[[#This Row],[HRG / CTN]]-(Table17[[#This Row],[HRG / CTN]]*Table17[[#This Row],[DISC 3]]))</f>
        <v>416000</v>
      </c>
      <c r="AF68" s="14">
        <f>IF(Table17[[#This Row],[Column2222]]&lt;1,Table17[[#This Row],[Column9]],Table17[[#This Row],[Column9]]*Table17[[#This Row],[Column2222]])</f>
        <v>416000</v>
      </c>
      <c r="AG68" s="43" t="str">
        <f ca="1">IF(NOT(AL69=Table17[[#This Row],[Column6]]),SUMIF(Table17[Column6],Table17[[#This Row],[Column6]],Table17[Column7]),"")</f>
        <v/>
      </c>
      <c r="AH68" s="44">
        <f ca="1">INDEX(NOTA[TGL_H],Sheet1!A:A)</f>
        <v>45448</v>
      </c>
      <c r="AI68" s="44">
        <f ca="1">INDEX(NOTA[TGL.NOTA_H],Sheet1!A:A)</f>
        <v>45443</v>
      </c>
      <c r="AK68" t="str">
        <f>IF(INDEX(NOTA[KETERANGAN],A:A)="","",INDEX(NOTA[KETERANGAN],A:A))</f>
        <v/>
      </c>
      <c r="AL68" t="str">
        <f ca="1">INDEX(NOTA[NO.NOTA_H],Sheet1!A:A)</f>
        <v>24/YS/V/105</v>
      </c>
      <c r="AM68">
        <f>INDEX(NOTA[KETERANGAN],Sheet1!A:A)</f>
        <v>0</v>
      </c>
      <c r="AN68" t="str">
        <f ca="1">INDEX(NOTA[SUPPLIER_H],Sheet1!A:A)</f>
        <v>YUSHINCA</v>
      </c>
      <c r="AO68" t="e">
        <f t="shared" ca="1" si="1"/>
        <v>#N/A</v>
      </c>
      <c r="AR68" s="45" t="s">
        <v>172</v>
      </c>
    </row>
    <row r="69" spans="1:44">
      <c r="A69" s="3">
        <v>86</v>
      </c>
      <c r="C69">
        <f>INDEX(NOTA[//DB],Sheet1!A:A)</f>
        <v>888</v>
      </c>
      <c r="D69" t="e">
        <f>MATCH(Table17[[#This Row],[//db]],[3]!Table2[\\],0)</f>
        <v>#N/A</v>
      </c>
      <c r="E69" t="str">
        <f>INDEX([3]!db[NB NOTA],Table17[[#This Row],[//db]])</f>
        <v>DOKUMEN KEEPER DK-40 HITAM</v>
      </c>
      <c r="F69" t="str">
        <f>INDEX([3]!db[NB BM],Table17[[#This Row],[//db]])</f>
        <v>Dokumen Keeper DK-40 Hitam</v>
      </c>
      <c r="G69" t="str">
        <f>_xlfn.IFNA(INDEX([3]!Table2[NAMA],Table17[[#This Row],[dbconcat]]),"")</f>
        <v/>
      </c>
      <c r="H69" t="e">
        <f>INDEX([3]!Table2[KODE BARANG],Table17[[#This Row],[dbconcat]])</f>
        <v>#N/A</v>
      </c>
      <c r="I69" t="str">
        <f>IF(Table17[[#This Row],[Column3]]="",UPPER(Table17[[#This Row],[Column1]]),Table17[[#This Row],[Column3]])</f>
        <v>DOKUMEN KEEPER DK-40 HITAM</v>
      </c>
      <c r="J69">
        <f>INDEX(NOTA[C],Sheet1!A:A)</f>
        <v>0</v>
      </c>
      <c r="K69" t="str">
        <f>IF(OR(Table17[[#This Row],[Column5]]=0,Table17[[#This Row],[Column3]]=""),"",INDEX([3]!Table2[ISI2],Table17[[#This Row],[dbconcat]]))</f>
        <v/>
      </c>
      <c r="L69" t="str">
        <f>IF(Table17[[#This Row],[isis]]="","",INDEX([3]!Table2[SATUAN3],Table17[[#This Row],[dbconcat]]))</f>
        <v/>
      </c>
      <c r="M69" t="str">
        <f>IF(Table17[[#This Row],[Column5]]=0,"",IF(Table17[[#This Row],[Column3]]="",INDEX([3]!db[QTY B],Table17[[#This Row],[//db]]),""))</f>
        <v/>
      </c>
      <c r="N69" t="str">
        <f>IF(Table17[[#This Row],[isin]]="","",INDEX([3]!db[STN B],Table17[[#This Row],[//db]]))</f>
        <v/>
      </c>
      <c r="O69">
        <f>IF(AND(Table17[[#This Row],[isis]]="",Table17[[#This Row],[isin]]=""),INDEX(NOTA[QTY],Sheet1!A:A)/IF(Table17[[#This Row],[Column5]]=0,1,Table17[[#This Row],[Column5]]),"")</f>
        <v>16</v>
      </c>
      <c r="P69" t="str">
        <f>IF(Table17[[#This Row],[Column2]]="","",INDEX(NOTA[STN],Sheet1!A:A))</f>
        <v>PCS</v>
      </c>
      <c r="Q69" s="5" t="str">
        <f>INDEX([3]!db[QTY B],Table17[[#This Row],[//db]])</f>
        <v>24</v>
      </c>
      <c r="R69" t="str">
        <f>INDEX([3]!db[STN B],Table17[[#This Row],[//db]])</f>
        <v>PCS</v>
      </c>
      <c r="S69" s="40">
        <f>IF(Table17[[#This Row],[Column5]]=0,Table17[[#This Row],[Column23]]/Table17[[#This Row],[Column224]],"")</f>
        <v>0.66666666666666663</v>
      </c>
      <c r="T69" s="4">
        <f>IF(Table17[[#This Row],[Column222]]="",Table17[[#This Row],[Column5]],Table17[[#This Row],[Column222]])</f>
        <v>0.66666666666666663</v>
      </c>
      <c r="U69" s="4" t="str">
        <f>IF(Table17[[#This Row],[Column223]]=Table17[[#This Row],[Column24]],"",1)</f>
        <v/>
      </c>
      <c r="V69" s="5">
        <f>IF(Table17[[#This Row],[isis]]="",IF(Table17[[#This Row],[isin]]="",Table17[[#This Row],[Column2]],Table17[[#This Row],[isin]]),Table17[[#This Row],[isis]])</f>
        <v>16</v>
      </c>
      <c r="W69" s="3" t="str">
        <f>IF(Table17[[#This Row],[isis]]="",IF(Table17[[#This Row],[isin]]="",Table17[[#This Row],[Column22]],Table17[[#This Row],[stnn]]),Table17[[#This Row],[stns]])</f>
        <v>PCS</v>
      </c>
      <c r="X69" s="5">
        <f>IF(Table17[[#This Row],[Column2222]]&lt;1,Table17[[#This Row],[Column23]],Table17[[#This Row],[Column23]]*Table17[[#This Row],[Column2222]])</f>
        <v>16</v>
      </c>
      <c r="Y69" s="3" t="str">
        <f>Table17[[#This Row],[Column24]]</f>
        <v>PCS</v>
      </c>
      <c r="Z69" s="5">
        <f>Table17[[#This Row],[HRG / CTN]]/Table17[[#This Row],[Column23]]</f>
        <v>32500</v>
      </c>
      <c r="AA69" s="42">
        <f>IF(INDEX(NOTA[DISC 1],Sheet1!A:A)=0,"",INDEX(NOTA[DISC 1],Sheet1!A:A))</f>
        <v>0.2</v>
      </c>
      <c r="AB69" s="42" t="str">
        <f>IF(INDEX(NOTA[DISC 2],Sheet1!A:A)=0,"",INDEX(NOTA[DISC 2],Sheet1!A:A))</f>
        <v/>
      </c>
      <c r="AC69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69" s="43">
        <f>INDEX(NOTA[HARGA/ CTN_H],Sheet1!A:A)</f>
        <v>520000</v>
      </c>
      <c r="AE69" s="43">
        <f>IF(Table17[[#This Row],[DISC 3]]="",Table17[[#This Row],[HRG / CTN]],Table17[[#This Row],[HRG / CTN]]-(Table17[[#This Row],[HRG / CTN]]*Table17[[#This Row],[DISC 3]]))</f>
        <v>416000</v>
      </c>
      <c r="AF69" s="14">
        <f>IF(Table17[[#This Row],[Column2222]]&lt;1,Table17[[#This Row],[Column9]],Table17[[#This Row],[Column9]]*Table17[[#This Row],[Column2222]])</f>
        <v>416000</v>
      </c>
      <c r="AG69" s="43" t="str">
        <f ca="1">IF(NOT(AL70=Table17[[#This Row],[Column6]]),SUMIF(Table17[Column6],Table17[[#This Row],[Column6]],Table17[Column7]),"")</f>
        <v/>
      </c>
      <c r="AH69" s="44">
        <f ca="1">INDEX(NOTA[TGL_H],Sheet1!A:A)</f>
        <v>45448</v>
      </c>
      <c r="AI69" s="44">
        <f ca="1">INDEX(NOTA[TGL.NOTA_H],Sheet1!A:A)</f>
        <v>45443</v>
      </c>
      <c r="AK69" t="str">
        <f>IF(INDEX(NOTA[KETERANGAN],A:A)="","",INDEX(NOTA[KETERANGAN],A:A))</f>
        <v/>
      </c>
      <c r="AL69" t="str">
        <f ca="1">INDEX(NOTA[NO.NOTA_H],Sheet1!A:A)</f>
        <v>24/YS/V/105</v>
      </c>
      <c r="AM69">
        <f>INDEX(NOTA[KETERANGAN],Sheet1!A:A)</f>
        <v>0</v>
      </c>
      <c r="AN69" t="str">
        <f ca="1">INDEX(NOTA[SUPPLIER_H],Sheet1!A:A)</f>
        <v>YUSHINCA</v>
      </c>
      <c r="AO69" t="e">
        <f t="shared" ca="1" si="1"/>
        <v>#N/A</v>
      </c>
      <c r="AR69" s="45" t="s">
        <v>172</v>
      </c>
    </row>
    <row r="70" spans="1:44">
      <c r="A70" s="3">
        <v>87</v>
      </c>
      <c r="C70">
        <f>INDEX(NOTA[//DB],Sheet1!A:A)</f>
        <v>889</v>
      </c>
      <c r="D70" t="e">
        <f>MATCH(Table17[[#This Row],[//db]],[3]!Table2[\\],0)</f>
        <v>#N/A</v>
      </c>
      <c r="E70" t="str">
        <f>INDEX([3]!db[NB NOTA],Table17[[#This Row],[//db]])</f>
        <v>DOKUMEN KEEPER DK-40 MERAH</v>
      </c>
      <c r="F70" t="str">
        <f>INDEX([3]!db[NB BM],Table17[[#This Row],[//db]])</f>
        <v>Dokumen Keeper DK-40 Merah</v>
      </c>
      <c r="G70" t="str">
        <f>_xlfn.IFNA(INDEX([3]!Table2[NAMA],Table17[[#This Row],[dbconcat]]),"")</f>
        <v/>
      </c>
      <c r="H70" t="e">
        <f>INDEX([3]!Table2[KODE BARANG],Table17[[#This Row],[dbconcat]])</f>
        <v>#N/A</v>
      </c>
      <c r="I70" t="str">
        <f>IF(Table17[[#This Row],[Column3]]="",UPPER(Table17[[#This Row],[Column1]]),Table17[[#This Row],[Column3]])</f>
        <v>DOKUMEN KEEPER DK-40 MERAH</v>
      </c>
      <c r="J70">
        <f>INDEX(NOTA[C],Sheet1!A:A)</f>
        <v>0</v>
      </c>
      <c r="K70" t="str">
        <f>IF(OR(Table17[[#This Row],[Column5]]=0,Table17[[#This Row],[Column3]]=""),"",INDEX([3]!Table2[ISI2],Table17[[#This Row],[dbconcat]]))</f>
        <v/>
      </c>
      <c r="L70" t="str">
        <f>IF(Table17[[#This Row],[isis]]="","",INDEX([3]!Table2[SATUAN3],Table17[[#This Row],[dbconcat]]))</f>
        <v/>
      </c>
      <c r="M70" t="str">
        <f>IF(Table17[[#This Row],[Column5]]=0,"",IF(Table17[[#This Row],[Column3]]="",INDEX([3]!db[QTY B],Table17[[#This Row],[//db]]),""))</f>
        <v/>
      </c>
      <c r="N70" t="str">
        <f>IF(Table17[[#This Row],[isin]]="","",INDEX([3]!db[STN B],Table17[[#This Row],[//db]]))</f>
        <v/>
      </c>
      <c r="O70">
        <f>IF(AND(Table17[[#This Row],[isis]]="",Table17[[#This Row],[isin]]=""),INDEX(NOTA[QTY],Sheet1!A:A)/IF(Table17[[#This Row],[Column5]]=0,1,Table17[[#This Row],[Column5]]),"")</f>
        <v>16</v>
      </c>
      <c r="P70" t="str">
        <f>IF(Table17[[#This Row],[Column2]]="","",INDEX(NOTA[STN],Sheet1!A:A))</f>
        <v>PCS</v>
      </c>
      <c r="Q70" s="5" t="str">
        <f>INDEX([3]!db[QTY B],Table17[[#This Row],[//db]])</f>
        <v>24</v>
      </c>
      <c r="R70" t="str">
        <f>INDEX([3]!db[STN B],Table17[[#This Row],[//db]])</f>
        <v>PCS</v>
      </c>
      <c r="S70" s="40">
        <f>IF(Table17[[#This Row],[Column5]]=0,Table17[[#This Row],[Column23]]/Table17[[#This Row],[Column224]],"")</f>
        <v>0.66666666666666663</v>
      </c>
      <c r="T70" s="4">
        <f>IF(Table17[[#This Row],[Column222]]="",Table17[[#This Row],[Column5]],Table17[[#This Row],[Column222]])</f>
        <v>0.66666666666666663</v>
      </c>
      <c r="U70" s="4" t="str">
        <f>IF(Table17[[#This Row],[Column223]]=Table17[[#This Row],[Column24]],"",1)</f>
        <v/>
      </c>
      <c r="V70" s="5">
        <f>IF(Table17[[#This Row],[isis]]="",IF(Table17[[#This Row],[isin]]="",Table17[[#This Row],[Column2]],Table17[[#This Row],[isin]]),Table17[[#This Row],[isis]])</f>
        <v>16</v>
      </c>
      <c r="W70" s="3" t="str">
        <f>IF(Table17[[#This Row],[isis]]="",IF(Table17[[#This Row],[isin]]="",Table17[[#This Row],[Column22]],Table17[[#This Row],[stnn]]),Table17[[#This Row],[stns]])</f>
        <v>PCS</v>
      </c>
      <c r="X70" s="5">
        <f>IF(Table17[[#This Row],[Column2222]]&lt;1,Table17[[#This Row],[Column23]],Table17[[#This Row],[Column23]]*Table17[[#This Row],[Column2222]])</f>
        <v>16</v>
      </c>
      <c r="Y70" s="3" t="str">
        <f>Table17[[#This Row],[Column24]]</f>
        <v>PCS</v>
      </c>
      <c r="Z70" s="5">
        <f>Table17[[#This Row],[HRG / CTN]]/Table17[[#This Row],[Column23]]</f>
        <v>32500</v>
      </c>
      <c r="AA70" s="42">
        <f>IF(INDEX(NOTA[DISC 1],Sheet1!A:A)=0,"",INDEX(NOTA[DISC 1],Sheet1!A:A))</f>
        <v>0.2</v>
      </c>
      <c r="AB70" s="42" t="str">
        <f>IF(INDEX(NOTA[DISC 2],Sheet1!A:A)=0,"",INDEX(NOTA[DISC 2],Sheet1!A:A))</f>
        <v/>
      </c>
      <c r="AC70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70" s="43">
        <f>INDEX(NOTA[HARGA/ CTN_H],Sheet1!A:A)</f>
        <v>520000</v>
      </c>
      <c r="AE70" s="43">
        <f>IF(Table17[[#This Row],[DISC 3]]="",Table17[[#This Row],[HRG / CTN]],Table17[[#This Row],[HRG / CTN]]-(Table17[[#This Row],[HRG / CTN]]*Table17[[#This Row],[DISC 3]]))</f>
        <v>416000</v>
      </c>
      <c r="AF70" s="14">
        <f>IF(Table17[[#This Row],[Column2222]]&lt;1,Table17[[#This Row],[Column9]],Table17[[#This Row],[Column9]]*Table17[[#This Row],[Column2222]])</f>
        <v>416000</v>
      </c>
      <c r="AG70" s="43" t="str">
        <f ca="1">IF(NOT(AL71=Table17[[#This Row],[Column6]]),SUMIF(Table17[Column6],Table17[[#This Row],[Column6]],Table17[Column7]),"")</f>
        <v/>
      </c>
      <c r="AH70" s="44">
        <f ca="1">INDEX(NOTA[TGL_H],Sheet1!A:A)</f>
        <v>45448</v>
      </c>
      <c r="AI70" s="44">
        <f ca="1">INDEX(NOTA[TGL.NOTA_H],Sheet1!A:A)</f>
        <v>45443</v>
      </c>
      <c r="AK70" t="str">
        <f>IF(INDEX(NOTA[KETERANGAN],A:A)="","",INDEX(NOTA[KETERANGAN],A:A))</f>
        <v/>
      </c>
      <c r="AL70" t="str">
        <f ca="1">INDEX(NOTA[NO.NOTA_H],Sheet1!A:A)</f>
        <v>24/YS/V/105</v>
      </c>
      <c r="AM70">
        <f>INDEX(NOTA[KETERANGAN],Sheet1!A:A)</f>
        <v>0</v>
      </c>
      <c r="AN70" t="str">
        <f ca="1">INDEX(NOTA[SUPPLIER_H],Sheet1!A:A)</f>
        <v>YUSHINCA</v>
      </c>
      <c r="AO70" t="e">
        <f t="shared" ca="1" si="1"/>
        <v>#N/A</v>
      </c>
      <c r="AR70" s="45" t="s">
        <v>172</v>
      </c>
    </row>
    <row r="71" spans="1:44">
      <c r="A71" s="3">
        <v>88</v>
      </c>
      <c r="C71">
        <f>INDEX(NOTA[//DB],Sheet1!A:A)</f>
        <v>894</v>
      </c>
      <c r="D71" t="e">
        <f>MATCH(Table17[[#This Row],[//db]],[3]!Table2[\\],0)</f>
        <v>#N/A</v>
      </c>
      <c r="E71" t="str">
        <f>INDEX([3]!db[NB NOTA],Table17[[#This Row],[//db]])</f>
        <v>DOKUMEN KEEPER DK-60 HITAM</v>
      </c>
      <c r="F71" t="str">
        <f>INDEX([3]!db[NB BM],Table17[[#This Row],[//db]])</f>
        <v>Dokumen Keeper DK-60 Hitam</v>
      </c>
      <c r="G71" t="str">
        <f>_xlfn.IFNA(INDEX([3]!Table2[NAMA],Table17[[#This Row],[dbconcat]]),"")</f>
        <v/>
      </c>
      <c r="H71" t="e">
        <f>INDEX([3]!Table2[KODE BARANG],Table17[[#This Row],[dbconcat]])</f>
        <v>#N/A</v>
      </c>
      <c r="I71" t="str">
        <f>IF(Table17[[#This Row],[Column3]]="",UPPER(Table17[[#This Row],[Column1]]),Table17[[#This Row],[Column3]])</f>
        <v>DOKUMEN KEEPER DK-60 HITAM</v>
      </c>
      <c r="J71">
        <f>INDEX(NOTA[C],Sheet1!A:A)</f>
        <v>2</v>
      </c>
      <c r="K71" t="str">
        <f>IF(OR(Table17[[#This Row],[Column5]]=0,Table17[[#This Row],[Column3]]=""),"",INDEX([3]!Table2[ISI2],Table17[[#This Row],[dbconcat]]))</f>
        <v/>
      </c>
      <c r="L71" t="str">
        <f>IF(Table17[[#This Row],[isis]]="","",INDEX([3]!Table2[SATUAN3],Table17[[#This Row],[dbconcat]]))</f>
        <v/>
      </c>
      <c r="M71" t="str">
        <f>IF(Table17[[#This Row],[Column5]]=0,"",IF(Table17[[#This Row],[Column3]]="",INDEX([3]!db[QTY B],Table17[[#This Row],[//db]]),""))</f>
        <v>24</v>
      </c>
      <c r="N71" t="str">
        <f>IF(Table17[[#This Row],[isin]]="","",INDEX([3]!db[STN B],Table17[[#This Row],[//db]]))</f>
        <v>PCS</v>
      </c>
      <c r="O71" t="str">
        <f>IF(AND(Table17[[#This Row],[isis]]="",Table17[[#This Row],[isin]]=""),INDEX(NOTA[QTY],Sheet1!A:A)/IF(Table17[[#This Row],[Column5]]=0,1,Table17[[#This Row],[Column5]]),"")</f>
        <v/>
      </c>
      <c r="P71" t="str">
        <f>IF(Table17[[#This Row],[Column2]]="","",INDEX(NOTA[STN],Sheet1!A:A))</f>
        <v/>
      </c>
      <c r="Q71" s="5" t="str">
        <f>INDEX([3]!db[QTY B],Table17[[#This Row],[//db]])</f>
        <v>24</v>
      </c>
      <c r="R71" t="str">
        <f>INDEX([3]!db[STN B],Table17[[#This Row],[//db]])</f>
        <v>PCS</v>
      </c>
      <c r="S71" s="40" t="str">
        <f>IF(Table17[[#This Row],[Column5]]=0,Table17[[#This Row],[Column23]]/Table17[[#This Row],[Column224]],"")</f>
        <v/>
      </c>
      <c r="T71" s="4">
        <f>IF(Table17[[#This Row],[Column222]]="",Table17[[#This Row],[Column5]],Table17[[#This Row],[Column222]])</f>
        <v>2</v>
      </c>
      <c r="U71" s="4" t="str">
        <f>IF(Table17[[#This Row],[Column223]]=Table17[[#This Row],[Column24]],"",1)</f>
        <v/>
      </c>
      <c r="V71" s="5" t="str">
        <f>IF(Table17[[#This Row],[isis]]="",IF(Table17[[#This Row],[isin]]="",Table17[[#This Row],[Column2]],Table17[[#This Row],[isin]]),Table17[[#This Row],[isis]])</f>
        <v>24</v>
      </c>
      <c r="W71" s="3" t="str">
        <f>IF(Table17[[#This Row],[isis]]="",IF(Table17[[#This Row],[isin]]="",Table17[[#This Row],[Column22]],Table17[[#This Row],[stnn]]),Table17[[#This Row],[stns]])</f>
        <v>PCS</v>
      </c>
      <c r="X71" s="5">
        <f>IF(Table17[[#This Row],[Column2222]]&lt;1,Table17[[#This Row],[Column23]],Table17[[#This Row],[Column23]]*Table17[[#This Row],[Column2222]])</f>
        <v>48</v>
      </c>
      <c r="Y71" s="3" t="str">
        <f>Table17[[#This Row],[Column24]]</f>
        <v>PCS</v>
      </c>
      <c r="Z71" s="5">
        <f>Table17[[#This Row],[HRG / CTN]]/Table17[[#This Row],[Column23]]</f>
        <v>93750</v>
      </c>
      <c r="AA71" s="42">
        <f>IF(INDEX(NOTA[DISC 1],Sheet1!A:A)=0,"",INDEX(NOTA[DISC 1],Sheet1!A:A))</f>
        <v>0.2</v>
      </c>
      <c r="AB71" s="42" t="str">
        <f>IF(INDEX(NOTA[DISC 2],Sheet1!A:A)=0,"",INDEX(NOTA[DISC 2],Sheet1!A:A))</f>
        <v/>
      </c>
      <c r="AC71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71" s="43">
        <f>INDEX(NOTA[HARGA/ CTN_H],Sheet1!A:A)</f>
        <v>2250000</v>
      </c>
      <c r="AE71" s="43">
        <f>IF(Table17[[#This Row],[DISC 3]]="",Table17[[#This Row],[HRG / CTN]],Table17[[#This Row],[HRG / CTN]]-(Table17[[#This Row],[HRG / CTN]]*Table17[[#This Row],[DISC 3]]))</f>
        <v>1800000</v>
      </c>
      <c r="AF71" s="14">
        <f>IF(Table17[[#This Row],[Column2222]]&lt;1,Table17[[#This Row],[Column9]],Table17[[#This Row],[Column9]]*Table17[[#This Row],[Column2222]])</f>
        <v>3600000</v>
      </c>
      <c r="AG71" s="43" t="str">
        <f ca="1">IF(NOT(AL72=Table17[[#This Row],[Column6]]),SUMIF(Table17[Column6],Table17[[#This Row],[Column6]],Table17[Column7]),"")</f>
        <v/>
      </c>
      <c r="AH71" s="44">
        <f ca="1">INDEX(NOTA[TGL_H],Sheet1!A:A)</f>
        <v>45448</v>
      </c>
      <c r="AI71" s="44">
        <f ca="1">INDEX(NOTA[TGL.NOTA_H],Sheet1!A:A)</f>
        <v>45443</v>
      </c>
      <c r="AK71" t="str">
        <f>IF(INDEX(NOTA[KETERANGAN],A:A)="","",INDEX(NOTA[KETERANGAN],A:A))</f>
        <v/>
      </c>
      <c r="AL71" t="str">
        <f ca="1">INDEX(NOTA[NO.NOTA_H],Sheet1!A:A)</f>
        <v>24/YS/V/105</v>
      </c>
      <c r="AM71">
        <f>INDEX(NOTA[KETERANGAN],Sheet1!A:A)</f>
        <v>0</v>
      </c>
      <c r="AN71" t="str">
        <f ca="1">INDEX(NOTA[SUPPLIER_H],Sheet1!A:A)</f>
        <v>YUSHINCA</v>
      </c>
      <c r="AO71" t="e">
        <f t="shared" ca="1" si="1"/>
        <v>#N/A</v>
      </c>
      <c r="AR71" s="45" t="s">
        <v>172</v>
      </c>
    </row>
    <row r="72" spans="1:44">
      <c r="A72" s="3">
        <v>89</v>
      </c>
      <c r="C72">
        <f>INDEX(NOTA[//DB],Sheet1!A:A)</f>
        <v>894</v>
      </c>
      <c r="D72" t="e">
        <f>MATCH(Table17[[#This Row],[//db]],[3]!Table2[\\],0)</f>
        <v>#N/A</v>
      </c>
      <c r="E72" t="str">
        <f>INDEX([3]!db[NB NOTA],Table17[[#This Row],[//db]])</f>
        <v>DOKUMEN KEEPER DK-60 HITAM</v>
      </c>
      <c r="F72" t="str">
        <f>INDEX([3]!db[NB BM],Table17[[#This Row],[//db]])</f>
        <v>Dokumen Keeper DK-60 Hitam</v>
      </c>
      <c r="G72" t="str">
        <f>_xlfn.IFNA(INDEX([3]!Table2[NAMA],Table17[[#This Row],[dbconcat]]),"")</f>
        <v/>
      </c>
      <c r="H72" t="e">
        <f>INDEX([3]!Table2[KODE BARANG],Table17[[#This Row],[dbconcat]])</f>
        <v>#N/A</v>
      </c>
      <c r="I72" t="str">
        <f>IF(Table17[[#This Row],[Column3]]="",UPPER(Table17[[#This Row],[Column1]]),Table17[[#This Row],[Column3]])</f>
        <v>DOKUMEN KEEPER DK-60 HITAM</v>
      </c>
      <c r="J72">
        <f>INDEX(NOTA[C],Sheet1!A:A)</f>
        <v>0</v>
      </c>
      <c r="K72" t="str">
        <f>IF(OR(Table17[[#This Row],[Column5]]=0,Table17[[#This Row],[Column3]]=""),"",INDEX([3]!Table2[ISI2],Table17[[#This Row],[dbconcat]]))</f>
        <v/>
      </c>
      <c r="L72" t="str">
        <f>IF(Table17[[#This Row],[isis]]="","",INDEX([3]!Table2[SATUAN3],Table17[[#This Row],[dbconcat]]))</f>
        <v/>
      </c>
      <c r="M72" t="str">
        <f>IF(Table17[[#This Row],[Column5]]=0,"",IF(Table17[[#This Row],[Column3]]="",INDEX([3]!db[QTY B],Table17[[#This Row],[//db]]),""))</f>
        <v/>
      </c>
      <c r="N72" t="str">
        <f>IF(Table17[[#This Row],[isin]]="","",INDEX([3]!db[STN B],Table17[[#This Row],[//db]]))</f>
        <v/>
      </c>
      <c r="O72">
        <f>IF(AND(Table17[[#This Row],[isis]]="",Table17[[#This Row],[isin]]=""),INDEX(NOTA[QTY],Sheet1!A:A)/IF(Table17[[#This Row],[Column5]]=0,1,Table17[[#This Row],[Column5]]),"")</f>
        <v>23</v>
      </c>
      <c r="P72" t="str">
        <f>IF(Table17[[#This Row],[Column2]]="","",INDEX(NOTA[STN],Sheet1!A:A))</f>
        <v>PCS</v>
      </c>
      <c r="Q72" s="5" t="str">
        <f>INDEX([3]!db[QTY B],Table17[[#This Row],[//db]])</f>
        <v>24</v>
      </c>
      <c r="R72" t="str">
        <f>INDEX([3]!db[STN B],Table17[[#This Row],[//db]])</f>
        <v>PCS</v>
      </c>
      <c r="S72" s="40">
        <f>IF(Table17[[#This Row],[Column5]]=0,Table17[[#This Row],[Column23]]/Table17[[#This Row],[Column224]],"")</f>
        <v>0.95833333333333337</v>
      </c>
      <c r="T72" s="4">
        <f>IF(Table17[[#This Row],[Column222]]="",Table17[[#This Row],[Column5]],Table17[[#This Row],[Column222]])</f>
        <v>0.95833333333333337</v>
      </c>
      <c r="U72" s="4" t="str">
        <f>IF(Table17[[#This Row],[Column223]]=Table17[[#This Row],[Column24]],"",1)</f>
        <v/>
      </c>
      <c r="V72" s="5">
        <f>IF(Table17[[#This Row],[isis]]="",IF(Table17[[#This Row],[isin]]="",Table17[[#This Row],[Column2]],Table17[[#This Row],[isin]]),Table17[[#This Row],[isis]])</f>
        <v>23</v>
      </c>
      <c r="W72" s="3" t="str">
        <f>IF(Table17[[#This Row],[isis]]="",IF(Table17[[#This Row],[isin]]="",Table17[[#This Row],[Column22]],Table17[[#This Row],[stnn]]),Table17[[#This Row],[stns]])</f>
        <v>PCS</v>
      </c>
      <c r="X72" s="5">
        <f>IF(Table17[[#This Row],[Column2222]]&lt;1,Table17[[#This Row],[Column23]],Table17[[#This Row],[Column23]]*Table17[[#This Row],[Column2222]])</f>
        <v>23</v>
      </c>
      <c r="Y72" s="3" t="str">
        <f>Table17[[#This Row],[Column24]]</f>
        <v>PCS</v>
      </c>
      <c r="Z72" s="5">
        <f>Table17[[#This Row],[HRG / CTN]]/Table17[[#This Row],[Column23]]</f>
        <v>37500</v>
      </c>
      <c r="AA72" s="42">
        <f>IF(INDEX(NOTA[DISC 1],Sheet1!A:A)=0,"",INDEX(NOTA[DISC 1],Sheet1!A:A))</f>
        <v>0.2</v>
      </c>
      <c r="AB72" s="42" t="str">
        <f>IF(INDEX(NOTA[DISC 2],Sheet1!A:A)=0,"",INDEX(NOTA[DISC 2],Sheet1!A:A))</f>
        <v/>
      </c>
      <c r="AC72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72" s="43">
        <f>INDEX(NOTA[HARGA/ CTN_H],Sheet1!A:A)</f>
        <v>862500</v>
      </c>
      <c r="AE72" s="43">
        <f>IF(Table17[[#This Row],[DISC 3]]="",Table17[[#This Row],[HRG / CTN]],Table17[[#This Row],[HRG / CTN]]-(Table17[[#This Row],[HRG / CTN]]*Table17[[#This Row],[DISC 3]]))</f>
        <v>690000</v>
      </c>
      <c r="AF72" s="14">
        <f>IF(Table17[[#This Row],[Column2222]]&lt;1,Table17[[#This Row],[Column9]],Table17[[#This Row],[Column9]]*Table17[[#This Row],[Column2222]])</f>
        <v>690000</v>
      </c>
      <c r="AG72" s="43" t="str">
        <f ca="1">IF(NOT(AL73=Table17[[#This Row],[Column6]]),SUMIF(Table17[Column6],Table17[[#This Row],[Column6]],Table17[Column7]),"")</f>
        <v/>
      </c>
      <c r="AH72" s="44">
        <f ca="1">INDEX(NOTA[TGL_H],Sheet1!A:A)</f>
        <v>45448</v>
      </c>
      <c r="AI72" s="44">
        <f ca="1">INDEX(NOTA[TGL.NOTA_H],Sheet1!A:A)</f>
        <v>45443</v>
      </c>
      <c r="AK72" t="str">
        <f>IF(INDEX(NOTA[KETERANGAN],A:A)="","",INDEX(NOTA[KETERANGAN],A:A))</f>
        <v/>
      </c>
      <c r="AL72" t="str">
        <f ca="1">INDEX(NOTA[NO.NOTA_H],Sheet1!A:A)</f>
        <v>24/YS/V/105</v>
      </c>
      <c r="AM72">
        <f>INDEX(NOTA[KETERANGAN],Sheet1!A:A)</f>
        <v>0</v>
      </c>
      <c r="AN72" t="str">
        <f ca="1">INDEX(NOTA[SUPPLIER_H],Sheet1!A:A)</f>
        <v>YUSHINCA</v>
      </c>
      <c r="AO72" t="e">
        <f t="shared" ca="1" si="1"/>
        <v>#N/A</v>
      </c>
      <c r="AR72" s="45" t="s">
        <v>172</v>
      </c>
    </row>
    <row r="73" spans="1:44">
      <c r="A73" s="3">
        <v>90</v>
      </c>
      <c r="C73">
        <f>INDEX(NOTA[//DB],Sheet1!A:A)</f>
        <v>895</v>
      </c>
      <c r="D73" t="e">
        <f>MATCH(Table17[[#This Row],[//db]],[3]!Table2[\\],0)</f>
        <v>#N/A</v>
      </c>
      <c r="E73" t="str">
        <f>INDEX([3]!db[NB NOTA],Table17[[#This Row],[//db]])</f>
        <v>DOKUMEN KEEPER DK-60 MERAH</v>
      </c>
      <c r="F73" t="str">
        <f>INDEX([3]!db[NB BM],Table17[[#This Row],[//db]])</f>
        <v>Dokumen Keeper DK-60 Merah</v>
      </c>
      <c r="G73" t="str">
        <f>_xlfn.IFNA(INDEX([3]!Table2[NAMA],Table17[[#This Row],[dbconcat]]),"")</f>
        <v/>
      </c>
      <c r="H73" t="e">
        <f>INDEX([3]!Table2[KODE BARANG],Table17[[#This Row],[dbconcat]])</f>
        <v>#N/A</v>
      </c>
      <c r="I73" t="str">
        <f>IF(Table17[[#This Row],[Column3]]="",UPPER(Table17[[#This Row],[Column1]]),Table17[[#This Row],[Column3]])</f>
        <v>DOKUMEN KEEPER DK-60 MERAH</v>
      </c>
      <c r="J73">
        <f>INDEX(NOTA[C],Sheet1!A:A)</f>
        <v>2</v>
      </c>
      <c r="K73" t="str">
        <f>IF(OR(Table17[[#This Row],[Column5]]=0,Table17[[#This Row],[Column3]]=""),"",INDEX([3]!Table2[ISI2],Table17[[#This Row],[dbconcat]]))</f>
        <v/>
      </c>
      <c r="L73" t="str">
        <f>IF(Table17[[#This Row],[isis]]="","",INDEX([3]!Table2[SATUAN3],Table17[[#This Row],[dbconcat]]))</f>
        <v/>
      </c>
      <c r="M73" t="str">
        <f>IF(Table17[[#This Row],[Column5]]=0,"",IF(Table17[[#This Row],[Column3]]="",INDEX([3]!db[QTY B],Table17[[#This Row],[//db]]),""))</f>
        <v>24</v>
      </c>
      <c r="N73" t="str">
        <f>IF(Table17[[#This Row],[isin]]="","",INDEX([3]!db[STN B],Table17[[#This Row],[//db]]))</f>
        <v>PCS</v>
      </c>
      <c r="O73" t="str">
        <f>IF(AND(Table17[[#This Row],[isis]]="",Table17[[#This Row],[isin]]=""),INDEX(NOTA[QTY],Sheet1!A:A)/IF(Table17[[#This Row],[Column5]]=0,1,Table17[[#This Row],[Column5]]),"")</f>
        <v/>
      </c>
      <c r="P73" t="str">
        <f>IF(Table17[[#This Row],[Column2]]="","",INDEX(NOTA[STN],Sheet1!A:A))</f>
        <v/>
      </c>
      <c r="Q73" s="5" t="str">
        <f>INDEX([3]!db[QTY B],Table17[[#This Row],[//db]])</f>
        <v>24</v>
      </c>
      <c r="R73" t="str">
        <f>INDEX([3]!db[STN B],Table17[[#This Row],[//db]])</f>
        <v>PCS</v>
      </c>
      <c r="S73" s="40" t="str">
        <f>IF(Table17[[#This Row],[Column5]]=0,Table17[[#This Row],[Column23]]/Table17[[#This Row],[Column224]],"")</f>
        <v/>
      </c>
      <c r="T73" s="4">
        <f>IF(Table17[[#This Row],[Column222]]="",Table17[[#This Row],[Column5]],Table17[[#This Row],[Column222]])</f>
        <v>2</v>
      </c>
      <c r="U73" s="4" t="str">
        <f>IF(Table17[[#This Row],[Column223]]=Table17[[#This Row],[Column24]],"",1)</f>
        <v/>
      </c>
      <c r="V73" s="5" t="str">
        <f>IF(Table17[[#This Row],[isis]]="",IF(Table17[[#This Row],[isin]]="",Table17[[#This Row],[Column2]],Table17[[#This Row],[isin]]),Table17[[#This Row],[isis]])</f>
        <v>24</v>
      </c>
      <c r="W73" s="3" t="str">
        <f>IF(Table17[[#This Row],[isis]]="",IF(Table17[[#This Row],[isin]]="",Table17[[#This Row],[Column22]],Table17[[#This Row],[stnn]]),Table17[[#This Row],[stns]])</f>
        <v>PCS</v>
      </c>
      <c r="X73" s="5">
        <f>IF(Table17[[#This Row],[Column2222]]&lt;1,Table17[[#This Row],[Column23]],Table17[[#This Row],[Column23]]*Table17[[#This Row],[Column2222]])</f>
        <v>48</v>
      </c>
      <c r="Y73" s="3" t="str">
        <f>Table17[[#This Row],[Column24]]</f>
        <v>PCS</v>
      </c>
      <c r="Z73" s="5">
        <f>Table17[[#This Row],[HRG / CTN]]/Table17[[#This Row],[Column23]]</f>
        <v>37500</v>
      </c>
      <c r="AA73" s="42">
        <f>IF(INDEX(NOTA[DISC 1],Sheet1!A:A)=0,"",INDEX(NOTA[DISC 1],Sheet1!A:A))</f>
        <v>0.2</v>
      </c>
      <c r="AB73" s="42" t="str">
        <f>IF(INDEX(NOTA[DISC 2],Sheet1!A:A)=0,"",INDEX(NOTA[DISC 2],Sheet1!A:A))</f>
        <v/>
      </c>
      <c r="AC73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73" s="43">
        <f>INDEX(NOTA[HARGA/ CTN_H],Sheet1!A:A)</f>
        <v>900000</v>
      </c>
      <c r="AE73" s="43">
        <f>IF(Table17[[#This Row],[DISC 3]]="",Table17[[#This Row],[HRG / CTN]],Table17[[#This Row],[HRG / CTN]]-(Table17[[#This Row],[HRG / CTN]]*Table17[[#This Row],[DISC 3]]))</f>
        <v>720000</v>
      </c>
      <c r="AF73" s="14">
        <f>IF(Table17[[#This Row],[Column2222]]&lt;1,Table17[[#This Row],[Column9]],Table17[[#This Row],[Column9]]*Table17[[#This Row],[Column2222]])</f>
        <v>1440000</v>
      </c>
      <c r="AG73" s="43" t="str">
        <f ca="1">IF(NOT(AL74=Table17[[#This Row],[Column6]]),SUMIF(Table17[Column6],Table17[[#This Row],[Column6]],Table17[Column7]),"")</f>
        <v/>
      </c>
      <c r="AH73" s="44">
        <f ca="1">INDEX(NOTA[TGL_H],Sheet1!A:A)</f>
        <v>45448</v>
      </c>
      <c r="AI73" s="44">
        <f ca="1">INDEX(NOTA[TGL.NOTA_H],Sheet1!A:A)</f>
        <v>45443</v>
      </c>
      <c r="AK73" t="str">
        <f>IF(INDEX(NOTA[KETERANGAN],A:A)="","",INDEX(NOTA[KETERANGAN],A:A))</f>
        <v/>
      </c>
      <c r="AL73" t="str">
        <f ca="1">INDEX(NOTA[NO.NOTA_H],Sheet1!A:A)</f>
        <v>24/YS/V/105</v>
      </c>
      <c r="AM73">
        <f>INDEX(NOTA[KETERANGAN],Sheet1!A:A)</f>
        <v>0</v>
      </c>
      <c r="AN73" t="str">
        <f ca="1">INDEX(NOTA[SUPPLIER_H],Sheet1!A:A)</f>
        <v>YUSHINCA</v>
      </c>
      <c r="AO73" t="e">
        <f t="shared" ca="1" si="1"/>
        <v>#N/A</v>
      </c>
      <c r="AR73" s="45" t="s">
        <v>172</v>
      </c>
    </row>
    <row r="74" spans="1:44">
      <c r="A74" s="3">
        <v>91</v>
      </c>
      <c r="C74">
        <f>INDEX(NOTA[//DB],Sheet1!A:A)</f>
        <v>895</v>
      </c>
      <c r="D74" t="e">
        <f>MATCH(Table17[[#This Row],[//db]],[3]!Table2[\\],0)</f>
        <v>#N/A</v>
      </c>
      <c r="E74" t="str">
        <f>INDEX([3]!db[NB NOTA],Table17[[#This Row],[//db]])</f>
        <v>DOKUMEN KEEPER DK-60 MERAH</v>
      </c>
      <c r="F74" t="str">
        <f>INDEX([3]!db[NB BM],Table17[[#This Row],[//db]])</f>
        <v>Dokumen Keeper DK-60 Merah</v>
      </c>
      <c r="G74" t="str">
        <f>_xlfn.IFNA(INDEX([3]!Table2[NAMA],Table17[[#This Row],[dbconcat]]),"")</f>
        <v/>
      </c>
      <c r="H74" t="e">
        <f>INDEX([3]!Table2[KODE BARANG],Table17[[#This Row],[dbconcat]])</f>
        <v>#N/A</v>
      </c>
      <c r="I74" t="str">
        <f>IF(Table17[[#This Row],[Column3]]="",UPPER(Table17[[#This Row],[Column1]]),Table17[[#This Row],[Column3]])</f>
        <v>DOKUMEN KEEPER DK-60 MERAH</v>
      </c>
      <c r="J74">
        <f>INDEX(NOTA[C],Sheet1!A:A)</f>
        <v>0</v>
      </c>
      <c r="K74" t="str">
        <f>IF(OR(Table17[[#This Row],[Column5]]=0,Table17[[#This Row],[Column3]]=""),"",INDEX([3]!Table2[ISI2],Table17[[#This Row],[dbconcat]]))</f>
        <v/>
      </c>
      <c r="L74" t="str">
        <f>IF(Table17[[#This Row],[isis]]="","",INDEX([3]!Table2[SATUAN3],Table17[[#This Row],[dbconcat]]))</f>
        <v/>
      </c>
      <c r="M74" t="str">
        <f>IF(Table17[[#This Row],[Column5]]=0,"",IF(Table17[[#This Row],[Column3]]="",INDEX([3]!db[QTY B],Table17[[#This Row],[//db]]),""))</f>
        <v/>
      </c>
      <c r="N74" t="str">
        <f>IF(Table17[[#This Row],[isin]]="","",INDEX([3]!db[STN B],Table17[[#This Row],[//db]]))</f>
        <v/>
      </c>
      <c r="O74">
        <f>IF(AND(Table17[[#This Row],[isis]]="",Table17[[#This Row],[isin]]=""),INDEX(NOTA[QTY],Sheet1!A:A)/IF(Table17[[#This Row],[Column5]]=0,1,Table17[[#This Row],[Column5]]),"")</f>
        <v>20</v>
      </c>
      <c r="P74" t="str">
        <f>IF(Table17[[#This Row],[Column2]]="","",INDEX(NOTA[STN],Sheet1!A:A))</f>
        <v>PCS</v>
      </c>
      <c r="Q74" s="5" t="str">
        <f>INDEX([3]!db[QTY B],Table17[[#This Row],[//db]])</f>
        <v>24</v>
      </c>
      <c r="R74" t="str">
        <f>INDEX([3]!db[STN B],Table17[[#This Row],[//db]])</f>
        <v>PCS</v>
      </c>
      <c r="S74" s="40">
        <f>IF(Table17[[#This Row],[Column5]]=0,Table17[[#This Row],[Column23]]/Table17[[#This Row],[Column224]],"")</f>
        <v>0.83333333333333337</v>
      </c>
      <c r="T74" s="4">
        <f>IF(Table17[[#This Row],[Column222]]="",Table17[[#This Row],[Column5]],Table17[[#This Row],[Column222]])</f>
        <v>0.83333333333333337</v>
      </c>
      <c r="U74" s="4" t="str">
        <f>IF(Table17[[#This Row],[Column223]]=Table17[[#This Row],[Column24]],"",1)</f>
        <v/>
      </c>
      <c r="V74" s="5">
        <f>IF(Table17[[#This Row],[isis]]="",IF(Table17[[#This Row],[isin]]="",Table17[[#This Row],[Column2]],Table17[[#This Row],[isin]]),Table17[[#This Row],[isis]])</f>
        <v>20</v>
      </c>
      <c r="W74" s="3" t="str">
        <f>IF(Table17[[#This Row],[isis]]="",IF(Table17[[#This Row],[isin]]="",Table17[[#This Row],[Column22]],Table17[[#This Row],[stnn]]),Table17[[#This Row],[stns]])</f>
        <v>PCS</v>
      </c>
      <c r="X74" s="5">
        <f>IF(Table17[[#This Row],[Column2222]]&lt;1,Table17[[#This Row],[Column23]],Table17[[#This Row],[Column23]]*Table17[[#This Row],[Column2222]])</f>
        <v>20</v>
      </c>
      <c r="Y74" s="3" t="str">
        <f>Table17[[#This Row],[Column24]]</f>
        <v>PCS</v>
      </c>
      <c r="Z74" s="5">
        <f>Table17[[#This Row],[HRG / CTN]]/Table17[[#This Row],[Column23]]</f>
        <v>37500</v>
      </c>
      <c r="AA74" s="42">
        <f>IF(INDEX(NOTA[DISC 1],Sheet1!A:A)=0,"",INDEX(NOTA[DISC 1],Sheet1!A:A))</f>
        <v>0.2</v>
      </c>
      <c r="AB74" s="42" t="str">
        <f>IF(INDEX(NOTA[DISC 2],Sheet1!A:A)=0,"",INDEX(NOTA[DISC 2],Sheet1!A:A))</f>
        <v/>
      </c>
      <c r="AC74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74" s="43">
        <f>INDEX(NOTA[HARGA/ CTN_H],Sheet1!A:A)</f>
        <v>750000</v>
      </c>
      <c r="AE74" s="43">
        <f>IF(Table17[[#This Row],[DISC 3]]="",Table17[[#This Row],[HRG / CTN]],Table17[[#This Row],[HRG / CTN]]-(Table17[[#This Row],[HRG / CTN]]*Table17[[#This Row],[DISC 3]]))</f>
        <v>600000</v>
      </c>
      <c r="AF74" s="14">
        <f>IF(Table17[[#This Row],[Column2222]]&lt;1,Table17[[#This Row],[Column9]],Table17[[#This Row],[Column9]]*Table17[[#This Row],[Column2222]])</f>
        <v>600000</v>
      </c>
      <c r="AG74" s="43">
        <f ca="1">IF(NOT(AL75=Table17[[#This Row],[Column6]]),SUMIF(Table17[Column6],Table17[[#This Row],[Column6]],Table17[Column7]),"")</f>
        <v>11322000</v>
      </c>
      <c r="AH74" s="44">
        <f ca="1">INDEX(NOTA[TGL_H],Sheet1!A:A)</f>
        <v>45448</v>
      </c>
      <c r="AI74" s="44">
        <f ca="1">INDEX(NOTA[TGL.NOTA_H],Sheet1!A:A)</f>
        <v>45443</v>
      </c>
      <c r="AK74" t="str">
        <f>IF(INDEX(NOTA[KETERANGAN],A:A)="","",INDEX(NOTA[KETERANGAN],A:A))</f>
        <v/>
      </c>
      <c r="AL74" t="str">
        <f ca="1">INDEX(NOTA[NO.NOTA_H],Sheet1!A:A)</f>
        <v>24/YS/V/105</v>
      </c>
      <c r="AM74">
        <f>INDEX(NOTA[KETERANGAN],Sheet1!A:A)</f>
        <v>0</v>
      </c>
      <c r="AN74" t="str">
        <f ca="1">INDEX(NOTA[SUPPLIER_H],Sheet1!A:A)</f>
        <v>YUSHINCA</v>
      </c>
      <c r="AO74" t="e">
        <f t="shared" ref="AO74:AO76" ca="1" si="2">MATCH(AL:AL,AR:AR,0)</f>
        <v>#N/A</v>
      </c>
      <c r="AR74" s="45" t="s">
        <v>172</v>
      </c>
    </row>
    <row r="75" spans="1:44">
      <c r="A75" s="3">
        <v>93</v>
      </c>
      <c r="C75">
        <f>INDEX(NOTA[//DB],Sheet1!A:A)</f>
        <v>649</v>
      </c>
      <c r="D75">
        <f>MATCH(Table17[[#This Row],[//db]],[3]!Table2[\\],0)</f>
        <v>858</v>
      </c>
      <c r="E75" t="str">
        <f>INDEX([3]!db[NB NOTA],Table17[[#This Row],[//db]])</f>
        <v>CAT AIR OPINI 110@216</v>
      </c>
      <c r="F75" t="str">
        <f>INDEX([3]!db[NB BM],Table17[[#This Row],[//db]])</f>
        <v>Cat air Opini 110</v>
      </c>
      <c r="G75" t="str">
        <f>_xlfn.IFNA(INDEX([3]!Table2[NAMA],Table17[[#This Row],[dbconcat]]),"")</f>
        <v>CAT AIR OPINI 110</v>
      </c>
      <c r="H75" t="str">
        <f>INDEX([3]!Table2[KODE BARANG],Table17[[#This Row],[dbconcat]])</f>
        <v>CAT-OP5</v>
      </c>
      <c r="I75" t="str">
        <f>IF(Table17[[#This Row],[Column3]]="",UPPER(Table17[[#This Row],[Column1]]),Table17[[#This Row],[Column3]])</f>
        <v>CAT AIR OPINI 110</v>
      </c>
      <c r="J75">
        <f>INDEX(NOTA[C],Sheet1!A:A)</f>
        <v>20</v>
      </c>
      <c r="K75">
        <f>IF(OR(Table17[[#This Row],[Column5]]=0,Table17[[#This Row],[Column3]]=""),"",INDEX([3]!Table2[ISI2],Table17[[#This Row],[dbconcat]]))</f>
        <v>18</v>
      </c>
      <c r="L75" t="str">
        <f>IF(Table17[[#This Row],[isis]]="","",INDEX([3]!Table2[SATUAN3],Table17[[#This Row],[dbconcat]]))</f>
        <v>LSN</v>
      </c>
      <c r="M75" t="str">
        <f>IF(Table17[[#This Row],[Column5]]=0,"",IF(Table17[[#This Row],[Column3]]="",INDEX([3]!db[QTY B],Table17[[#This Row],[//db]]),""))</f>
        <v/>
      </c>
      <c r="N75" t="str">
        <f>IF(Table17[[#This Row],[isin]]="","",INDEX([3]!db[STN B],Table17[[#This Row],[//db]]))</f>
        <v/>
      </c>
      <c r="O75" t="str">
        <f>IF(AND(Table17[[#This Row],[isis]]="",Table17[[#This Row],[isin]]=""),INDEX(NOTA[QTY],Sheet1!A:A)/IF(Table17[[#This Row],[Column5]]=0,1,Table17[[#This Row],[Column5]]),"")</f>
        <v/>
      </c>
      <c r="P75" t="str">
        <f>IF(Table17[[#This Row],[Column2]]="","",INDEX(NOTA[STN],Sheet1!A:A))</f>
        <v/>
      </c>
      <c r="Q75" s="5" t="str">
        <f>INDEX([3]!db[QTY B],Table17[[#This Row],[//db]])</f>
        <v>216</v>
      </c>
      <c r="R75" t="str">
        <f>INDEX([3]!db[STN B],Table17[[#This Row],[//db]])</f>
        <v>PCS</v>
      </c>
      <c r="S75" s="40" t="str">
        <f>IF(Table17[[#This Row],[Column5]]=0,Table17[[#This Row],[Column23]]/Table17[[#This Row],[Column224]],"")</f>
        <v/>
      </c>
      <c r="T75" s="4">
        <f>IF(Table17[[#This Row],[Column222]]="",Table17[[#This Row],[Column5]],Table17[[#This Row],[Column222]])</f>
        <v>20</v>
      </c>
      <c r="U75" s="4">
        <f>IF(Table17[[#This Row],[Column223]]=Table17[[#This Row],[Column24]],"",1)</f>
        <v>1</v>
      </c>
      <c r="V75" s="5">
        <f>IF(Table17[[#This Row],[isis]]="",IF(Table17[[#This Row],[isin]]="",Table17[[#This Row],[Column2]],Table17[[#This Row],[isin]]),Table17[[#This Row],[isis]])</f>
        <v>18</v>
      </c>
      <c r="W75" s="3" t="str">
        <f>IF(Table17[[#This Row],[isis]]="",IF(Table17[[#This Row],[isin]]="",Table17[[#This Row],[Column22]],Table17[[#This Row],[stnn]]),Table17[[#This Row],[stns]])</f>
        <v>LSN</v>
      </c>
      <c r="X75" s="5">
        <f>IF(Table17[[#This Row],[Column2222]]&lt;1,Table17[[#This Row],[Column23]],Table17[[#This Row],[Column23]]*Table17[[#This Row],[Column2222]])</f>
        <v>360</v>
      </c>
      <c r="Y75" s="3" t="str">
        <f>Table17[[#This Row],[Column24]]</f>
        <v>LSN</v>
      </c>
      <c r="Z75" s="5">
        <f>Table17[[#This Row],[HRG / CTN]]/Table17[[#This Row],[Column23]]</f>
        <v>112800</v>
      </c>
      <c r="AA75" s="42">
        <f>IF(INDEX(NOTA[DISC 1],Sheet1!A:A)=0,"",INDEX(NOTA[DISC 1],Sheet1!A:A))</f>
        <v>0.2</v>
      </c>
      <c r="AB75" s="42">
        <f>IF(INDEX(NOTA[DISC 2],Sheet1!A:A)=0,"",INDEX(NOTA[DISC 2],Sheet1!A:A))</f>
        <v>2.5000000000000001E-2</v>
      </c>
      <c r="AC75" s="42">
        <f>IF(Table17[[#This Row],[DISC 1]]="","",IF(Table17[[#This Row],[DISC 2]]="",Table17[[#This Row],[DISC 1]],Table17[[#This Row],[DISC 1]]+Table17[[#This Row],[DISC 2]]-(Table17[[#This Row],[DISC 1]]*Table17[[#This Row],[DISC 2]])))</f>
        <v>0.22</v>
      </c>
      <c r="AD75" s="43">
        <f>INDEX(NOTA[HARGA/ CTN_H],Sheet1!A:A)</f>
        <v>2030400</v>
      </c>
      <c r="AE75" s="43">
        <f>IF(Table17[[#This Row],[DISC 3]]="",Table17[[#This Row],[HRG / CTN]],Table17[[#This Row],[HRG / CTN]]-(Table17[[#This Row],[HRG / CTN]]*Table17[[#This Row],[DISC 3]]))</f>
        <v>1583712</v>
      </c>
      <c r="AF75" s="14">
        <f>IF(Table17[[#This Row],[Column2222]]&lt;1,Table17[[#This Row],[Column9]],Table17[[#This Row],[Column9]]*Table17[[#This Row],[Column2222]])</f>
        <v>31674240</v>
      </c>
      <c r="AG75" s="43" t="str">
        <f ca="1">IF(NOT(AL76=Table17[[#This Row],[Column6]]),SUMIF(Table17[Column6],Table17[[#This Row],[Column6]],Table17[Column7]),"")</f>
        <v/>
      </c>
      <c r="AH75" s="44">
        <f ca="1">INDEX(NOTA[TGL_H],Sheet1!A:A)</f>
        <v>45449</v>
      </c>
      <c r="AI75" s="44">
        <f ca="1">INDEX(NOTA[TGL.NOTA_H],Sheet1!A:A)</f>
        <v>45446</v>
      </c>
      <c r="AK75" t="str">
        <f>IF(INDEX(NOTA[KETERANGAN],A:A)="","",INDEX(NOTA[KETERANGAN],A:A))</f>
        <v/>
      </c>
      <c r="AL75" t="str">
        <f ca="1">INDEX(NOTA[NO.NOTA_H],Sheet1!A:A)</f>
        <v>F24F000020</v>
      </c>
      <c r="AM75">
        <f>INDEX(NOTA[KETERANGAN],Sheet1!A:A)</f>
        <v>0</v>
      </c>
      <c r="AN75" t="str">
        <f ca="1">INDEX(NOTA[SUPPLIER_H],Sheet1!A:A)</f>
        <v>SURYA PRATAMA</v>
      </c>
      <c r="AO75" t="e">
        <f t="shared" ca="1" si="2"/>
        <v>#N/A</v>
      </c>
      <c r="AR75" s="45" t="s">
        <v>172</v>
      </c>
    </row>
    <row r="76" spans="1:44" s="49" customFormat="1">
      <c r="A76" s="51">
        <v>94</v>
      </c>
      <c r="C76" s="49">
        <f>INDEX(NOTA[//DB],Sheet1!A:A)</f>
        <v>650</v>
      </c>
      <c r="D76" s="49">
        <f>MATCH(Table17[[#This Row],[//db]],[3]!Table2[\\],0)</f>
        <v>859</v>
      </c>
      <c r="E76" s="49" t="str">
        <f>INDEX([3]!db[NB NOTA],Table17[[#This Row],[//db]])</f>
        <v>CAT AIR OPINI 120 @144</v>
      </c>
      <c r="F76" s="49" t="str">
        <f>INDEX([3]!db[NB BM],Table17[[#This Row],[//db]])</f>
        <v>Cat air Opini 120</v>
      </c>
      <c r="G76" s="49" t="str">
        <f>_xlfn.IFNA(INDEX([3]!Table2[NAMA],Table17[[#This Row],[dbconcat]]),"")</f>
        <v>CAT AIR OPINI 120</v>
      </c>
      <c r="H76" s="49" t="str">
        <f>INDEX([3]!Table2[KODE BARANG],Table17[[#This Row],[dbconcat]])</f>
        <v>CAT-OP6</v>
      </c>
      <c r="I76" s="49" t="str">
        <f>IF(Table17[[#This Row],[Column3]]="",UPPER(Table17[[#This Row],[Column1]]),Table17[[#This Row],[Column3]])</f>
        <v>CAT AIR OPINI 120</v>
      </c>
      <c r="J76" s="49">
        <f>INDEX(NOTA[C],Sheet1!A:A)</f>
        <v>10</v>
      </c>
      <c r="K76" s="49">
        <f>IF(OR(Table17[[#This Row],[Column5]]=0,Table17[[#This Row],[Column3]]=""),"",INDEX([3]!Table2[ISI2],Table17[[#This Row],[dbconcat]]))</f>
        <v>12</v>
      </c>
      <c r="L76" s="49" t="str">
        <f>IF(Table17[[#This Row],[isis]]="","",INDEX([3]!Table2[SATUAN3],Table17[[#This Row],[dbconcat]]))</f>
        <v>LSN</v>
      </c>
      <c r="M76" s="49" t="str">
        <f>IF(Table17[[#This Row],[Column5]]=0,"",IF(Table17[[#This Row],[Column3]]="",INDEX([3]!db[QTY B],Table17[[#This Row],[//db]]),""))</f>
        <v/>
      </c>
      <c r="N76" s="49" t="str">
        <f>IF(Table17[[#This Row],[isin]]="","",INDEX([3]!db[STN B],Table17[[#This Row],[//db]]))</f>
        <v/>
      </c>
      <c r="O76" s="49" t="str">
        <f>IF(AND(Table17[[#This Row],[isis]]="",Table17[[#This Row],[isin]]=""),INDEX(NOTA[QTY],Sheet1!A:A)/IF(Table17[[#This Row],[Column5]]=0,1,Table17[[#This Row],[Column5]]),"")</f>
        <v/>
      </c>
      <c r="P76" s="49" t="str">
        <f>IF(Table17[[#This Row],[Column2]]="","",INDEX(NOTA[STN],Sheet1!A:A))</f>
        <v/>
      </c>
      <c r="Q76" s="52" t="str">
        <f>INDEX([3]!db[QTY B],Table17[[#This Row],[//db]])</f>
        <v>144</v>
      </c>
      <c r="R76" s="49" t="str">
        <f>INDEX([3]!db[STN B],Table17[[#This Row],[//db]])</f>
        <v>PCS</v>
      </c>
      <c r="S76" s="53" t="str">
        <f>IF(Table17[[#This Row],[Column5]]=0,Table17[[#This Row],[Column23]]/Table17[[#This Row],[Column224]],"")</f>
        <v/>
      </c>
      <c r="T76" s="54">
        <f>IF(Table17[[#This Row],[Column222]]="",Table17[[#This Row],[Column5]],Table17[[#This Row],[Column222]])</f>
        <v>10</v>
      </c>
      <c r="U76" s="54">
        <f>IF(Table17[[#This Row],[Column223]]=Table17[[#This Row],[Column24]],"",1)</f>
        <v>1</v>
      </c>
      <c r="V76" s="52">
        <f>IF(Table17[[#This Row],[isis]]="",IF(Table17[[#This Row],[isin]]="",Table17[[#This Row],[Column2]],Table17[[#This Row],[isin]]),Table17[[#This Row],[isis]])</f>
        <v>12</v>
      </c>
      <c r="W76" s="51" t="str">
        <f>IF(Table17[[#This Row],[isis]]="",IF(Table17[[#This Row],[isin]]="",Table17[[#This Row],[Column22]],Table17[[#This Row],[stnn]]),Table17[[#This Row],[stns]])</f>
        <v>LSN</v>
      </c>
      <c r="X76" s="52">
        <f>IF(Table17[[#This Row],[Column2222]]&lt;1,Table17[[#This Row],[Column23]],Table17[[#This Row],[Column23]]*Table17[[#This Row],[Column2222]])</f>
        <v>120</v>
      </c>
      <c r="Y76" s="51" t="str">
        <f>Table17[[#This Row],[Column24]]</f>
        <v>LSN</v>
      </c>
      <c r="Z76" s="52">
        <f>Table17[[#This Row],[HRG / CTN]]/Table17[[#This Row],[Column23]]</f>
        <v>119040</v>
      </c>
      <c r="AA76" s="55">
        <f>IF(INDEX(NOTA[DISC 1],Sheet1!A:A)=0,"",INDEX(NOTA[DISC 1],Sheet1!A:A))</f>
        <v>0.2</v>
      </c>
      <c r="AB76" s="55">
        <f>IF(INDEX(NOTA[DISC 2],Sheet1!A:A)=0,"",INDEX(NOTA[DISC 2],Sheet1!A:A))</f>
        <v>2.5000000000000001E-2</v>
      </c>
      <c r="AC76" s="55">
        <f>IF(Table17[[#This Row],[DISC 1]]="","",IF(Table17[[#This Row],[DISC 2]]="",Table17[[#This Row],[DISC 1]],Table17[[#This Row],[DISC 1]]+Table17[[#This Row],[DISC 2]]-(Table17[[#This Row],[DISC 1]]*Table17[[#This Row],[DISC 2]])))</f>
        <v>0.22</v>
      </c>
      <c r="AD76" s="56">
        <f>INDEX(NOTA[HARGA/ CTN_H],Sheet1!A:A)</f>
        <v>1428480</v>
      </c>
      <c r="AE76" s="56">
        <f>IF(Table17[[#This Row],[DISC 3]]="",Table17[[#This Row],[HRG / CTN]],Table17[[#This Row],[HRG / CTN]]-(Table17[[#This Row],[HRG / CTN]]*Table17[[#This Row],[DISC 3]]))</f>
        <v>1114214.3999999999</v>
      </c>
      <c r="AF76" s="57">
        <f>IF(Table17[[#This Row],[Column2222]]&lt;1,Table17[[#This Row],[Column9]],Table17[[#This Row],[Column9]]*Table17[[#This Row],[Column2222]])</f>
        <v>11142144</v>
      </c>
      <c r="AG76" s="56">
        <f ca="1">IF(NOT(AL77=Table17[[#This Row],[Column6]]),SUMIF(Table17[Column6],Table17[[#This Row],[Column6]],Table17[Column7]),"")</f>
        <v>42816384</v>
      </c>
      <c r="AH76" s="58">
        <f ca="1">INDEX(NOTA[TGL_H],Sheet1!A:A)</f>
        <v>45449</v>
      </c>
      <c r="AI76" s="58">
        <f ca="1">INDEX(NOTA[TGL.NOTA_H],Sheet1!A:A)</f>
        <v>45446</v>
      </c>
      <c r="AJ76" s="59"/>
      <c r="AK76" s="49" t="str">
        <f>IF(INDEX(NOTA[KETERANGAN],A:A)="","",INDEX(NOTA[KETERANGAN],A:A))</f>
        <v/>
      </c>
      <c r="AL76" s="49" t="str">
        <f ca="1">INDEX(NOTA[NO.NOTA_H],Sheet1!A:A)</f>
        <v>F24F000020</v>
      </c>
      <c r="AM76" s="49">
        <f>INDEX(NOTA[KETERANGAN],Sheet1!A:A)</f>
        <v>0</v>
      </c>
      <c r="AN76" s="49" t="str">
        <f ca="1">INDEX(NOTA[SUPPLIER_H],Sheet1!A:A)</f>
        <v>SURYA PRATAMA</v>
      </c>
      <c r="AO76" s="49" t="e">
        <f t="shared" ca="1" si="2"/>
        <v>#N/A</v>
      </c>
      <c r="AR76" s="50" t="s">
        <v>174</v>
      </c>
    </row>
    <row r="77" spans="1:44">
      <c r="A77" s="3">
        <v>96</v>
      </c>
      <c r="C77">
        <f>INDEX(NOTA[//DB],Sheet1!A:A)</f>
        <v>26</v>
      </c>
      <c r="D77">
        <f>MATCH(Table17[[#This Row],[//db]],[3]!Table2[\\],0)</f>
        <v>863</v>
      </c>
      <c r="E77" t="str">
        <f>INDEX([3]!db[NB NOTA],Table17[[#This Row],[//db]])</f>
        <v>ACRYLIC COLOUR TF-AC-004N (12 X 6 ML) NEON</v>
      </c>
      <c r="F77" t="str">
        <f>INDEX([3]!db[NB BM],Table17[[#This Row],[//db]])</f>
        <v>CAT ACRYLIC COLOUR TF AC-004N NEON</v>
      </c>
      <c r="G77" t="str">
        <f>_xlfn.IFNA(INDEX([3]!Table2[NAMA],Table17[[#This Row],[dbconcat]]),"")</f>
        <v>CAT ACRYLIC COLOUR TF AC-004N NEON</v>
      </c>
      <c r="H77" t="str">
        <f>INDEX([3]!Table2[KODE BARANG],Table17[[#This Row],[dbconcat]])</f>
        <v>CAT-TF13</v>
      </c>
      <c r="I77" t="str">
        <f>IF(Table17[[#This Row],[Column3]]="",UPPER(Table17[[#This Row],[Column1]]),Table17[[#This Row],[Column3]])</f>
        <v>CAT ACRYLIC COLOUR TF AC-004N NEON</v>
      </c>
      <c r="J77">
        <f>INDEX(NOTA[C],Sheet1!A:A)</f>
        <v>4</v>
      </c>
      <c r="K77">
        <f>IF(OR(Table17[[#This Row],[Column5]]=0,Table17[[#This Row],[Column3]]=""),"",INDEX([3]!Table2[ISI2],Table17[[#This Row],[dbconcat]]))</f>
        <v>6</v>
      </c>
      <c r="L77" t="str">
        <f>IF(Table17[[#This Row],[isis]]="","",INDEX([3]!Table2[SATUAN3],Table17[[#This Row],[dbconcat]]))</f>
        <v>LSN</v>
      </c>
      <c r="M77" t="str">
        <f>IF(Table17[[#This Row],[Column5]]=0,"",IF(Table17[[#This Row],[Column3]]="",INDEX([3]!db[QTY B],Table17[[#This Row],[//db]]),""))</f>
        <v/>
      </c>
      <c r="N77" t="str">
        <f>IF(Table17[[#This Row],[isin]]="","",INDEX([3]!db[STN B],Table17[[#This Row],[//db]]))</f>
        <v/>
      </c>
      <c r="O77" t="str">
        <f>IF(AND(Table17[[#This Row],[isis]]="",Table17[[#This Row],[isin]]=""),INDEX(NOTA[QTY],Sheet1!A:A)/IF(Table17[[#This Row],[Column5]]=0,1,Table17[[#This Row],[Column5]]),"")</f>
        <v/>
      </c>
      <c r="P77" t="str">
        <f>IF(Table17[[#This Row],[Column2]]="","",INDEX(NOTA[STN],Sheet1!A:A))</f>
        <v/>
      </c>
      <c r="Q77" s="5" t="str">
        <f>INDEX([3]!db[QTY B],Table17[[#This Row],[//db]])</f>
        <v>72</v>
      </c>
      <c r="R77" t="str">
        <f>INDEX([3]!db[STN B],Table17[[#This Row],[//db]])</f>
        <v>SET</v>
      </c>
      <c r="S77" s="40" t="str">
        <f>IF(Table17[[#This Row],[Column5]]=0,Table17[[#This Row],[Column23]]/Table17[[#This Row],[Column224]],"")</f>
        <v/>
      </c>
      <c r="T77" s="4">
        <f>IF(Table17[[#This Row],[Column222]]="",Table17[[#This Row],[Column5]],Table17[[#This Row],[Column222]])</f>
        <v>4</v>
      </c>
      <c r="U77" s="4">
        <f>IF(Table17[[#This Row],[Column223]]=Table17[[#This Row],[Column24]],"",1)</f>
        <v>1</v>
      </c>
      <c r="V77" s="5">
        <f>IF(Table17[[#This Row],[isis]]="",IF(Table17[[#This Row],[isin]]="",Table17[[#This Row],[Column2]],Table17[[#This Row],[isin]]),Table17[[#This Row],[isis]])</f>
        <v>6</v>
      </c>
      <c r="W77" s="3" t="str">
        <f>IF(Table17[[#This Row],[isis]]="",IF(Table17[[#This Row],[isin]]="",Table17[[#This Row],[Column22]],Table17[[#This Row],[stnn]]),Table17[[#This Row],[stns]])</f>
        <v>LSN</v>
      </c>
      <c r="X77" s="5">
        <f>IF(Table17[[#This Row],[Column2222]]&lt;1,Table17[[#This Row],[Column23]],Table17[[#This Row],[Column23]]*Table17[[#This Row],[Column2222]])</f>
        <v>24</v>
      </c>
      <c r="Y77" s="3" t="str">
        <f>Table17[[#This Row],[Column24]]</f>
        <v>LSN</v>
      </c>
      <c r="Z77" s="5">
        <f>Table17[[#This Row],[HRG / CTN]]/Table17[[#This Row],[Column23]]</f>
        <v>192000</v>
      </c>
      <c r="AA77" s="42">
        <f>IF(INDEX(NOTA[DISC 1],Sheet1!A:A)=0,"",INDEX(NOTA[DISC 1],Sheet1!A:A))</f>
        <v>0.03</v>
      </c>
      <c r="AB77" s="42" t="str">
        <f>IF(INDEX(NOTA[DISC 2],Sheet1!A:A)=0,"",INDEX(NOTA[DISC 2],Sheet1!A:A))</f>
        <v/>
      </c>
      <c r="AC77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77" s="43">
        <f>INDEX(NOTA[HARGA/ CTN_H],Sheet1!A:A)</f>
        <v>1152000</v>
      </c>
      <c r="AE77" s="43">
        <f>IF(Table17[[#This Row],[DISC 3]]="",Table17[[#This Row],[HRG / CTN]],Table17[[#This Row],[HRG / CTN]]-(Table17[[#This Row],[HRG / CTN]]*Table17[[#This Row],[DISC 3]]))</f>
        <v>1117440</v>
      </c>
      <c r="AF77" s="14">
        <f>IF(Table17[[#This Row],[Column2222]]&lt;1,Table17[[#This Row],[Column9]],Table17[[#This Row],[Column9]]*Table17[[#This Row],[Column2222]])</f>
        <v>4469760</v>
      </c>
      <c r="AG77" s="43" t="str">
        <f ca="1">IF(NOT(AL78=Table17[[#This Row],[Column6]]),SUMIF(Table17[Column6],Table17[[#This Row],[Column6]],Table17[Column7]),"")</f>
        <v/>
      </c>
      <c r="AH77" s="44">
        <f ca="1">INDEX(NOTA[TGL_H],Sheet1!A:A)</f>
        <v>45449</v>
      </c>
      <c r="AI77" s="44">
        <f ca="1">INDEX(NOTA[TGL.NOTA_H],Sheet1!A:A)</f>
        <v>45446</v>
      </c>
      <c r="AK77" t="str">
        <f>IF(INDEX(NOTA[KETERANGAN],A:A)="","",INDEX(NOTA[KETERANGAN],A:A))</f>
        <v/>
      </c>
      <c r="AL77" t="str">
        <f ca="1">INDEX(NOTA[NO.NOTA_H],Sheet1!A:A)</f>
        <v>M/102/06-24H</v>
      </c>
      <c r="AM77">
        <f>INDEX(NOTA[KETERANGAN],Sheet1!A:A)</f>
        <v>0</v>
      </c>
      <c r="AN77" t="str">
        <f ca="1">INDEX(NOTA[SUPPLIER_H],Sheet1!A:A)</f>
        <v>SURYA PRATAMA</v>
      </c>
      <c r="AO77" t="e">
        <f t="shared" ref="AO77:AO85" ca="1" si="3">MATCH(AL:AL,AR:AR,0)</f>
        <v>#N/A</v>
      </c>
      <c r="AR77" s="45" t="s">
        <v>175</v>
      </c>
    </row>
    <row r="78" spans="1:44">
      <c r="A78" s="3">
        <v>97</v>
      </c>
      <c r="C78">
        <f>INDEX(NOTA[//DB],Sheet1!A:A)</f>
        <v>27</v>
      </c>
      <c r="D78">
        <f>MATCH(Table17[[#This Row],[//db]],[3]!Table2[\\],0)</f>
        <v>864</v>
      </c>
      <c r="E78" t="str">
        <f>INDEX([3]!db[NB NOTA],Table17[[#This Row],[//db]])</f>
        <v>ACRYLIC COLOUR TF-AC-005P (12 X 6 ML) PASTEL</v>
      </c>
      <c r="F78" t="str">
        <f>INDEX([3]!db[NB BM],Table17[[#This Row],[//db]])</f>
        <v>CAT ACRYLIC COLOUR TF AC-005P PASTEL</v>
      </c>
      <c r="G78" t="str">
        <f>_xlfn.IFNA(INDEX([3]!Table2[NAMA],Table17[[#This Row],[dbconcat]]),"")</f>
        <v>CAT ACRYLIC COLOUR TF AC-005P PASTEL</v>
      </c>
      <c r="H78" t="str">
        <f>INDEX([3]!Table2[KODE BARANG],Table17[[#This Row],[dbconcat]])</f>
        <v>CAT-TF14</v>
      </c>
      <c r="I78" t="str">
        <f>IF(Table17[[#This Row],[Column3]]="",UPPER(Table17[[#This Row],[Column1]]),Table17[[#This Row],[Column3]])</f>
        <v>CAT ACRYLIC COLOUR TF AC-005P PASTEL</v>
      </c>
      <c r="J78">
        <f>INDEX(NOTA[C],Sheet1!A:A)</f>
        <v>3</v>
      </c>
      <c r="K78">
        <f>IF(OR(Table17[[#This Row],[Column5]]=0,Table17[[#This Row],[Column3]]=""),"",INDEX([3]!Table2[ISI2],Table17[[#This Row],[dbconcat]]))</f>
        <v>6</v>
      </c>
      <c r="L78" t="str">
        <f>IF(Table17[[#This Row],[isis]]="","",INDEX([3]!Table2[SATUAN3],Table17[[#This Row],[dbconcat]]))</f>
        <v>LSN</v>
      </c>
      <c r="M78" t="str">
        <f>IF(Table17[[#This Row],[Column5]]=0,"",IF(Table17[[#This Row],[Column3]]="",INDEX([3]!db[QTY B],Table17[[#This Row],[//db]]),""))</f>
        <v/>
      </c>
      <c r="N78" t="str">
        <f>IF(Table17[[#This Row],[isin]]="","",INDEX([3]!db[STN B],Table17[[#This Row],[//db]]))</f>
        <v/>
      </c>
      <c r="O78" t="str">
        <f>IF(AND(Table17[[#This Row],[isis]]="",Table17[[#This Row],[isin]]=""),INDEX(NOTA[QTY],Sheet1!A:A)/IF(Table17[[#This Row],[Column5]]=0,1,Table17[[#This Row],[Column5]]),"")</f>
        <v/>
      </c>
      <c r="P78" t="str">
        <f>IF(Table17[[#This Row],[Column2]]="","",INDEX(NOTA[STN],Sheet1!A:A))</f>
        <v/>
      </c>
      <c r="Q78" s="5" t="str">
        <f>INDEX([3]!db[QTY B],Table17[[#This Row],[//db]])</f>
        <v>72</v>
      </c>
      <c r="R78" t="str">
        <f>INDEX([3]!db[STN B],Table17[[#This Row],[//db]])</f>
        <v>SET</v>
      </c>
      <c r="S78" s="40" t="str">
        <f>IF(Table17[[#This Row],[Column5]]=0,Table17[[#This Row],[Column23]]/Table17[[#This Row],[Column224]],"")</f>
        <v/>
      </c>
      <c r="T78" s="4">
        <f>IF(Table17[[#This Row],[Column222]]="",Table17[[#This Row],[Column5]],Table17[[#This Row],[Column222]])</f>
        <v>3</v>
      </c>
      <c r="U78" s="4">
        <f>IF(Table17[[#This Row],[Column223]]=Table17[[#This Row],[Column24]],"",1)</f>
        <v>1</v>
      </c>
      <c r="V78" s="5">
        <f>IF(Table17[[#This Row],[isis]]="",IF(Table17[[#This Row],[isin]]="",Table17[[#This Row],[Column2]],Table17[[#This Row],[isin]]),Table17[[#This Row],[isis]])</f>
        <v>6</v>
      </c>
      <c r="W78" s="3" t="str">
        <f>IF(Table17[[#This Row],[isis]]="",IF(Table17[[#This Row],[isin]]="",Table17[[#This Row],[Column22]],Table17[[#This Row],[stnn]]),Table17[[#This Row],[stns]])</f>
        <v>LSN</v>
      </c>
      <c r="X78" s="5">
        <f>IF(Table17[[#This Row],[Column2222]]&lt;1,Table17[[#This Row],[Column23]],Table17[[#This Row],[Column23]]*Table17[[#This Row],[Column2222]])</f>
        <v>18</v>
      </c>
      <c r="Y78" s="3" t="str">
        <f>Table17[[#This Row],[Column24]]</f>
        <v>LSN</v>
      </c>
      <c r="Z78" s="5">
        <f>Table17[[#This Row],[HRG / CTN]]/Table17[[#This Row],[Column23]]</f>
        <v>192000</v>
      </c>
      <c r="AA78" s="42">
        <f>IF(INDEX(NOTA[DISC 1],Sheet1!A:A)=0,"",INDEX(NOTA[DISC 1],Sheet1!A:A))</f>
        <v>0.03</v>
      </c>
      <c r="AB78" s="42" t="str">
        <f>IF(INDEX(NOTA[DISC 2],Sheet1!A:A)=0,"",INDEX(NOTA[DISC 2],Sheet1!A:A))</f>
        <v/>
      </c>
      <c r="AC78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78" s="43">
        <f>INDEX(NOTA[HARGA/ CTN_H],Sheet1!A:A)</f>
        <v>1152000</v>
      </c>
      <c r="AE78" s="43">
        <f>IF(Table17[[#This Row],[DISC 3]]="",Table17[[#This Row],[HRG / CTN]],Table17[[#This Row],[HRG / CTN]]-(Table17[[#This Row],[HRG / CTN]]*Table17[[#This Row],[DISC 3]]))</f>
        <v>1117440</v>
      </c>
      <c r="AF78" s="14">
        <f>IF(Table17[[#This Row],[Column2222]]&lt;1,Table17[[#This Row],[Column9]],Table17[[#This Row],[Column9]]*Table17[[#This Row],[Column2222]])</f>
        <v>3352320</v>
      </c>
      <c r="AG78" s="43" t="str">
        <f ca="1">IF(NOT(AL79=Table17[[#This Row],[Column6]]),SUMIF(Table17[Column6],Table17[[#This Row],[Column6]],Table17[Column7]),"")</f>
        <v/>
      </c>
      <c r="AH78" s="44">
        <f ca="1">INDEX(NOTA[TGL_H],Sheet1!A:A)</f>
        <v>45449</v>
      </c>
      <c r="AI78" s="44">
        <f ca="1">INDEX(NOTA[TGL.NOTA_H],Sheet1!A:A)</f>
        <v>45446</v>
      </c>
      <c r="AK78" t="str">
        <f>IF(INDEX(NOTA[KETERANGAN],A:A)="","",INDEX(NOTA[KETERANGAN],A:A))</f>
        <v/>
      </c>
      <c r="AL78" t="str">
        <f ca="1">INDEX(NOTA[NO.NOTA_H],Sheet1!A:A)</f>
        <v>M/102/06-24H</v>
      </c>
      <c r="AM78">
        <f>INDEX(NOTA[KETERANGAN],Sheet1!A:A)</f>
        <v>0</v>
      </c>
      <c r="AN78" t="str">
        <f ca="1">INDEX(NOTA[SUPPLIER_H],Sheet1!A:A)</f>
        <v>SURYA PRATAMA</v>
      </c>
      <c r="AO78" t="e">
        <f t="shared" ca="1" si="3"/>
        <v>#N/A</v>
      </c>
      <c r="AR78" s="45" t="s">
        <v>175</v>
      </c>
    </row>
    <row r="79" spans="1:44">
      <c r="A79" s="3">
        <v>98</v>
      </c>
      <c r="C79">
        <f>INDEX(NOTA[//DB],Sheet1!A:A)</f>
        <v>28</v>
      </c>
      <c r="D79">
        <f>MATCH(Table17[[#This Row],[//db]],[3]!Table2[\\],0)</f>
        <v>865</v>
      </c>
      <c r="E79" t="str">
        <f>INDEX([3]!db[NB NOTA],Table17[[#This Row],[//db]])</f>
        <v>ACRYLIC COLOUR TF-AC-006M 12 X 6 ML( METALIC</v>
      </c>
      <c r="F79" t="str">
        <f>INDEX([3]!db[NB BM],Table17[[#This Row],[//db]])</f>
        <v>CAT ACRYLIC COLOUR TF AC-006M METALIC</v>
      </c>
      <c r="G79" t="str">
        <f>_xlfn.IFNA(INDEX([3]!Table2[NAMA],Table17[[#This Row],[dbconcat]]),"")</f>
        <v>CAT ACRYLIC COLOUR TF AC-006M METALIC</v>
      </c>
      <c r="H79" t="str">
        <f>INDEX([3]!Table2[KODE BARANG],Table17[[#This Row],[dbconcat]])</f>
        <v>CAT-TF15</v>
      </c>
      <c r="I79" t="str">
        <f>IF(Table17[[#This Row],[Column3]]="",UPPER(Table17[[#This Row],[Column1]]),Table17[[#This Row],[Column3]])</f>
        <v>CAT ACRYLIC COLOUR TF AC-006M METALIC</v>
      </c>
      <c r="J79">
        <f>INDEX(NOTA[C],Sheet1!A:A)</f>
        <v>3</v>
      </c>
      <c r="K79">
        <f>IF(OR(Table17[[#This Row],[Column5]]=0,Table17[[#This Row],[Column3]]=""),"",INDEX([3]!Table2[ISI2],Table17[[#This Row],[dbconcat]]))</f>
        <v>6</v>
      </c>
      <c r="L79" t="str">
        <f>IF(Table17[[#This Row],[isis]]="","",INDEX([3]!Table2[SATUAN3],Table17[[#This Row],[dbconcat]]))</f>
        <v>LSN</v>
      </c>
      <c r="M79" t="str">
        <f>IF(Table17[[#This Row],[Column5]]=0,"",IF(Table17[[#This Row],[Column3]]="",INDEX([3]!db[QTY B],Table17[[#This Row],[//db]]),""))</f>
        <v/>
      </c>
      <c r="N79" t="str">
        <f>IF(Table17[[#This Row],[isin]]="","",INDEX([3]!db[STN B],Table17[[#This Row],[//db]]))</f>
        <v/>
      </c>
      <c r="O79" t="str">
        <f>IF(AND(Table17[[#This Row],[isis]]="",Table17[[#This Row],[isin]]=""),INDEX(NOTA[QTY],Sheet1!A:A)/IF(Table17[[#This Row],[Column5]]=0,1,Table17[[#This Row],[Column5]]),"")</f>
        <v/>
      </c>
      <c r="P79" t="str">
        <f>IF(Table17[[#This Row],[Column2]]="","",INDEX(NOTA[STN],Sheet1!A:A))</f>
        <v/>
      </c>
      <c r="Q79" s="5" t="str">
        <f>INDEX([3]!db[QTY B],Table17[[#This Row],[//db]])</f>
        <v>72</v>
      </c>
      <c r="R79" t="str">
        <f>INDEX([3]!db[STN B],Table17[[#This Row],[//db]])</f>
        <v>SET</v>
      </c>
      <c r="S79" s="40" t="str">
        <f>IF(Table17[[#This Row],[Column5]]=0,Table17[[#This Row],[Column23]]/Table17[[#This Row],[Column224]],"")</f>
        <v/>
      </c>
      <c r="T79" s="4">
        <f>IF(Table17[[#This Row],[Column222]]="",Table17[[#This Row],[Column5]],Table17[[#This Row],[Column222]])</f>
        <v>3</v>
      </c>
      <c r="U79" s="4">
        <f>IF(Table17[[#This Row],[Column223]]=Table17[[#This Row],[Column24]],"",1)</f>
        <v>1</v>
      </c>
      <c r="V79" s="5">
        <f>IF(Table17[[#This Row],[isis]]="",IF(Table17[[#This Row],[isin]]="",Table17[[#This Row],[Column2]],Table17[[#This Row],[isin]]),Table17[[#This Row],[isis]])</f>
        <v>6</v>
      </c>
      <c r="W79" s="3" t="str">
        <f>IF(Table17[[#This Row],[isis]]="",IF(Table17[[#This Row],[isin]]="",Table17[[#This Row],[Column22]],Table17[[#This Row],[stnn]]),Table17[[#This Row],[stns]])</f>
        <v>LSN</v>
      </c>
      <c r="X79" s="5">
        <f>IF(Table17[[#This Row],[Column2222]]&lt;1,Table17[[#This Row],[Column23]],Table17[[#This Row],[Column23]]*Table17[[#This Row],[Column2222]])</f>
        <v>18</v>
      </c>
      <c r="Y79" s="3" t="str">
        <f>Table17[[#This Row],[Column24]]</f>
        <v>LSN</v>
      </c>
      <c r="Z79" s="5">
        <f>Table17[[#This Row],[HRG / CTN]]/Table17[[#This Row],[Column23]]</f>
        <v>192000</v>
      </c>
      <c r="AA79" s="42">
        <f>IF(INDEX(NOTA[DISC 1],Sheet1!A:A)=0,"",INDEX(NOTA[DISC 1],Sheet1!A:A))</f>
        <v>0.03</v>
      </c>
      <c r="AB79" s="42" t="str">
        <f>IF(INDEX(NOTA[DISC 2],Sheet1!A:A)=0,"",INDEX(NOTA[DISC 2],Sheet1!A:A))</f>
        <v/>
      </c>
      <c r="AC79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79" s="43">
        <f>INDEX(NOTA[HARGA/ CTN_H],Sheet1!A:A)</f>
        <v>1152000</v>
      </c>
      <c r="AE79" s="43">
        <f>IF(Table17[[#This Row],[DISC 3]]="",Table17[[#This Row],[HRG / CTN]],Table17[[#This Row],[HRG / CTN]]-(Table17[[#This Row],[HRG / CTN]]*Table17[[#This Row],[DISC 3]]))</f>
        <v>1117440</v>
      </c>
      <c r="AF79" s="14">
        <f>IF(Table17[[#This Row],[Column2222]]&lt;1,Table17[[#This Row],[Column9]],Table17[[#This Row],[Column9]]*Table17[[#This Row],[Column2222]])</f>
        <v>3352320</v>
      </c>
      <c r="AG79" s="43" t="str">
        <f ca="1">IF(NOT(AL80=Table17[[#This Row],[Column6]]),SUMIF(Table17[Column6],Table17[[#This Row],[Column6]],Table17[Column7]),"")</f>
        <v/>
      </c>
      <c r="AH79" s="44">
        <f ca="1">INDEX(NOTA[TGL_H],Sheet1!A:A)</f>
        <v>45449</v>
      </c>
      <c r="AI79" s="44">
        <f ca="1">INDEX(NOTA[TGL.NOTA_H],Sheet1!A:A)</f>
        <v>45446</v>
      </c>
      <c r="AK79" t="str">
        <f>IF(INDEX(NOTA[KETERANGAN],A:A)="","",INDEX(NOTA[KETERANGAN],A:A))</f>
        <v/>
      </c>
      <c r="AL79" t="str">
        <f ca="1">INDEX(NOTA[NO.NOTA_H],Sheet1!A:A)</f>
        <v>M/102/06-24H</v>
      </c>
      <c r="AM79">
        <f>INDEX(NOTA[KETERANGAN],Sheet1!A:A)</f>
        <v>0</v>
      </c>
      <c r="AN79" t="str">
        <f ca="1">INDEX(NOTA[SUPPLIER_H],Sheet1!A:A)</f>
        <v>SURYA PRATAMA</v>
      </c>
      <c r="AO79" t="e">
        <f t="shared" ca="1" si="3"/>
        <v>#N/A</v>
      </c>
      <c r="AR79" s="45" t="s">
        <v>176</v>
      </c>
    </row>
    <row r="80" spans="1:44">
      <c r="A80" s="3">
        <v>99</v>
      </c>
      <c r="C80">
        <f>INDEX(NOTA[//DB],Sheet1!A:A)</f>
        <v>3435</v>
      </c>
      <c r="D80">
        <f>MATCH(Table17[[#This Row],[//db]],[3]!Table2[\\],0)</f>
        <v>782</v>
      </c>
      <c r="E80" t="str">
        <f>INDEX([3]!db[NB NOTA],Table17[[#This Row],[//db]])</f>
        <v>BALLPEN PROMOSI WY 851A 4WR</v>
      </c>
      <c r="F80" t="str">
        <f>INDEX([3]!db[NB BM],Table17[[#This Row],[//db]])</f>
        <v>BP PROMOSI WY 851A 4WR</v>
      </c>
      <c r="G80" t="str">
        <f>_xlfn.IFNA(INDEX([3]!Table2[NAMA],Table17[[#This Row],[dbconcat]]),"")</f>
        <v>BP PROMOSI WY 851A 4WR</v>
      </c>
      <c r="H80" t="str">
        <f>INDEX([3]!Table2[KODE BARANG],Table17[[#This Row],[dbconcat]])</f>
        <v>BOL-NB410</v>
      </c>
      <c r="I80" t="str">
        <f>IF(Table17[[#This Row],[Column3]]="",UPPER(Table17[[#This Row],[Column1]]),Table17[[#This Row],[Column3]])</f>
        <v>BP PROMOSI WY 851A 4WR</v>
      </c>
      <c r="J80">
        <f>INDEX(NOTA[C],Sheet1!A:A)</f>
        <v>0</v>
      </c>
      <c r="K80" t="str">
        <f>IF(OR(Table17[[#This Row],[Column5]]=0,Table17[[#This Row],[Column3]]=""),"",INDEX([3]!Table2[ISI2],Table17[[#This Row],[dbconcat]]))</f>
        <v/>
      </c>
      <c r="L80" t="str">
        <f>IF(Table17[[#This Row],[isis]]="","",INDEX([3]!Table2[SATUAN3],Table17[[#This Row],[dbconcat]]))</f>
        <v/>
      </c>
      <c r="M80" t="str">
        <f>IF(Table17[[#This Row],[Column5]]=0,"",IF(Table17[[#This Row],[Column3]]="",INDEX([3]!db[QTY B],Table17[[#This Row],[//db]]),""))</f>
        <v/>
      </c>
      <c r="N80" t="str">
        <f>IF(Table17[[#This Row],[isin]]="","",INDEX([3]!db[STN B],Table17[[#This Row],[//db]]))</f>
        <v/>
      </c>
      <c r="O80">
        <f>IF(AND(Table17[[#This Row],[isis]]="",Table17[[#This Row],[isin]]=""),INDEX(NOTA[QTY],Sheet1!A:A)/IF(Table17[[#This Row],[Column5]]=0,1,Table17[[#This Row],[Column5]]),"")</f>
        <v>60</v>
      </c>
      <c r="P80" t="str">
        <f>IF(Table17[[#This Row],[Column2]]="","",INDEX(NOTA[STN],Sheet1!A:A))</f>
        <v>LSN</v>
      </c>
      <c r="Q80" s="5" t="str">
        <f>INDEX([3]!db[QTY B],Table17[[#This Row],[//db]])</f>
        <v>144</v>
      </c>
      <c r="R80" t="str">
        <f>INDEX([3]!db[STN B],Table17[[#This Row],[//db]])</f>
        <v>LSN</v>
      </c>
      <c r="S80" s="40">
        <f>IF(Table17[[#This Row],[Column5]]=0,Table17[[#This Row],[Column23]]/Table17[[#This Row],[Column224]],"")</f>
        <v>0.41666666666666669</v>
      </c>
      <c r="T80" s="4">
        <f>IF(Table17[[#This Row],[Column222]]="",Table17[[#This Row],[Column5]],Table17[[#This Row],[Column222]])</f>
        <v>0.41666666666666669</v>
      </c>
      <c r="U80" s="4" t="str">
        <f>IF(Table17[[#This Row],[Column223]]=Table17[[#This Row],[Column24]],"",1)</f>
        <v/>
      </c>
      <c r="V80" s="5">
        <f>IF(Table17[[#This Row],[isis]]="",IF(Table17[[#This Row],[isin]]="",Table17[[#This Row],[Column2]],Table17[[#This Row],[isin]]),Table17[[#This Row],[isis]])</f>
        <v>60</v>
      </c>
      <c r="W80" s="3" t="str">
        <f>IF(Table17[[#This Row],[isis]]="",IF(Table17[[#This Row],[isin]]="",Table17[[#This Row],[Column22]],Table17[[#This Row],[stnn]]),Table17[[#This Row],[stns]])</f>
        <v>LSN</v>
      </c>
      <c r="X80" s="5">
        <f>IF(Table17[[#This Row],[Column2222]]&lt;1,Table17[[#This Row],[Column23]],Table17[[#This Row],[Column23]]*Table17[[#This Row],[Column2222]])</f>
        <v>60</v>
      </c>
      <c r="Y80" s="3" t="str">
        <f>Table17[[#This Row],[Column24]]</f>
        <v>LSN</v>
      </c>
      <c r="Z80" s="5">
        <f>Table17[[#This Row],[HRG / CTN]]/Table17[[#This Row],[Column23]]</f>
        <v>0</v>
      </c>
      <c r="AA80" s="42" t="str">
        <f>IF(INDEX(NOTA[DISC 1],Sheet1!A:A)=0,"",INDEX(NOTA[DISC 1],Sheet1!A:A))</f>
        <v/>
      </c>
      <c r="AB80" s="42" t="str">
        <f>IF(INDEX(NOTA[DISC 2],Sheet1!A:A)=0,"",INDEX(NOTA[DISC 2],Sheet1!A:A))</f>
        <v/>
      </c>
      <c r="AC8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0" s="43">
        <f>INDEX(NOTA[HARGA/ CTN_H],Sheet1!A:A)</f>
        <v>0</v>
      </c>
      <c r="AE80" s="43">
        <f>IF(Table17[[#This Row],[DISC 3]]="",Table17[[#This Row],[HRG / CTN]],Table17[[#This Row],[HRG / CTN]]-(Table17[[#This Row],[HRG / CTN]]*Table17[[#This Row],[DISC 3]]))</f>
        <v>0</v>
      </c>
      <c r="AF80" s="14">
        <f>IF(Table17[[#This Row],[Column2222]]&lt;1,Table17[[#This Row],[Column9]],Table17[[#This Row],[Column9]]*Table17[[#This Row],[Column2222]])</f>
        <v>0</v>
      </c>
      <c r="AG80" s="43">
        <f ca="1">IF(NOT(AL81=Table17[[#This Row],[Column6]]),SUMIF(Table17[Column6],Table17[[#This Row],[Column6]],Table17[Column7]),"")</f>
        <v>11174400</v>
      </c>
      <c r="AH80" s="44">
        <f ca="1">INDEX(NOTA[TGL_H],Sheet1!A:A)</f>
        <v>45449</v>
      </c>
      <c r="AI80" s="44">
        <f ca="1">INDEX(NOTA[TGL.NOTA_H],Sheet1!A:A)</f>
        <v>45446</v>
      </c>
      <c r="AK80" t="str">
        <f>IF(INDEX(NOTA[KETERANGAN],A:A)="","",INDEX(NOTA[KETERANGAN],A:A))</f>
        <v/>
      </c>
      <c r="AL80" t="str">
        <f ca="1">INDEX(NOTA[NO.NOTA_H],Sheet1!A:A)</f>
        <v>M/102/06-24H</v>
      </c>
      <c r="AM80">
        <f>INDEX(NOTA[KETERANGAN],Sheet1!A:A)</f>
        <v>0</v>
      </c>
      <c r="AN80" t="str">
        <f ca="1">INDEX(NOTA[SUPPLIER_H],Sheet1!A:A)</f>
        <v>SURYA PRATAMA</v>
      </c>
      <c r="AO80" t="e">
        <f t="shared" ca="1" si="3"/>
        <v>#N/A</v>
      </c>
      <c r="AR80" s="45" t="s">
        <v>177</v>
      </c>
    </row>
    <row r="81" spans="1:44">
      <c r="A81" s="3">
        <v>101</v>
      </c>
      <c r="C81">
        <f>INDEX(NOTA[//DB],Sheet1!A:A)</f>
        <v>50</v>
      </c>
      <c r="D81">
        <f>MATCH(Table17[[#This Row],[//db]],[3]!Table2[\\],0)</f>
        <v>51</v>
      </c>
      <c r="E81" t="str">
        <f>INDEX([3]!db[NB NOTA],Table17[[#This Row],[//db]])</f>
        <v>AG CK POLOS</v>
      </c>
      <c r="F81" t="str">
        <f>INDEX([3]!db[NB BM],Table17[[#This Row],[//db]])</f>
        <v>AGENDA CK POLOS</v>
      </c>
      <c r="G81" t="str">
        <f>_xlfn.IFNA(INDEX([3]!Table2[NAMA],Table17[[#This Row],[dbconcat]]),"")</f>
        <v>AGENDA CK POLOS</v>
      </c>
      <c r="H81" t="str">
        <f>INDEX([3]!Table2[KODE BARANG],Table17[[#This Row],[dbconcat]])</f>
        <v>AGE-NB10</v>
      </c>
      <c r="I81" t="str">
        <f>IF(Table17[[#This Row],[Column3]]="",UPPER(Table17[[#This Row],[Column1]]),Table17[[#This Row],[Column3]])</f>
        <v>AGENDA CK POLOS</v>
      </c>
      <c r="J81">
        <f>INDEX(NOTA[C],Sheet1!A:A)</f>
        <v>0</v>
      </c>
      <c r="K81" t="str">
        <f>IF(OR(Table17[[#This Row],[Column5]]=0,Table17[[#This Row],[Column3]]=""),"",INDEX([3]!Table2[ISI2],Table17[[#This Row],[dbconcat]]))</f>
        <v/>
      </c>
      <c r="L81" t="str">
        <f>IF(Table17[[#This Row],[isis]]="","",INDEX([3]!Table2[SATUAN3],Table17[[#This Row],[dbconcat]]))</f>
        <v/>
      </c>
      <c r="M81" t="str">
        <f>IF(Table17[[#This Row],[Column5]]=0,"",IF(Table17[[#This Row],[Column3]]="",INDEX([3]!db[QTY B],Table17[[#This Row],[//db]]),""))</f>
        <v/>
      </c>
      <c r="N81" t="str">
        <f>IF(Table17[[#This Row],[isin]]="","",INDEX([3]!db[STN B],Table17[[#This Row],[//db]]))</f>
        <v/>
      </c>
      <c r="O81">
        <f>IF(AND(Table17[[#This Row],[isis]]="",Table17[[#This Row],[isin]]=""),INDEX(NOTA[QTY],Sheet1!A:A)/IF(Table17[[#This Row],[Column5]]=0,1,Table17[[#This Row],[Column5]]),"")</f>
        <v>120</v>
      </c>
      <c r="P81" t="str">
        <f>IF(Table17[[#This Row],[Column2]]="","",INDEX(NOTA[STN],Sheet1!A:A))</f>
        <v>PCS</v>
      </c>
      <c r="Q81" s="5" t="str">
        <f>INDEX([3]!db[QTY B],Table17[[#This Row],[//db]])</f>
        <v>120</v>
      </c>
      <c r="R81" t="str">
        <f>INDEX([3]!db[STN B],Table17[[#This Row],[//db]])</f>
        <v>PCS</v>
      </c>
      <c r="S81" s="40">
        <f>IF(Table17[[#This Row],[Column5]]=0,Table17[[#This Row],[Column23]]/Table17[[#This Row],[Column224]],"")</f>
        <v>1</v>
      </c>
      <c r="T81" s="4">
        <f>IF(Table17[[#This Row],[Column222]]="",Table17[[#This Row],[Column5]],Table17[[#This Row],[Column222]])</f>
        <v>1</v>
      </c>
      <c r="U81" s="4" t="str">
        <f>IF(Table17[[#This Row],[Column223]]=Table17[[#This Row],[Column24]],"",1)</f>
        <v/>
      </c>
      <c r="V81" s="5">
        <f>IF(Table17[[#This Row],[isis]]="",IF(Table17[[#This Row],[isin]]="",Table17[[#This Row],[Column2]],Table17[[#This Row],[isin]]),Table17[[#This Row],[isis]])</f>
        <v>120</v>
      </c>
      <c r="W81" s="3" t="str">
        <f>IF(Table17[[#This Row],[isis]]="",IF(Table17[[#This Row],[isin]]="",Table17[[#This Row],[Column22]],Table17[[#This Row],[stnn]]),Table17[[#This Row],[stns]])</f>
        <v>PCS</v>
      </c>
      <c r="X81" s="5">
        <f>IF(Table17[[#This Row],[Column2222]]&lt;1,Table17[[#This Row],[Column23]],Table17[[#This Row],[Column23]]*Table17[[#This Row],[Column2222]])</f>
        <v>120</v>
      </c>
      <c r="Y81" s="3" t="str">
        <f>Table17[[#This Row],[Column24]]</f>
        <v>PCS</v>
      </c>
      <c r="Z81" s="5">
        <f>Table17[[#This Row],[HRG / CTN]]/Table17[[#This Row],[Column23]]</f>
        <v>13000</v>
      </c>
      <c r="AA81" s="42">
        <f>IF(INDEX(NOTA[DISC 1],Sheet1!A:A)=0,"",INDEX(NOTA[DISC 1],Sheet1!A:A))</f>
        <v>0.05</v>
      </c>
      <c r="AB81" s="42" t="str">
        <f>IF(INDEX(NOTA[DISC 2],Sheet1!A:A)=0,"",INDEX(NOTA[DISC 2],Sheet1!A:A))</f>
        <v/>
      </c>
      <c r="AC81" s="42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D81" s="43">
        <f>INDEX(NOTA[HARGA/ CTN_H],Sheet1!A:A)</f>
        <v>1560000</v>
      </c>
      <c r="AE81" s="43">
        <f>IF(Table17[[#This Row],[DISC 3]]="",Table17[[#This Row],[HRG / CTN]],Table17[[#This Row],[HRG / CTN]]-(Table17[[#This Row],[HRG / CTN]]*Table17[[#This Row],[DISC 3]]))</f>
        <v>1482000</v>
      </c>
      <c r="AF81" s="14">
        <f>IF(Table17[[#This Row],[Column2222]]&lt;1,Table17[[#This Row],[Column9]],Table17[[#This Row],[Column9]]*Table17[[#This Row],[Column2222]])</f>
        <v>1482000</v>
      </c>
      <c r="AG81" s="43">
        <f ca="1">IF(NOT(AL82=Table17[[#This Row],[Column6]]),SUMIF(Table17[Column6],Table17[[#This Row],[Column6]],Table17[Column7]),"")</f>
        <v>1482000</v>
      </c>
      <c r="AH81" s="44">
        <f ca="1">INDEX(NOTA[TGL_H],Sheet1!A:A)</f>
        <v>45449</v>
      </c>
      <c r="AI81" s="44">
        <f ca="1">INDEX(NOTA[TGL.NOTA_H],Sheet1!A:A)</f>
        <v>45449</v>
      </c>
      <c r="AK81" t="str">
        <f>IF(INDEX(NOTA[KETERANGAN],A:A)="","",INDEX(NOTA[KETERANGAN],A:A))</f>
        <v>DISKON CAH 5%</v>
      </c>
      <c r="AL81" t="str">
        <f ca="1">INDEX(NOTA[NO.NOTA_H],Sheet1!A:A)</f>
        <v>N 31</v>
      </c>
      <c r="AM81" t="str">
        <f>INDEX(NOTA[KETERANGAN],Sheet1!A:A)</f>
        <v>DISKON CAH 5%</v>
      </c>
      <c r="AN81" t="str">
        <f ca="1">INDEX(NOTA[SUPPLIER_H],Sheet1!A:A)</f>
        <v>GLORY</v>
      </c>
      <c r="AO81" t="e">
        <f t="shared" ca="1" si="3"/>
        <v>#N/A</v>
      </c>
      <c r="AR81" s="45" t="s">
        <v>178</v>
      </c>
    </row>
    <row r="82" spans="1:44">
      <c r="A82" s="3">
        <v>103</v>
      </c>
      <c r="C82">
        <f>INDEX(NOTA[//DB],Sheet1!A:A)</f>
        <v>2056</v>
      </c>
      <c r="D82">
        <f>MATCH(Table17[[#This Row],[//db]],[3]!Table2[\\],0)</f>
        <v>1741</v>
      </c>
      <c r="E82" t="str">
        <f>INDEX([3]!db[NB NOTA],Table17[[#This Row],[//db]])</f>
        <v>MALAM SHINTOENG K 6-12W</v>
      </c>
      <c r="F82" t="str">
        <f>INDEX([3]!db[NB BM],Table17[[#This Row],[//db]])</f>
        <v>MALAM SHINTOENG 6-12W K</v>
      </c>
      <c r="G82" t="str">
        <f>_xlfn.IFNA(INDEX([3]!Table2[NAMA],Table17[[#This Row],[dbconcat]]),"")</f>
        <v>MALAM SHINTOENG 6-12W K</v>
      </c>
      <c r="H82" t="str">
        <f>INDEX([3]!Table2[KODE BARANG],Table17[[#This Row],[dbconcat]])</f>
        <v>MAL-SH2</v>
      </c>
      <c r="I82" t="str">
        <f>IF(Table17[[#This Row],[Column3]]="",UPPER(Table17[[#This Row],[Column1]]),Table17[[#This Row],[Column3]])</f>
        <v>MALAM SHINTOENG 6-12W K</v>
      </c>
      <c r="J82">
        <f>INDEX(NOTA[C],Sheet1!A:A)</f>
        <v>0</v>
      </c>
      <c r="K82" t="str">
        <f>IF(OR(Table17[[#This Row],[Column5]]=0,Table17[[#This Row],[Column3]]=""),"",INDEX([3]!Table2[ISI2],Table17[[#This Row],[dbconcat]]))</f>
        <v/>
      </c>
      <c r="L82" t="str">
        <f>IF(Table17[[#This Row],[isis]]="","",INDEX([3]!Table2[SATUAN3],Table17[[#This Row],[dbconcat]]))</f>
        <v/>
      </c>
      <c r="M82" t="str">
        <f>IF(Table17[[#This Row],[Column5]]=0,"",IF(Table17[[#This Row],[Column3]]="",INDEX([3]!db[QTY B],Table17[[#This Row],[//db]]),""))</f>
        <v/>
      </c>
      <c r="N82" t="str">
        <f>IF(Table17[[#This Row],[isin]]="","",INDEX([3]!db[STN B],Table17[[#This Row],[//db]]))</f>
        <v/>
      </c>
      <c r="O82">
        <f>IF(AND(Table17[[#This Row],[isis]]="",Table17[[#This Row],[isin]]=""),INDEX(NOTA[QTY],Sheet1!A:A)/IF(Table17[[#This Row],[Column5]]=0,1,Table17[[#This Row],[Column5]]),"")</f>
        <v>48</v>
      </c>
      <c r="P82" t="str">
        <f>IF(Table17[[#This Row],[Column2]]="","",INDEX(NOTA[STN],Sheet1!A:A))</f>
        <v>PCS</v>
      </c>
      <c r="Q82" s="5" t="str">
        <f>INDEX([3]!db[QTY B],Table17[[#This Row],[//db]])</f>
        <v>480</v>
      </c>
      <c r="R82" t="str">
        <f>INDEX([3]!db[STN B],Table17[[#This Row],[//db]])</f>
        <v>PCS</v>
      </c>
      <c r="S82" s="40">
        <f>IF(Table17[[#This Row],[Column5]]=0,Table17[[#This Row],[Column23]]/Table17[[#This Row],[Column224]],"")</f>
        <v>0.1</v>
      </c>
      <c r="T82" s="4">
        <f>IF(Table17[[#This Row],[Column222]]="",Table17[[#This Row],[Column5]],Table17[[#This Row],[Column222]])</f>
        <v>0.1</v>
      </c>
      <c r="U82" s="4" t="str">
        <f>IF(Table17[[#This Row],[Column223]]=Table17[[#This Row],[Column24]],"",1)</f>
        <v/>
      </c>
      <c r="V82" s="5">
        <f>IF(Table17[[#This Row],[isis]]="",IF(Table17[[#This Row],[isin]]="",Table17[[#This Row],[Column2]],Table17[[#This Row],[isin]]),Table17[[#This Row],[isis]])</f>
        <v>48</v>
      </c>
      <c r="W82" s="3" t="str">
        <f>IF(Table17[[#This Row],[isis]]="",IF(Table17[[#This Row],[isin]]="",Table17[[#This Row],[Column22]],Table17[[#This Row],[stnn]]),Table17[[#This Row],[stns]])</f>
        <v>PCS</v>
      </c>
      <c r="X82" s="5">
        <f>IF(Table17[[#This Row],[Column2222]]&lt;1,Table17[[#This Row],[Column23]],Table17[[#This Row],[Column23]]*Table17[[#This Row],[Column2222]])</f>
        <v>48</v>
      </c>
      <c r="Y82" s="3" t="str">
        <f>Table17[[#This Row],[Column24]]</f>
        <v>PCS</v>
      </c>
      <c r="Z82" s="5">
        <f>Table17[[#This Row],[HRG / CTN]]/Table17[[#This Row],[Column23]]</f>
        <v>1600</v>
      </c>
      <c r="AA82" s="42" t="str">
        <f>IF(INDEX(NOTA[DISC 1],Sheet1!A:A)=0,"",INDEX(NOTA[DISC 1],Sheet1!A:A))</f>
        <v/>
      </c>
      <c r="AB82" s="42" t="str">
        <f>IF(INDEX(NOTA[DISC 2],Sheet1!A:A)=0,"",INDEX(NOTA[DISC 2],Sheet1!A:A))</f>
        <v/>
      </c>
      <c r="AC8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2" s="43">
        <f>INDEX(NOTA[HARGA/ CTN_H],Sheet1!A:A)</f>
        <v>76800</v>
      </c>
      <c r="AE82" s="43">
        <f>IF(Table17[[#This Row],[DISC 3]]="",Table17[[#This Row],[HRG / CTN]],Table17[[#This Row],[HRG / CTN]]-(Table17[[#This Row],[HRG / CTN]]*Table17[[#This Row],[DISC 3]]))</f>
        <v>76800</v>
      </c>
      <c r="AF82" s="14">
        <f>IF(Table17[[#This Row],[Column2222]]&lt;1,Table17[[#This Row],[Column9]],Table17[[#This Row],[Column9]]*Table17[[#This Row],[Column2222]])</f>
        <v>76800</v>
      </c>
      <c r="AG82" s="43" t="str">
        <f ca="1">IF(NOT(AL83=Table17[[#This Row],[Column6]]),SUMIF(Table17[Column6],Table17[[#This Row],[Column6]],Table17[Column7]),"")</f>
        <v/>
      </c>
      <c r="AH82" s="44">
        <f ca="1">INDEX(NOTA[TGL_H],Sheet1!A:A)</f>
        <v>45453</v>
      </c>
      <c r="AI82" s="44">
        <f ca="1">INDEX(NOTA[TGL.NOTA_H],Sheet1!A:A)</f>
        <v>45453</v>
      </c>
      <c r="AK82" t="str">
        <f>IF(INDEX(NOTA[KETERANGAN],A:A)="","",INDEX(NOTA[KETERANGAN],A:A))</f>
        <v/>
      </c>
      <c r="AL82" t="str">
        <f ca="1">INDEX(NOTA[NO.NOTA_H],Sheet1!A:A)</f>
        <v>HN0622024083</v>
      </c>
      <c r="AM82">
        <f>INDEX(NOTA[KETERANGAN],Sheet1!A:A)</f>
        <v>0</v>
      </c>
      <c r="AN82" t="str">
        <f ca="1">INDEX(NOTA[SUPPLIER_H],Sheet1!A:A)</f>
        <v>HANSA</v>
      </c>
      <c r="AO82" t="e">
        <f t="shared" ca="1" si="3"/>
        <v>#N/A</v>
      </c>
      <c r="AR82" s="45" t="s">
        <v>178</v>
      </c>
    </row>
    <row r="83" spans="1:44">
      <c r="A83" s="3">
        <v>104</v>
      </c>
      <c r="C83">
        <f>INDEX(NOTA[//DB],Sheet1!A:A)</f>
        <v>2055</v>
      </c>
      <c r="D83">
        <f>MATCH(Table17[[#This Row],[//db]],[3]!Table2[\\],0)</f>
        <v>1740</v>
      </c>
      <c r="E83" t="str">
        <f>INDEX([3]!db[NB NOTA],Table17[[#This Row],[//db]])</f>
        <v>MALAM SHINTOENG K 1W POLOS</v>
      </c>
      <c r="F83" t="str">
        <f>INDEX([3]!db[NB BM],Table17[[#This Row],[//db]])</f>
        <v>MALAM SHINTOENG 1W POLOS K</v>
      </c>
      <c r="G83" t="str">
        <f>_xlfn.IFNA(INDEX([3]!Table2[NAMA],Table17[[#This Row],[dbconcat]]),"")</f>
        <v>MALAM SHINTOENG 1W POLOS K</v>
      </c>
      <c r="H83" t="str">
        <f>INDEX([3]!Table2[KODE BARANG],Table17[[#This Row],[dbconcat]])</f>
        <v>MAL-SH1</v>
      </c>
      <c r="I83" t="str">
        <f>IF(Table17[[#This Row],[Column3]]="",UPPER(Table17[[#This Row],[Column1]]),Table17[[#This Row],[Column3]])</f>
        <v>MALAM SHINTOENG 1W POLOS K</v>
      </c>
      <c r="J83">
        <f>INDEX(NOTA[C],Sheet1!A:A)</f>
        <v>0</v>
      </c>
      <c r="K83" t="str">
        <f>IF(OR(Table17[[#This Row],[Column5]]=0,Table17[[#This Row],[Column3]]=""),"",INDEX([3]!Table2[ISI2],Table17[[#This Row],[dbconcat]]))</f>
        <v/>
      </c>
      <c r="L83" t="str">
        <f>IF(Table17[[#This Row],[isis]]="","",INDEX([3]!Table2[SATUAN3],Table17[[#This Row],[dbconcat]]))</f>
        <v/>
      </c>
      <c r="M83" t="str">
        <f>IF(Table17[[#This Row],[Column5]]=0,"",IF(Table17[[#This Row],[Column3]]="",INDEX([3]!db[QTY B],Table17[[#This Row],[//db]]),""))</f>
        <v/>
      </c>
      <c r="N83" t="str">
        <f>IF(Table17[[#This Row],[isin]]="","",INDEX([3]!db[STN B],Table17[[#This Row],[//db]]))</f>
        <v/>
      </c>
      <c r="O83">
        <f>IF(AND(Table17[[#This Row],[isis]]="",Table17[[#This Row],[isin]]=""),INDEX(NOTA[QTY],Sheet1!A:A)/IF(Table17[[#This Row],[Column5]]=0,1,Table17[[#This Row],[Column5]]),"")</f>
        <v>24</v>
      </c>
      <c r="P83" t="str">
        <f>IF(Table17[[#This Row],[Column2]]="","",INDEX(NOTA[STN],Sheet1!A:A))</f>
        <v>PCS</v>
      </c>
      <c r="Q83" s="5" t="str">
        <f>INDEX([3]!db[QTY B],Table17[[#This Row],[//db]])</f>
        <v>480</v>
      </c>
      <c r="R83" t="str">
        <f>INDEX([3]!db[STN B],Table17[[#This Row],[//db]])</f>
        <v>PCS</v>
      </c>
      <c r="S83" s="40">
        <f>IF(Table17[[#This Row],[Column5]]=0,Table17[[#This Row],[Column23]]/Table17[[#This Row],[Column224]],"")</f>
        <v>0.05</v>
      </c>
      <c r="T83" s="4">
        <f>IF(Table17[[#This Row],[Column222]]="",Table17[[#This Row],[Column5]],Table17[[#This Row],[Column222]])</f>
        <v>0.05</v>
      </c>
      <c r="U83" s="4" t="str">
        <f>IF(Table17[[#This Row],[Column223]]=Table17[[#This Row],[Column24]],"",1)</f>
        <v/>
      </c>
      <c r="V83" s="5">
        <f>IF(Table17[[#This Row],[isis]]="",IF(Table17[[#This Row],[isin]]="",Table17[[#This Row],[Column2]],Table17[[#This Row],[isin]]),Table17[[#This Row],[isis]])</f>
        <v>24</v>
      </c>
      <c r="W83" s="3" t="str">
        <f>IF(Table17[[#This Row],[isis]]="",IF(Table17[[#This Row],[isin]]="",Table17[[#This Row],[Column22]],Table17[[#This Row],[stnn]]),Table17[[#This Row],[stns]])</f>
        <v>PCS</v>
      </c>
      <c r="X83" s="5">
        <f>IF(Table17[[#This Row],[Column2222]]&lt;1,Table17[[#This Row],[Column23]],Table17[[#This Row],[Column23]]*Table17[[#This Row],[Column2222]])</f>
        <v>24</v>
      </c>
      <c r="Y83" s="3" t="str">
        <f>Table17[[#This Row],[Column24]]</f>
        <v>PCS</v>
      </c>
      <c r="Z83" s="5">
        <f>Table17[[#This Row],[HRG / CTN]]/Table17[[#This Row],[Column23]]</f>
        <v>1600</v>
      </c>
      <c r="AA83" s="42" t="str">
        <f>IF(INDEX(NOTA[DISC 1],Sheet1!A:A)=0,"",INDEX(NOTA[DISC 1],Sheet1!A:A))</f>
        <v/>
      </c>
      <c r="AB83" s="42" t="str">
        <f>IF(INDEX(NOTA[DISC 2],Sheet1!A:A)=0,"",INDEX(NOTA[DISC 2],Sheet1!A:A))</f>
        <v/>
      </c>
      <c r="AC8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3" s="43">
        <f>INDEX(NOTA[HARGA/ CTN_H],Sheet1!A:A)</f>
        <v>38400</v>
      </c>
      <c r="AE83" s="43">
        <f>IF(Table17[[#This Row],[DISC 3]]="",Table17[[#This Row],[HRG / CTN]],Table17[[#This Row],[HRG / CTN]]-(Table17[[#This Row],[HRG / CTN]]*Table17[[#This Row],[DISC 3]]))</f>
        <v>38400</v>
      </c>
      <c r="AF83" s="14">
        <f>IF(Table17[[#This Row],[Column2222]]&lt;1,Table17[[#This Row],[Column9]],Table17[[#This Row],[Column9]]*Table17[[#This Row],[Column2222]])</f>
        <v>38400</v>
      </c>
      <c r="AG83" s="43">
        <f ca="1">IF(NOT(AL84=Table17[[#This Row],[Column6]]),SUMIF(Table17[Column6],Table17[[#This Row],[Column6]],Table17[Column7]),"")</f>
        <v>115200</v>
      </c>
      <c r="AH83" s="44">
        <f ca="1">INDEX(NOTA[TGL_H],Sheet1!A:A)</f>
        <v>45453</v>
      </c>
      <c r="AI83" s="44">
        <f ca="1">INDEX(NOTA[TGL.NOTA_H],Sheet1!A:A)</f>
        <v>45453</v>
      </c>
      <c r="AK83" t="str">
        <f>IF(INDEX(NOTA[KETERANGAN],A:A)="","",INDEX(NOTA[KETERANGAN],A:A))</f>
        <v/>
      </c>
      <c r="AL83" t="str">
        <f ca="1">INDEX(NOTA[NO.NOTA_H],Sheet1!A:A)</f>
        <v>HN0622024083</v>
      </c>
      <c r="AM83">
        <f>INDEX(NOTA[KETERANGAN],Sheet1!A:A)</f>
        <v>0</v>
      </c>
      <c r="AN83" t="str">
        <f ca="1">INDEX(NOTA[SUPPLIER_H],Sheet1!A:A)</f>
        <v>HANSA</v>
      </c>
      <c r="AO83" t="e">
        <f t="shared" ca="1" si="3"/>
        <v>#N/A</v>
      </c>
      <c r="AR83" s="45" t="s">
        <v>178</v>
      </c>
    </row>
    <row r="84" spans="1:44">
      <c r="A84" s="3">
        <v>106</v>
      </c>
      <c r="C84">
        <f>INDEX(NOTA[//DB],Sheet1!A:A)</f>
        <v>3437</v>
      </c>
      <c r="D84">
        <f>MATCH(Table17[[#This Row],[//db]],[3]!Table2[\\],0)</f>
        <v>63</v>
      </c>
      <c r="E84" t="str">
        <f>INDEX([3]!db[NB NOTA],Table17[[#This Row],[//db]])</f>
        <v>AG BRANDED KCG BUAYA</v>
      </c>
      <c r="F84" t="str">
        <f>INDEX([3]!db[NB BM],Table17[[#This Row],[//db]])</f>
        <v>AGENDA BRANDED KANCING BUAYA</v>
      </c>
      <c r="G84" t="str">
        <f>_xlfn.IFNA(INDEX([3]!Table2[NAMA],Table17[[#This Row],[dbconcat]]),"")</f>
        <v>AGENDA BRANDED KANCING BUAYA</v>
      </c>
      <c r="H84" t="str">
        <f>INDEX([3]!Table2[KODE BARANG],Table17[[#This Row],[dbconcat]])</f>
        <v>AGE-NB14</v>
      </c>
      <c r="I84" t="str">
        <f>IF(Table17[[#This Row],[Column3]]="",UPPER(Table17[[#This Row],[Column1]]),Table17[[#This Row],[Column3]])</f>
        <v>AGENDA BRANDED KANCING BUAYA</v>
      </c>
      <c r="J84">
        <f>INDEX(NOTA[C],Sheet1!A:A)</f>
        <v>1</v>
      </c>
      <c r="K84">
        <f>IF(OR(Table17[[#This Row],[Column5]]=0,Table17[[#This Row],[Column3]]=""),"",INDEX([3]!Table2[ISI2],Table17[[#This Row],[dbconcat]]))</f>
        <v>150</v>
      </c>
      <c r="L84" t="str">
        <f>IF(Table17[[#This Row],[isis]]="","",INDEX([3]!Table2[SATUAN3],Table17[[#This Row],[dbconcat]]))</f>
        <v>PCS</v>
      </c>
      <c r="M84" t="str">
        <f>IF(Table17[[#This Row],[Column5]]=0,"",IF(Table17[[#This Row],[Column3]]="",INDEX([3]!db[QTY B],Table17[[#This Row],[//db]]),""))</f>
        <v/>
      </c>
      <c r="N84" t="str">
        <f>IF(Table17[[#This Row],[isin]]="","",INDEX([3]!db[STN B],Table17[[#This Row],[//db]]))</f>
        <v/>
      </c>
      <c r="O84" t="str">
        <f>IF(AND(Table17[[#This Row],[isis]]="",Table17[[#This Row],[isin]]=""),INDEX(NOTA[QTY],Sheet1!A:A)/IF(Table17[[#This Row],[Column5]]=0,1,Table17[[#This Row],[Column5]]),"")</f>
        <v/>
      </c>
      <c r="P84" t="str">
        <f>IF(Table17[[#This Row],[Column2]]="","",INDEX(NOTA[STN],Sheet1!A:A))</f>
        <v/>
      </c>
      <c r="Q84" s="5" t="str">
        <f>INDEX([3]!db[QTY B],Table17[[#This Row],[//db]])</f>
        <v>150</v>
      </c>
      <c r="R84" t="str">
        <f>INDEX([3]!db[STN B],Table17[[#This Row],[//db]])</f>
        <v>PCS</v>
      </c>
      <c r="S84" s="40" t="str">
        <f>IF(Table17[[#This Row],[Column5]]=0,Table17[[#This Row],[Column23]]/Table17[[#This Row],[Column224]],"")</f>
        <v/>
      </c>
      <c r="T84" s="4">
        <f>IF(Table17[[#This Row],[Column222]]="",Table17[[#This Row],[Column5]],Table17[[#This Row],[Column222]])</f>
        <v>1</v>
      </c>
      <c r="U84" s="4" t="str">
        <f>IF(Table17[[#This Row],[Column223]]=Table17[[#This Row],[Column24]],"",1)</f>
        <v/>
      </c>
      <c r="V84" s="5">
        <f>IF(Table17[[#This Row],[isis]]="",IF(Table17[[#This Row],[isin]]="",Table17[[#This Row],[Column2]],Table17[[#This Row],[isin]]),Table17[[#This Row],[isis]])</f>
        <v>150</v>
      </c>
      <c r="W84" s="3" t="str">
        <f>IF(Table17[[#This Row],[isis]]="",IF(Table17[[#This Row],[isin]]="",Table17[[#This Row],[Column22]],Table17[[#This Row],[stnn]]),Table17[[#This Row],[stns]])</f>
        <v>PCS</v>
      </c>
      <c r="X84" s="5">
        <f>IF(Table17[[#This Row],[Column2222]]&lt;1,Table17[[#This Row],[Column23]],Table17[[#This Row],[Column23]]*Table17[[#This Row],[Column2222]])</f>
        <v>150</v>
      </c>
      <c r="Y84" s="3" t="str">
        <f>Table17[[#This Row],[Column24]]</f>
        <v>PCS</v>
      </c>
      <c r="Z84" s="5">
        <f>Table17[[#This Row],[HRG / CTN]]/Table17[[#This Row],[Column23]]</f>
        <v>20000</v>
      </c>
      <c r="AA84" s="42" t="str">
        <f>IF(INDEX(NOTA[DISC 1],Sheet1!A:A)=0,"",INDEX(NOTA[DISC 1],Sheet1!A:A))</f>
        <v/>
      </c>
      <c r="AB84" s="42" t="str">
        <f>IF(INDEX(NOTA[DISC 2],Sheet1!A:A)=0,"",INDEX(NOTA[DISC 2],Sheet1!A:A))</f>
        <v/>
      </c>
      <c r="AC8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4" s="43">
        <f>INDEX(NOTA[HARGA/ CTN_H],Sheet1!A:A)</f>
        <v>3000000</v>
      </c>
      <c r="AE84" s="43">
        <f>IF(Table17[[#This Row],[DISC 3]]="",Table17[[#This Row],[HRG / CTN]],Table17[[#This Row],[HRG / CTN]]-(Table17[[#This Row],[HRG / CTN]]*Table17[[#This Row],[DISC 3]]))</f>
        <v>3000000</v>
      </c>
      <c r="AF84" s="14">
        <f>IF(Table17[[#This Row],[Column2222]]&lt;1,Table17[[#This Row],[Column9]],Table17[[#This Row],[Column9]]*Table17[[#This Row],[Column2222]])</f>
        <v>3000000</v>
      </c>
      <c r="AG84" s="43" t="str">
        <f ca="1">IF(NOT(AL85=Table17[[#This Row],[Column6]]),SUMIF(Table17[Column6],Table17[[#This Row],[Column6]],Table17[Column7]),"")</f>
        <v/>
      </c>
      <c r="AH84" s="44">
        <f ca="1">INDEX(NOTA[TGL_H],Sheet1!A:A)</f>
        <v>45449</v>
      </c>
      <c r="AI84" s="44">
        <f ca="1">INDEX(NOTA[TGL.NOTA_H],Sheet1!A:A)</f>
        <v>45447</v>
      </c>
      <c r="AK84" t="str">
        <f>IF(INDEX(NOTA[KETERANGAN],A:A)="","",INDEX(NOTA[KETERANGAN],A:A))</f>
        <v/>
      </c>
      <c r="AL84" t="str">
        <f ca="1">INDEX(NOTA[NO.NOTA_H],Sheet1!A:A)</f>
        <v>06736</v>
      </c>
      <c r="AM84">
        <f>INDEX(NOTA[KETERANGAN],Sheet1!A:A)</f>
        <v>0</v>
      </c>
      <c r="AN84" t="str">
        <f ca="1">INDEX(NOTA[SUPPLIER_H],Sheet1!A:A)</f>
        <v>MARCONATA</v>
      </c>
      <c r="AO84" t="e">
        <f t="shared" ca="1" si="3"/>
        <v>#N/A</v>
      </c>
      <c r="AR84" s="45" t="s">
        <v>178</v>
      </c>
    </row>
    <row r="85" spans="1:44">
      <c r="A85" s="3">
        <v>107</v>
      </c>
      <c r="C85">
        <f>INDEX(NOTA[//DB],Sheet1!A:A)</f>
        <v>3438</v>
      </c>
      <c r="D85">
        <f>MATCH(Table17[[#This Row],[//db]],[3]!Table2[\\],0)</f>
        <v>64</v>
      </c>
      <c r="E85" t="str">
        <f>INDEX([3]!db[NB NOTA],Table17[[#This Row],[//db]])</f>
        <v>AG BRANDED KCG 237 BRILLIANT</v>
      </c>
      <c r="F85" t="str">
        <f>INDEX([3]!db[NB BM],Table17[[#This Row],[//db]])</f>
        <v>AGENDA BRANDED KANCING 237 BRILLIANT</v>
      </c>
      <c r="G85" t="str">
        <f>_xlfn.IFNA(INDEX([3]!Table2[NAMA],Table17[[#This Row],[dbconcat]]),"")</f>
        <v>AGENDA BRANDED KANCING 237 BRILLIANT</v>
      </c>
      <c r="H85" t="str">
        <f>INDEX([3]!Table2[KODE BARANG],Table17[[#This Row],[dbconcat]])</f>
        <v>AGE-NB15</v>
      </c>
      <c r="I85" t="str">
        <f>IF(Table17[[#This Row],[Column3]]="",UPPER(Table17[[#This Row],[Column1]]),Table17[[#This Row],[Column3]])</f>
        <v>AGENDA BRANDED KANCING 237 BRILLIANT</v>
      </c>
      <c r="J85">
        <f>INDEX(NOTA[C],Sheet1!A:A)</f>
        <v>1</v>
      </c>
      <c r="K85">
        <f>IF(OR(Table17[[#This Row],[Column5]]=0,Table17[[#This Row],[Column3]]=""),"",INDEX([3]!Table2[ISI2],Table17[[#This Row],[dbconcat]]))</f>
        <v>150</v>
      </c>
      <c r="L85" t="str">
        <f>IF(Table17[[#This Row],[isis]]="","",INDEX([3]!Table2[SATUAN3],Table17[[#This Row],[dbconcat]]))</f>
        <v>PCS</v>
      </c>
      <c r="M85" t="str">
        <f>IF(Table17[[#This Row],[Column5]]=0,"",IF(Table17[[#This Row],[Column3]]="",INDEX([3]!db[QTY B],Table17[[#This Row],[//db]]),""))</f>
        <v/>
      </c>
      <c r="N85" t="str">
        <f>IF(Table17[[#This Row],[isin]]="","",INDEX([3]!db[STN B],Table17[[#This Row],[//db]]))</f>
        <v/>
      </c>
      <c r="O85" t="str">
        <f>IF(AND(Table17[[#This Row],[isis]]="",Table17[[#This Row],[isin]]=""),INDEX(NOTA[QTY],Sheet1!A:A)/IF(Table17[[#This Row],[Column5]]=0,1,Table17[[#This Row],[Column5]]),"")</f>
        <v/>
      </c>
      <c r="P85" t="str">
        <f>IF(Table17[[#This Row],[Column2]]="","",INDEX(NOTA[STN],Sheet1!A:A))</f>
        <v/>
      </c>
      <c r="Q85" s="5" t="str">
        <f>INDEX([3]!db[QTY B],Table17[[#This Row],[//db]])</f>
        <v>150</v>
      </c>
      <c r="R85" t="str">
        <f>INDEX([3]!db[STN B],Table17[[#This Row],[//db]])</f>
        <v>PCS</v>
      </c>
      <c r="S85" s="40" t="str">
        <f>IF(Table17[[#This Row],[Column5]]=0,Table17[[#This Row],[Column23]]/Table17[[#This Row],[Column224]],"")</f>
        <v/>
      </c>
      <c r="T85" s="4">
        <f>IF(Table17[[#This Row],[Column222]]="",Table17[[#This Row],[Column5]],Table17[[#This Row],[Column222]])</f>
        <v>1</v>
      </c>
      <c r="U85" s="4" t="str">
        <f>IF(Table17[[#This Row],[Column223]]=Table17[[#This Row],[Column24]],"",1)</f>
        <v/>
      </c>
      <c r="V85" s="5">
        <f>IF(Table17[[#This Row],[isis]]="",IF(Table17[[#This Row],[isin]]="",Table17[[#This Row],[Column2]],Table17[[#This Row],[isin]]),Table17[[#This Row],[isis]])</f>
        <v>150</v>
      </c>
      <c r="W85" s="3" t="str">
        <f>IF(Table17[[#This Row],[isis]]="",IF(Table17[[#This Row],[isin]]="",Table17[[#This Row],[Column22]],Table17[[#This Row],[stnn]]),Table17[[#This Row],[stns]])</f>
        <v>PCS</v>
      </c>
      <c r="X85" s="5">
        <f>IF(Table17[[#This Row],[Column2222]]&lt;1,Table17[[#This Row],[Column23]],Table17[[#This Row],[Column23]]*Table17[[#This Row],[Column2222]])</f>
        <v>150</v>
      </c>
      <c r="Y85" s="3" t="str">
        <f>Table17[[#This Row],[Column24]]</f>
        <v>PCS</v>
      </c>
      <c r="Z85" s="5">
        <f>Table17[[#This Row],[HRG / CTN]]/Table17[[#This Row],[Column23]]</f>
        <v>20000</v>
      </c>
      <c r="AA85" s="42" t="str">
        <f>IF(INDEX(NOTA[DISC 1],Sheet1!A:A)=0,"",INDEX(NOTA[DISC 1],Sheet1!A:A))</f>
        <v/>
      </c>
      <c r="AB85" s="42" t="str">
        <f>IF(INDEX(NOTA[DISC 2],Sheet1!A:A)=0,"",INDEX(NOTA[DISC 2],Sheet1!A:A))</f>
        <v/>
      </c>
      <c r="AC8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5" s="43">
        <f>INDEX(NOTA[HARGA/ CTN_H],Sheet1!A:A)</f>
        <v>3000000</v>
      </c>
      <c r="AE85" s="43">
        <f>IF(Table17[[#This Row],[DISC 3]]="",Table17[[#This Row],[HRG / CTN]],Table17[[#This Row],[HRG / CTN]]-(Table17[[#This Row],[HRG / CTN]]*Table17[[#This Row],[DISC 3]]))</f>
        <v>3000000</v>
      </c>
      <c r="AF85" s="14">
        <f>IF(Table17[[#This Row],[Column2222]]&lt;1,Table17[[#This Row],[Column9]],Table17[[#This Row],[Column9]]*Table17[[#This Row],[Column2222]])</f>
        <v>3000000</v>
      </c>
      <c r="AG85" s="43" t="str">
        <f ca="1">IF(NOT(AL86=Table17[[#This Row],[Column6]]),SUMIF(Table17[Column6],Table17[[#This Row],[Column6]],Table17[Column7]),"")</f>
        <v/>
      </c>
      <c r="AH85" s="44">
        <f ca="1">INDEX(NOTA[TGL_H],Sheet1!A:A)</f>
        <v>45449</v>
      </c>
      <c r="AI85" s="44">
        <f ca="1">INDEX(NOTA[TGL.NOTA_H],Sheet1!A:A)</f>
        <v>45447</v>
      </c>
      <c r="AK85" t="str">
        <f>IF(INDEX(NOTA[KETERANGAN],A:A)="","",INDEX(NOTA[KETERANGAN],A:A))</f>
        <v/>
      </c>
      <c r="AL85" t="str">
        <f ca="1">INDEX(NOTA[NO.NOTA_H],Sheet1!A:A)</f>
        <v>06736</v>
      </c>
      <c r="AM85">
        <f>INDEX(NOTA[KETERANGAN],Sheet1!A:A)</f>
        <v>0</v>
      </c>
      <c r="AN85" t="str">
        <f ca="1">INDEX(NOTA[SUPPLIER_H],Sheet1!A:A)</f>
        <v>MARCONATA</v>
      </c>
      <c r="AO85" t="e">
        <f t="shared" ca="1" si="3"/>
        <v>#N/A</v>
      </c>
      <c r="AR85" s="45" t="s">
        <v>178</v>
      </c>
    </row>
    <row r="86" spans="1:44">
      <c r="A86" s="3">
        <v>108</v>
      </c>
      <c r="C86">
        <f>INDEX(NOTA[//DB],Sheet1!A:A)</f>
        <v>3439</v>
      </c>
      <c r="D86">
        <f>MATCH(Table17[[#This Row],[//db]],[3]!Table2[\\],0)</f>
        <v>65</v>
      </c>
      <c r="E86" t="str">
        <f>INDEX([3]!db[NB NOTA],Table17[[#This Row],[//db]])</f>
        <v>AG BRANDED KCG LV BUNGA</v>
      </c>
      <c r="F86" t="str">
        <f>INDEX([3]!db[NB BM],Table17[[#This Row],[//db]])</f>
        <v>AGENDA BRANDED KANCING LV BUNGA</v>
      </c>
      <c r="G86" t="str">
        <f>_xlfn.IFNA(INDEX([3]!Table2[NAMA],Table17[[#This Row],[dbconcat]]),"")</f>
        <v>AGENDA BRANDED KANCING LV BUNGA</v>
      </c>
      <c r="H86" t="str">
        <f>INDEX([3]!Table2[KODE BARANG],Table17[[#This Row],[dbconcat]])</f>
        <v>AGE-NB16</v>
      </c>
      <c r="I86" t="str">
        <f>IF(Table17[[#This Row],[Column3]]="",UPPER(Table17[[#This Row],[Column1]]),Table17[[#This Row],[Column3]])</f>
        <v>AGENDA BRANDED KANCING LV BUNGA</v>
      </c>
      <c r="J86">
        <f>INDEX(NOTA[C],Sheet1!A:A)</f>
        <v>1</v>
      </c>
      <c r="K86">
        <f>IF(OR(Table17[[#This Row],[Column5]]=0,Table17[[#This Row],[Column3]]=""),"",INDEX([3]!Table2[ISI2],Table17[[#This Row],[dbconcat]]))</f>
        <v>150</v>
      </c>
      <c r="L86" t="str">
        <f>IF(Table17[[#This Row],[isis]]="","",INDEX([3]!Table2[SATUAN3],Table17[[#This Row],[dbconcat]]))</f>
        <v>PCS</v>
      </c>
      <c r="M86" t="str">
        <f>IF(Table17[[#This Row],[Column5]]=0,"",IF(Table17[[#This Row],[Column3]]="",INDEX([3]!db[QTY B],Table17[[#This Row],[//db]]),""))</f>
        <v/>
      </c>
      <c r="N86" t="str">
        <f>IF(Table17[[#This Row],[isin]]="","",INDEX([3]!db[STN B],Table17[[#This Row],[//db]]))</f>
        <v/>
      </c>
      <c r="O86" t="str">
        <f>IF(AND(Table17[[#This Row],[isis]]="",Table17[[#This Row],[isin]]=""),INDEX(NOTA[QTY],Sheet1!A:A)/IF(Table17[[#This Row],[Column5]]=0,1,Table17[[#This Row],[Column5]]),"")</f>
        <v/>
      </c>
      <c r="P86" t="str">
        <f>IF(Table17[[#This Row],[Column2]]="","",INDEX(NOTA[STN],Sheet1!A:A))</f>
        <v/>
      </c>
      <c r="Q86" s="5" t="str">
        <f>INDEX([3]!db[QTY B],Table17[[#This Row],[//db]])</f>
        <v>150</v>
      </c>
      <c r="R86" t="str">
        <f>INDEX([3]!db[STN B],Table17[[#This Row],[//db]])</f>
        <v>PCS</v>
      </c>
      <c r="S86" s="40" t="str">
        <f>IF(Table17[[#This Row],[Column5]]=0,Table17[[#This Row],[Column23]]/Table17[[#This Row],[Column224]],"")</f>
        <v/>
      </c>
      <c r="T86" s="4">
        <f>IF(Table17[[#This Row],[Column222]]="",Table17[[#This Row],[Column5]],Table17[[#This Row],[Column222]])</f>
        <v>1</v>
      </c>
      <c r="U86" s="4" t="str">
        <f>IF(Table17[[#This Row],[Column223]]=Table17[[#This Row],[Column24]],"",1)</f>
        <v/>
      </c>
      <c r="V86" s="5">
        <f>IF(Table17[[#This Row],[isis]]="",IF(Table17[[#This Row],[isin]]="",Table17[[#This Row],[Column2]],Table17[[#This Row],[isin]]),Table17[[#This Row],[isis]])</f>
        <v>150</v>
      </c>
      <c r="W86" s="3" t="str">
        <f>IF(Table17[[#This Row],[isis]]="",IF(Table17[[#This Row],[isin]]="",Table17[[#This Row],[Column22]],Table17[[#This Row],[stnn]]),Table17[[#This Row],[stns]])</f>
        <v>PCS</v>
      </c>
      <c r="X86" s="5">
        <f>IF(Table17[[#This Row],[Column2222]]&lt;1,Table17[[#This Row],[Column23]],Table17[[#This Row],[Column23]]*Table17[[#This Row],[Column2222]])</f>
        <v>150</v>
      </c>
      <c r="Y86" s="3" t="str">
        <f>Table17[[#This Row],[Column24]]</f>
        <v>PCS</v>
      </c>
      <c r="Z86" s="5">
        <f>Table17[[#This Row],[HRG / CTN]]/Table17[[#This Row],[Column23]]</f>
        <v>20000</v>
      </c>
      <c r="AA86" s="42" t="str">
        <f>IF(INDEX(NOTA[DISC 1],Sheet1!A:A)=0,"",INDEX(NOTA[DISC 1],Sheet1!A:A))</f>
        <v/>
      </c>
      <c r="AB86" s="42" t="str">
        <f>IF(INDEX(NOTA[DISC 2],Sheet1!A:A)=0,"",INDEX(NOTA[DISC 2],Sheet1!A:A))</f>
        <v/>
      </c>
      <c r="AC8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6" s="43">
        <f>INDEX(NOTA[HARGA/ CTN_H],Sheet1!A:A)</f>
        <v>3000000</v>
      </c>
      <c r="AE86" s="43">
        <f>IF(Table17[[#This Row],[DISC 3]]="",Table17[[#This Row],[HRG / CTN]],Table17[[#This Row],[HRG / CTN]]-(Table17[[#This Row],[HRG / CTN]]*Table17[[#This Row],[DISC 3]]))</f>
        <v>3000000</v>
      </c>
      <c r="AF86" s="14">
        <f>IF(Table17[[#This Row],[Column2222]]&lt;1,Table17[[#This Row],[Column9]],Table17[[#This Row],[Column9]]*Table17[[#This Row],[Column2222]])</f>
        <v>3000000</v>
      </c>
      <c r="AG86" s="43" t="str">
        <f ca="1">IF(NOT(AL87=Table17[[#This Row],[Column6]]),SUMIF(Table17[Column6],Table17[[#This Row],[Column6]],Table17[Column7]),"")</f>
        <v/>
      </c>
      <c r="AH86" s="44">
        <f ca="1">INDEX(NOTA[TGL_H],Sheet1!A:A)</f>
        <v>45449</v>
      </c>
      <c r="AI86" s="44">
        <f ca="1">INDEX(NOTA[TGL.NOTA_H],Sheet1!A:A)</f>
        <v>45447</v>
      </c>
      <c r="AK86" t="str">
        <f>IF(INDEX(NOTA[KETERANGAN],A:A)="","",INDEX(NOTA[KETERANGAN],A:A))</f>
        <v/>
      </c>
      <c r="AL86" t="str">
        <f ca="1">INDEX(NOTA[NO.NOTA_H],Sheet1!A:A)</f>
        <v>06736</v>
      </c>
      <c r="AM86">
        <f>INDEX(NOTA[KETERANGAN],Sheet1!A:A)</f>
        <v>0</v>
      </c>
      <c r="AN86" t="str">
        <f ca="1">INDEX(NOTA[SUPPLIER_H],Sheet1!A:A)</f>
        <v>MARCONATA</v>
      </c>
      <c r="AO86" t="e">
        <f t="shared" ref="AO86:AO117" ca="1" si="4">MATCH(AL:AL,AR:AR,0)</f>
        <v>#N/A</v>
      </c>
      <c r="AR86" s="45" t="s">
        <v>178</v>
      </c>
    </row>
    <row r="87" spans="1:44">
      <c r="A87" s="3">
        <v>109</v>
      </c>
      <c r="C87">
        <f>INDEX(NOTA[//DB],Sheet1!A:A)</f>
        <v>3440</v>
      </c>
      <c r="D87">
        <f>MATCH(Table17[[#This Row],[//db]],[3]!Table2[\\],0)</f>
        <v>66</v>
      </c>
      <c r="E87" t="str">
        <f>INDEX([3]!db[NB NOTA],Table17[[#This Row],[//db]])</f>
        <v>AG BRANDED KCG LV KOTAK</v>
      </c>
      <c r="F87" t="str">
        <f>INDEX([3]!db[NB BM],Table17[[#This Row],[//db]])</f>
        <v>AGENDA BRANDED KANCING LV KOTAK</v>
      </c>
      <c r="G87" t="str">
        <f>_xlfn.IFNA(INDEX([3]!Table2[NAMA],Table17[[#This Row],[dbconcat]]),"")</f>
        <v>AGENDA BRANDED KANCING LV KOTAK</v>
      </c>
      <c r="H87" t="str">
        <f>INDEX([3]!Table2[KODE BARANG],Table17[[#This Row],[dbconcat]])</f>
        <v>AGE-NB17</v>
      </c>
      <c r="I87" t="str">
        <f>IF(Table17[[#This Row],[Column3]]="",UPPER(Table17[[#This Row],[Column1]]),Table17[[#This Row],[Column3]])</f>
        <v>AGENDA BRANDED KANCING LV KOTAK</v>
      </c>
      <c r="J87">
        <f>INDEX(NOTA[C],Sheet1!A:A)</f>
        <v>1</v>
      </c>
      <c r="K87">
        <f>IF(OR(Table17[[#This Row],[Column5]]=0,Table17[[#This Row],[Column3]]=""),"",INDEX([3]!Table2[ISI2],Table17[[#This Row],[dbconcat]]))</f>
        <v>150</v>
      </c>
      <c r="L87" t="str">
        <f>IF(Table17[[#This Row],[isis]]="","",INDEX([3]!Table2[SATUAN3],Table17[[#This Row],[dbconcat]]))</f>
        <v>PCS</v>
      </c>
      <c r="M87" t="str">
        <f>IF(Table17[[#This Row],[Column5]]=0,"",IF(Table17[[#This Row],[Column3]]="",INDEX([3]!db[QTY B],Table17[[#This Row],[//db]]),""))</f>
        <v/>
      </c>
      <c r="N87" t="str">
        <f>IF(Table17[[#This Row],[isin]]="","",INDEX([3]!db[STN B],Table17[[#This Row],[//db]]))</f>
        <v/>
      </c>
      <c r="O87" t="str">
        <f>IF(AND(Table17[[#This Row],[isis]]="",Table17[[#This Row],[isin]]=""),INDEX(NOTA[QTY],Sheet1!A:A)/IF(Table17[[#This Row],[Column5]]=0,1,Table17[[#This Row],[Column5]]),"")</f>
        <v/>
      </c>
      <c r="P87" t="str">
        <f>IF(Table17[[#This Row],[Column2]]="","",INDEX(NOTA[STN],Sheet1!A:A))</f>
        <v/>
      </c>
      <c r="Q87" s="5" t="str">
        <f>INDEX([3]!db[QTY B],Table17[[#This Row],[//db]])</f>
        <v>150</v>
      </c>
      <c r="R87" t="str">
        <f>INDEX([3]!db[STN B],Table17[[#This Row],[//db]])</f>
        <v>PCS</v>
      </c>
      <c r="S87" s="40" t="str">
        <f>IF(Table17[[#This Row],[Column5]]=0,Table17[[#This Row],[Column23]]/Table17[[#This Row],[Column224]],"")</f>
        <v/>
      </c>
      <c r="T87" s="4">
        <f>IF(Table17[[#This Row],[Column222]]="",Table17[[#This Row],[Column5]],Table17[[#This Row],[Column222]])</f>
        <v>1</v>
      </c>
      <c r="U87" s="4" t="str">
        <f>IF(Table17[[#This Row],[Column223]]=Table17[[#This Row],[Column24]],"",1)</f>
        <v/>
      </c>
      <c r="V87" s="5">
        <f>IF(Table17[[#This Row],[isis]]="",IF(Table17[[#This Row],[isin]]="",Table17[[#This Row],[Column2]],Table17[[#This Row],[isin]]),Table17[[#This Row],[isis]])</f>
        <v>150</v>
      </c>
      <c r="W87" s="3" t="str">
        <f>IF(Table17[[#This Row],[isis]]="",IF(Table17[[#This Row],[isin]]="",Table17[[#This Row],[Column22]],Table17[[#This Row],[stnn]]),Table17[[#This Row],[stns]])</f>
        <v>PCS</v>
      </c>
      <c r="X87" s="5">
        <f>IF(Table17[[#This Row],[Column2222]]&lt;1,Table17[[#This Row],[Column23]],Table17[[#This Row],[Column23]]*Table17[[#This Row],[Column2222]])</f>
        <v>150</v>
      </c>
      <c r="Y87" s="3" t="str">
        <f>Table17[[#This Row],[Column24]]</f>
        <v>PCS</v>
      </c>
      <c r="Z87" s="5">
        <f>Table17[[#This Row],[HRG / CTN]]/Table17[[#This Row],[Column23]]</f>
        <v>20000</v>
      </c>
      <c r="AA87" s="42" t="str">
        <f>IF(INDEX(NOTA[DISC 1],Sheet1!A:A)=0,"",INDEX(NOTA[DISC 1],Sheet1!A:A))</f>
        <v/>
      </c>
      <c r="AB87" s="42" t="str">
        <f>IF(INDEX(NOTA[DISC 2],Sheet1!A:A)=0,"",INDEX(NOTA[DISC 2],Sheet1!A:A))</f>
        <v/>
      </c>
      <c r="AC8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7" s="43">
        <f>INDEX(NOTA[HARGA/ CTN_H],Sheet1!A:A)</f>
        <v>3000000</v>
      </c>
      <c r="AE87" s="43">
        <f>IF(Table17[[#This Row],[DISC 3]]="",Table17[[#This Row],[HRG / CTN]],Table17[[#This Row],[HRG / CTN]]-(Table17[[#This Row],[HRG / CTN]]*Table17[[#This Row],[DISC 3]]))</f>
        <v>3000000</v>
      </c>
      <c r="AF87" s="14">
        <f>IF(Table17[[#This Row],[Column2222]]&lt;1,Table17[[#This Row],[Column9]],Table17[[#This Row],[Column9]]*Table17[[#This Row],[Column2222]])</f>
        <v>3000000</v>
      </c>
      <c r="AG87" s="43">
        <f ca="1">IF(NOT(AL88=Table17[[#This Row],[Column6]]),SUMIF(Table17[Column6],Table17[[#This Row],[Column6]],Table17[Column7]),"")</f>
        <v>12000000</v>
      </c>
      <c r="AH87" s="44">
        <f ca="1">INDEX(NOTA[TGL_H],Sheet1!A:A)</f>
        <v>45449</v>
      </c>
      <c r="AI87" s="44">
        <f ca="1">INDEX(NOTA[TGL.NOTA_H],Sheet1!A:A)</f>
        <v>45447</v>
      </c>
      <c r="AK87" t="str">
        <f>IF(INDEX(NOTA[KETERANGAN],A:A)="","",INDEX(NOTA[KETERANGAN],A:A))</f>
        <v/>
      </c>
      <c r="AL87" t="str">
        <f ca="1">INDEX(NOTA[NO.NOTA_H],Sheet1!A:A)</f>
        <v>06736</v>
      </c>
      <c r="AM87">
        <f>INDEX(NOTA[KETERANGAN],Sheet1!A:A)</f>
        <v>0</v>
      </c>
      <c r="AN87" t="str">
        <f ca="1">INDEX(NOTA[SUPPLIER_H],Sheet1!A:A)</f>
        <v>MARCONATA</v>
      </c>
      <c r="AO87" t="e">
        <f t="shared" ca="1" si="4"/>
        <v>#N/A</v>
      </c>
      <c r="AR87" s="45" t="s">
        <v>178</v>
      </c>
    </row>
    <row r="88" spans="1:44">
      <c r="A88" s="3">
        <v>111</v>
      </c>
      <c r="C88">
        <f>INDEX(NOTA[//DB],Sheet1!A:A)</f>
        <v>873</v>
      </c>
      <c r="D88">
        <f>MATCH(Table17[[#This Row],[//db]],[3]!Table2[\\],0)</f>
        <v>988</v>
      </c>
      <c r="E88" t="str">
        <f>INDEX([3]!db[NB NOTA],Table17[[#This Row],[//db]])</f>
        <v>DOC RIT PRESTIGE</v>
      </c>
      <c r="F88" t="str">
        <f>INDEX([3]!db[NB BM],Table17[[#This Row],[//db]])</f>
        <v>Dokumen Risleting Prestige</v>
      </c>
      <c r="G88" t="str">
        <f>_xlfn.IFNA(INDEX([3]!Table2[NAMA],Table17[[#This Row],[dbconcat]]),"")</f>
        <v>DOKUMEN RISLETING PRESTIGE</v>
      </c>
      <c r="H88" t="str">
        <f>INDEX([3]!Table2[KODE BARANG],Table17[[#This Row],[dbconcat]])</f>
        <v>DOK-NB29</v>
      </c>
      <c r="I88" t="str">
        <f>IF(Table17[[#This Row],[Column3]]="",UPPER(Table17[[#This Row],[Column1]]),Table17[[#This Row],[Column3]])</f>
        <v>DOKUMEN RISLETING PRESTIGE</v>
      </c>
      <c r="J88">
        <f>INDEX(NOTA[C],Sheet1!A:A)</f>
        <v>0</v>
      </c>
      <c r="K88" t="str">
        <f>IF(OR(Table17[[#This Row],[Column5]]=0,Table17[[#This Row],[Column3]]=""),"",INDEX([3]!Table2[ISI2],Table17[[#This Row],[dbconcat]]))</f>
        <v/>
      </c>
      <c r="L88" t="str">
        <f>IF(Table17[[#This Row],[isis]]="","",INDEX([3]!Table2[SATUAN3],Table17[[#This Row],[dbconcat]]))</f>
        <v/>
      </c>
      <c r="M88" t="str">
        <f>IF(Table17[[#This Row],[Column5]]=0,"",IF(Table17[[#This Row],[Column3]]="",INDEX([3]!db[QTY B],Table17[[#This Row],[//db]]),""))</f>
        <v/>
      </c>
      <c r="N88" t="str">
        <f>IF(Table17[[#This Row],[isin]]="","",INDEX([3]!db[STN B],Table17[[#This Row],[//db]]))</f>
        <v/>
      </c>
      <c r="O88">
        <f>IF(AND(Table17[[#This Row],[isis]]="",Table17[[#This Row],[isin]]=""),INDEX(NOTA[QTY],Sheet1!A:A)/IF(Table17[[#This Row],[Column5]]=0,1,Table17[[#This Row],[Column5]]),"")</f>
        <v>8</v>
      </c>
      <c r="P88" t="str">
        <f>IF(Table17[[#This Row],[Column2]]="","",INDEX(NOTA[STN],Sheet1!A:A))</f>
        <v>LSN</v>
      </c>
      <c r="Q88" s="5" t="str">
        <f>INDEX([3]!db[QTY B],Table17[[#This Row],[//db]])</f>
        <v>8</v>
      </c>
      <c r="R88" t="str">
        <f>INDEX([3]!db[STN B],Table17[[#This Row],[//db]])</f>
        <v>LSN</v>
      </c>
      <c r="S88" s="40">
        <f>IF(Table17[[#This Row],[Column5]]=0,Table17[[#This Row],[Column23]]/Table17[[#This Row],[Column224]],"")</f>
        <v>1</v>
      </c>
      <c r="T88" s="4">
        <f>IF(Table17[[#This Row],[Column222]]="",Table17[[#This Row],[Column5]],Table17[[#This Row],[Column222]])</f>
        <v>1</v>
      </c>
      <c r="U88" s="4" t="str">
        <f>IF(Table17[[#This Row],[Column223]]=Table17[[#This Row],[Column24]],"",1)</f>
        <v/>
      </c>
      <c r="V88" s="5">
        <f>IF(Table17[[#This Row],[isis]]="",IF(Table17[[#This Row],[isin]]="",Table17[[#This Row],[Column2]],Table17[[#This Row],[isin]]),Table17[[#This Row],[isis]])</f>
        <v>8</v>
      </c>
      <c r="W88" s="3" t="str">
        <f>IF(Table17[[#This Row],[isis]]="",IF(Table17[[#This Row],[isin]]="",Table17[[#This Row],[Column22]],Table17[[#This Row],[stnn]]),Table17[[#This Row],[stns]])</f>
        <v>LSN</v>
      </c>
      <c r="X88" s="5">
        <f>IF(Table17[[#This Row],[Column2222]]&lt;1,Table17[[#This Row],[Column23]],Table17[[#This Row],[Column23]]*Table17[[#This Row],[Column2222]])</f>
        <v>8</v>
      </c>
      <c r="Y88" s="3" t="str">
        <f>Table17[[#This Row],[Column24]]</f>
        <v>LSN</v>
      </c>
      <c r="Z88" s="5">
        <f>Table17[[#This Row],[HRG / CTN]]/Table17[[#This Row],[Column23]]</f>
        <v>195000</v>
      </c>
      <c r="AA88" s="42" t="str">
        <f>IF(INDEX(NOTA[DISC 1],Sheet1!A:A)=0,"",INDEX(NOTA[DISC 1],Sheet1!A:A))</f>
        <v/>
      </c>
      <c r="AB88" s="42" t="str">
        <f>IF(INDEX(NOTA[DISC 2],Sheet1!A:A)=0,"",INDEX(NOTA[DISC 2],Sheet1!A:A))</f>
        <v/>
      </c>
      <c r="AC8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8" s="43">
        <f>INDEX(NOTA[HARGA/ CTN_H],Sheet1!A:A)</f>
        <v>1560000</v>
      </c>
      <c r="AE88" s="43">
        <f>IF(Table17[[#This Row],[DISC 3]]="",Table17[[#This Row],[HRG / CTN]],Table17[[#This Row],[HRG / CTN]]-(Table17[[#This Row],[HRG / CTN]]*Table17[[#This Row],[DISC 3]]))</f>
        <v>1560000</v>
      </c>
      <c r="AF88" s="14">
        <f>IF(Table17[[#This Row],[Column2222]]&lt;1,Table17[[#This Row],[Column9]],Table17[[#This Row],[Column9]]*Table17[[#This Row],[Column2222]])</f>
        <v>1560000</v>
      </c>
      <c r="AG88" s="43" t="str">
        <f ca="1">IF(NOT(AL89=Table17[[#This Row],[Column6]]),SUMIF(Table17[Column6],Table17[[#This Row],[Column6]],Table17[Column7]),"")</f>
        <v/>
      </c>
      <c r="AH88" s="44">
        <f ca="1">INDEX(NOTA[TGL_H],Sheet1!A:A)</f>
        <v>45456</v>
      </c>
      <c r="AI88" s="44">
        <f ca="1">INDEX(NOTA[TGL.NOTA_H],Sheet1!A:A)</f>
        <v>45456</v>
      </c>
      <c r="AK88" t="str">
        <f>IF(INDEX(NOTA[KETERANGAN],A:A)="","",INDEX(NOTA[KETERANGAN],A:A))</f>
        <v/>
      </c>
      <c r="AL88" t="str">
        <f ca="1">INDEX(NOTA[NO.NOTA_H],Sheet1!A:A)</f>
        <v>0618</v>
      </c>
      <c r="AM88">
        <f>INDEX(NOTA[KETERANGAN],Sheet1!A:A)</f>
        <v>0</v>
      </c>
      <c r="AN88" t="str">
        <f ca="1">INDEX(NOTA[SUPPLIER_H],Sheet1!A:A)</f>
        <v>COMBI</v>
      </c>
      <c r="AO88" t="e">
        <f t="shared" ca="1" si="4"/>
        <v>#N/A</v>
      </c>
      <c r="AR88" s="45" t="s">
        <v>180</v>
      </c>
    </row>
    <row r="89" spans="1:44">
      <c r="A89" s="3">
        <v>112</v>
      </c>
      <c r="C89">
        <f>INDEX(NOTA[//DB],Sheet1!A:A)</f>
        <v>856</v>
      </c>
      <c r="D89">
        <f>MATCH(Table17[[#This Row],[//db]],[3]!Table2[\\],0)</f>
        <v>971</v>
      </c>
      <c r="E89" t="str">
        <f>INDEX([3]!db[NB NOTA],Table17[[#This Row],[//db]])</f>
        <v>DOC RIT BRILLIANT</v>
      </c>
      <c r="F89" t="str">
        <f>INDEX([3]!db[NB BM],Table17[[#This Row],[//db]])</f>
        <v>Dokumen Risleting Brilliant</v>
      </c>
      <c r="G89" t="str">
        <f>_xlfn.IFNA(INDEX([3]!Table2[NAMA],Table17[[#This Row],[dbconcat]]),"")</f>
        <v>DOKUMEN RISLETING BRILLIANT</v>
      </c>
      <c r="H89" t="str">
        <f>INDEX([3]!Table2[KODE BARANG],Table17[[#This Row],[dbconcat]])</f>
        <v>DOK-NB9</v>
      </c>
      <c r="I89" t="str">
        <f>IF(Table17[[#This Row],[Column3]]="",UPPER(Table17[[#This Row],[Column1]]),Table17[[#This Row],[Column3]])</f>
        <v>DOKUMEN RISLETING BRILLIANT</v>
      </c>
      <c r="J89">
        <f>INDEX(NOTA[C],Sheet1!A:A)</f>
        <v>0</v>
      </c>
      <c r="K89" t="str">
        <f>IF(OR(Table17[[#This Row],[Column5]]=0,Table17[[#This Row],[Column3]]=""),"",INDEX([3]!Table2[ISI2],Table17[[#This Row],[dbconcat]]))</f>
        <v/>
      </c>
      <c r="L89" t="str">
        <f>IF(Table17[[#This Row],[isis]]="","",INDEX([3]!Table2[SATUAN3],Table17[[#This Row],[dbconcat]]))</f>
        <v/>
      </c>
      <c r="M89" t="str">
        <f>IF(Table17[[#This Row],[Column5]]=0,"",IF(Table17[[#This Row],[Column3]]="",INDEX([3]!db[QTY B],Table17[[#This Row],[//db]]),""))</f>
        <v/>
      </c>
      <c r="N89" t="str">
        <f>IF(Table17[[#This Row],[isin]]="","",INDEX([3]!db[STN B],Table17[[#This Row],[//db]]))</f>
        <v/>
      </c>
      <c r="O89">
        <f>IF(AND(Table17[[#This Row],[isis]]="",Table17[[#This Row],[isin]]=""),INDEX(NOTA[QTY],Sheet1!A:A)/IF(Table17[[#This Row],[Column5]]=0,1,Table17[[#This Row],[Column5]]),"")</f>
        <v>8</v>
      </c>
      <c r="P89" t="str">
        <f>IF(Table17[[#This Row],[Column2]]="","",INDEX(NOTA[STN],Sheet1!A:A))</f>
        <v>LSN</v>
      </c>
      <c r="Q89" s="5" t="str">
        <f>INDEX([3]!db[QTY B],Table17[[#This Row],[//db]])</f>
        <v>8</v>
      </c>
      <c r="R89" t="str">
        <f>INDEX([3]!db[STN B],Table17[[#This Row],[//db]])</f>
        <v>LSN</v>
      </c>
      <c r="S89" s="40">
        <f>IF(Table17[[#This Row],[Column5]]=0,Table17[[#This Row],[Column23]]/Table17[[#This Row],[Column224]],"")</f>
        <v>1</v>
      </c>
      <c r="T89" s="4">
        <f>IF(Table17[[#This Row],[Column222]]="",Table17[[#This Row],[Column5]],Table17[[#This Row],[Column222]])</f>
        <v>1</v>
      </c>
      <c r="U89" s="4" t="str">
        <f>IF(Table17[[#This Row],[Column223]]=Table17[[#This Row],[Column24]],"",1)</f>
        <v/>
      </c>
      <c r="V89" s="5">
        <f>IF(Table17[[#This Row],[isis]]="",IF(Table17[[#This Row],[isin]]="",Table17[[#This Row],[Column2]],Table17[[#This Row],[isin]]),Table17[[#This Row],[isis]])</f>
        <v>8</v>
      </c>
      <c r="W89" s="3" t="str">
        <f>IF(Table17[[#This Row],[isis]]="",IF(Table17[[#This Row],[isin]]="",Table17[[#This Row],[Column22]],Table17[[#This Row],[stnn]]),Table17[[#This Row],[stns]])</f>
        <v>LSN</v>
      </c>
      <c r="X89" s="5">
        <f>IF(Table17[[#This Row],[Column2222]]&lt;1,Table17[[#This Row],[Column23]],Table17[[#This Row],[Column23]]*Table17[[#This Row],[Column2222]])</f>
        <v>8</v>
      </c>
      <c r="Y89" s="3" t="str">
        <f>Table17[[#This Row],[Column24]]</f>
        <v>LSN</v>
      </c>
      <c r="Z89" s="5">
        <f>Table17[[#This Row],[HRG / CTN]]/Table17[[#This Row],[Column23]]</f>
        <v>213000</v>
      </c>
      <c r="AA89" s="42" t="str">
        <f>IF(INDEX(NOTA[DISC 1],Sheet1!A:A)=0,"",INDEX(NOTA[DISC 1],Sheet1!A:A))</f>
        <v/>
      </c>
      <c r="AB89" s="42" t="str">
        <f>IF(INDEX(NOTA[DISC 2],Sheet1!A:A)=0,"",INDEX(NOTA[DISC 2],Sheet1!A:A))</f>
        <v/>
      </c>
      <c r="AC8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9" s="43">
        <f>INDEX(NOTA[HARGA/ CTN_H],Sheet1!A:A)</f>
        <v>1704000</v>
      </c>
      <c r="AE89" s="43">
        <f>IF(Table17[[#This Row],[DISC 3]]="",Table17[[#This Row],[HRG / CTN]],Table17[[#This Row],[HRG / CTN]]-(Table17[[#This Row],[HRG / CTN]]*Table17[[#This Row],[DISC 3]]))</f>
        <v>1704000</v>
      </c>
      <c r="AF89" s="14">
        <f>IF(Table17[[#This Row],[Column2222]]&lt;1,Table17[[#This Row],[Column9]],Table17[[#This Row],[Column9]]*Table17[[#This Row],[Column2222]])</f>
        <v>1704000</v>
      </c>
      <c r="AG89" s="43">
        <f ca="1">IF(NOT(AL90=Table17[[#This Row],[Column6]]),SUMIF(Table17[Column6],Table17[[#This Row],[Column6]],Table17[Column7]),"")</f>
        <v>3264000</v>
      </c>
      <c r="AH89" s="44">
        <f ca="1">INDEX(NOTA[TGL_H],Sheet1!A:A)</f>
        <v>45456</v>
      </c>
      <c r="AI89" s="44">
        <f ca="1">INDEX(NOTA[TGL.NOTA_H],Sheet1!A:A)</f>
        <v>45456</v>
      </c>
      <c r="AK89" t="str">
        <f>IF(INDEX(NOTA[KETERANGAN],A:A)="","",INDEX(NOTA[KETERANGAN],A:A))</f>
        <v/>
      </c>
      <c r="AL89" t="str">
        <f ca="1">INDEX(NOTA[NO.NOTA_H],Sheet1!A:A)</f>
        <v>0618</v>
      </c>
      <c r="AM89">
        <f>INDEX(NOTA[KETERANGAN],Sheet1!A:A)</f>
        <v>0</v>
      </c>
      <c r="AN89" t="str">
        <f ca="1">INDEX(NOTA[SUPPLIER_H],Sheet1!A:A)</f>
        <v>COMBI</v>
      </c>
      <c r="AO89" t="e">
        <f t="shared" ca="1" si="4"/>
        <v>#N/A</v>
      </c>
      <c r="AR89" s="45" t="s">
        <v>180</v>
      </c>
    </row>
    <row r="90" spans="1:44">
      <c r="A90" s="3">
        <v>114</v>
      </c>
      <c r="C90">
        <f>INDEX(NOTA[//DB],Sheet1!A:A)</f>
        <v>865</v>
      </c>
      <c r="D90">
        <f>MATCH(Table17[[#This Row],[//db]],[3]!Table2[\\],0)</f>
        <v>987</v>
      </c>
      <c r="E90" t="str">
        <f>INDEX([3]!db[NB NOTA],Table17[[#This Row],[//db]])</f>
        <v>DOC RIT INFINITY</v>
      </c>
      <c r="F90" t="str">
        <f>INDEX([3]!db[NB BM],Table17[[#This Row],[//db]])</f>
        <v>Dokumen Risleting Infinity</v>
      </c>
      <c r="G90" t="str">
        <f>_xlfn.IFNA(INDEX([3]!Table2[NAMA],Table17[[#This Row],[dbconcat]]),"")</f>
        <v>DOKUMEN RISLETING INFINITY</v>
      </c>
      <c r="H90" t="str">
        <f>INDEX([3]!Table2[KODE BARANG],Table17[[#This Row],[dbconcat]])</f>
        <v>DOK-NB28</v>
      </c>
      <c r="I90" t="str">
        <f>IF(Table17[[#This Row],[Column3]]="",UPPER(Table17[[#This Row],[Column1]]),Table17[[#This Row],[Column3]])</f>
        <v>DOKUMEN RISLETING INFINITY</v>
      </c>
      <c r="J90">
        <f>INDEX(NOTA[C],Sheet1!A:A)</f>
        <v>0</v>
      </c>
      <c r="K90" t="str">
        <f>IF(OR(Table17[[#This Row],[Column5]]=0,Table17[[#This Row],[Column3]]=""),"",INDEX([3]!Table2[ISI2],Table17[[#This Row],[dbconcat]]))</f>
        <v/>
      </c>
      <c r="L90" t="str">
        <f>IF(Table17[[#This Row],[isis]]="","",INDEX([3]!Table2[SATUAN3],Table17[[#This Row],[dbconcat]]))</f>
        <v/>
      </c>
      <c r="M90" t="str">
        <f>IF(Table17[[#This Row],[Column5]]=0,"",IF(Table17[[#This Row],[Column3]]="",INDEX([3]!db[QTY B],Table17[[#This Row],[//db]]),""))</f>
        <v/>
      </c>
      <c r="N90" t="str">
        <f>IF(Table17[[#This Row],[isin]]="","",INDEX([3]!db[STN B],Table17[[#This Row],[//db]]))</f>
        <v/>
      </c>
      <c r="O90">
        <f>IF(AND(Table17[[#This Row],[isis]]="",Table17[[#This Row],[isin]]=""),INDEX(NOTA[QTY],Sheet1!A:A)/IF(Table17[[#This Row],[Column5]]=0,1,Table17[[#This Row],[Column5]]),"")</f>
        <v>16</v>
      </c>
      <c r="P90" t="str">
        <f>IF(Table17[[#This Row],[Column2]]="","",INDEX(NOTA[STN],Sheet1!A:A))</f>
        <v>LSN</v>
      </c>
      <c r="Q90" s="5" t="str">
        <f>INDEX([3]!db[QTY B],Table17[[#This Row],[//db]])</f>
        <v>8</v>
      </c>
      <c r="R90" t="str">
        <f>INDEX([3]!db[STN B],Table17[[#This Row],[//db]])</f>
        <v>LSN</v>
      </c>
      <c r="S90" s="40">
        <f>IF(Table17[[#This Row],[Column5]]=0,Table17[[#This Row],[Column23]]/Table17[[#This Row],[Column224]],"")</f>
        <v>2</v>
      </c>
      <c r="T90" s="4">
        <f>IF(Table17[[#This Row],[Column222]]="",Table17[[#This Row],[Column5]],Table17[[#This Row],[Column222]])</f>
        <v>2</v>
      </c>
      <c r="U90" s="4" t="str">
        <f>IF(Table17[[#This Row],[Column223]]=Table17[[#This Row],[Column24]],"",1)</f>
        <v/>
      </c>
      <c r="V90" s="5">
        <f>IF(Table17[[#This Row],[isis]]="",IF(Table17[[#This Row],[isin]]="",Table17[[#This Row],[Column2]],Table17[[#This Row],[isin]]),Table17[[#This Row],[isis]])</f>
        <v>16</v>
      </c>
      <c r="W90" s="3" t="str">
        <f>IF(Table17[[#This Row],[isis]]="",IF(Table17[[#This Row],[isin]]="",Table17[[#This Row],[Column22]],Table17[[#This Row],[stnn]]),Table17[[#This Row],[stns]])</f>
        <v>LSN</v>
      </c>
      <c r="X90" s="5">
        <f>IF(Table17[[#This Row],[Column2222]]&lt;1,Table17[[#This Row],[Column23]],Table17[[#This Row],[Column23]]*Table17[[#This Row],[Column2222]])</f>
        <v>32</v>
      </c>
      <c r="Y90" s="3" t="str">
        <f>Table17[[#This Row],[Column24]]</f>
        <v>LSN</v>
      </c>
      <c r="Z90" s="5">
        <f>Table17[[#This Row],[HRG / CTN]]/Table17[[#This Row],[Column23]]</f>
        <v>180000</v>
      </c>
      <c r="AA90" s="42" t="str">
        <f>IF(INDEX(NOTA[DISC 1],Sheet1!A:A)=0,"",INDEX(NOTA[DISC 1],Sheet1!A:A))</f>
        <v/>
      </c>
      <c r="AB90" s="42" t="str">
        <f>IF(INDEX(NOTA[DISC 2],Sheet1!A:A)=0,"",INDEX(NOTA[DISC 2],Sheet1!A:A))</f>
        <v/>
      </c>
      <c r="AC9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0" s="43">
        <f>INDEX(NOTA[HARGA/ CTN_H],Sheet1!A:A)</f>
        <v>2880000</v>
      </c>
      <c r="AE90" s="43">
        <f>IF(Table17[[#This Row],[DISC 3]]="",Table17[[#This Row],[HRG / CTN]],Table17[[#This Row],[HRG / CTN]]-(Table17[[#This Row],[HRG / CTN]]*Table17[[#This Row],[DISC 3]]))</f>
        <v>2880000</v>
      </c>
      <c r="AF90" s="14">
        <f>IF(Table17[[#This Row],[Column2222]]&lt;1,Table17[[#This Row],[Column9]],Table17[[#This Row],[Column9]]*Table17[[#This Row],[Column2222]])</f>
        <v>5760000</v>
      </c>
      <c r="AG90" s="43">
        <f ca="1">IF(NOT(AL91=Table17[[#This Row],[Column6]]),SUMIF(Table17[Column6],Table17[[#This Row],[Column6]],Table17[Column7]),"")</f>
        <v>5760000</v>
      </c>
      <c r="AH90" s="44">
        <f ca="1">INDEX(NOTA[TGL_H],Sheet1!A:A)</f>
        <v>45455</v>
      </c>
      <c r="AI90" s="44">
        <f ca="1">INDEX(NOTA[TGL.NOTA_H],Sheet1!A:A)</f>
        <v>45455</v>
      </c>
      <c r="AK90" t="str">
        <f>IF(INDEX(NOTA[KETERANGAN],A:A)="","",INDEX(NOTA[KETERANGAN],A:A))</f>
        <v/>
      </c>
      <c r="AL90" t="str">
        <f ca="1">INDEX(NOTA[NO.NOTA_H],Sheet1!A:A)</f>
        <v>0617</v>
      </c>
      <c r="AM90">
        <f>INDEX(NOTA[KETERANGAN],Sheet1!A:A)</f>
        <v>0</v>
      </c>
      <c r="AN90" t="str">
        <f ca="1">INDEX(NOTA[SUPPLIER_H],Sheet1!A:A)</f>
        <v>COMBI</v>
      </c>
      <c r="AO90" t="e">
        <f t="shared" ca="1" si="4"/>
        <v>#N/A</v>
      </c>
      <c r="AR90" s="45" t="s">
        <v>179</v>
      </c>
    </row>
    <row r="91" spans="1:44">
      <c r="A91" s="3">
        <v>116</v>
      </c>
      <c r="C91">
        <f>INDEX(NOTA[//DB],Sheet1!A:A)</f>
        <v>2053</v>
      </c>
      <c r="D91">
        <f>MATCH(Table17[[#This Row],[//db]],[3]!Table2[\\],0)</f>
        <v>1745</v>
      </c>
      <c r="E91" t="str">
        <f>INDEX([3]!db[NB NOTA],Table17[[#This Row],[//db]])</f>
        <v>MALAM SHINTOENG B 6-12W</v>
      </c>
      <c r="F91" t="str">
        <f>INDEX([3]!db[NB BM],Table17[[#This Row],[//db]])</f>
        <v>Malam Shintoeng 6-12W B</v>
      </c>
      <c r="G91" t="str">
        <f>_xlfn.IFNA(INDEX([3]!Table2[NAMA],Table17[[#This Row],[dbconcat]]),"")</f>
        <v>MALAM SHINTOENG 6-12W B</v>
      </c>
      <c r="H91" t="str">
        <f>INDEX([3]!Table2[KODE BARANG],Table17[[#This Row],[dbconcat]])</f>
        <v>MAL-SH6</v>
      </c>
      <c r="I91" t="str">
        <f>IF(Table17[[#This Row],[Column3]]="",UPPER(Table17[[#This Row],[Column1]]),Table17[[#This Row],[Column3]])</f>
        <v>MALAM SHINTOENG 6-12W B</v>
      </c>
      <c r="J91">
        <f>INDEX(NOTA[C],Sheet1!A:A)</f>
        <v>0</v>
      </c>
      <c r="K91" t="str">
        <f>IF(OR(Table17[[#This Row],[Column5]]=0,Table17[[#This Row],[Column3]]=""),"",INDEX([3]!Table2[ISI2],Table17[[#This Row],[dbconcat]]))</f>
        <v/>
      </c>
      <c r="L91" t="str">
        <f>IF(Table17[[#This Row],[isis]]="","",INDEX([3]!Table2[SATUAN3],Table17[[#This Row],[dbconcat]]))</f>
        <v/>
      </c>
      <c r="M91" t="str">
        <f>IF(Table17[[#This Row],[Column5]]=0,"",IF(Table17[[#This Row],[Column3]]="",INDEX([3]!db[QTY B],Table17[[#This Row],[//db]]),""))</f>
        <v/>
      </c>
      <c r="N91" t="str">
        <f>IF(Table17[[#This Row],[isin]]="","",INDEX([3]!db[STN B],Table17[[#This Row],[//db]]))</f>
        <v/>
      </c>
      <c r="O91">
        <f>IF(AND(Table17[[#This Row],[isis]]="",Table17[[#This Row],[isin]]=""),INDEX(NOTA[QTY],Sheet1!A:A)/IF(Table17[[#This Row],[Column5]]=0,1,Table17[[#This Row],[Column5]]),"")</f>
        <v>150</v>
      </c>
      <c r="P91" t="str">
        <f>IF(Table17[[#This Row],[Column2]]="","",INDEX(NOTA[STN],Sheet1!A:A))</f>
        <v>PCS</v>
      </c>
      <c r="Q91" s="5" t="str">
        <f>INDEX([3]!db[QTY B],Table17[[#This Row],[//db]])</f>
        <v>150</v>
      </c>
      <c r="R91" t="str">
        <f>INDEX([3]!db[STN B],Table17[[#This Row],[//db]])</f>
        <v>PCS</v>
      </c>
      <c r="S91" s="40">
        <f>IF(Table17[[#This Row],[Column5]]=0,Table17[[#This Row],[Column23]]/Table17[[#This Row],[Column224]],"")</f>
        <v>1</v>
      </c>
      <c r="T91" s="4">
        <f>IF(Table17[[#This Row],[Column222]]="",Table17[[#This Row],[Column5]],Table17[[#This Row],[Column222]])</f>
        <v>1</v>
      </c>
      <c r="U91" s="4" t="str">
        <f>IF(Table17[[#This Row],[Column223]]=Table17[[#This Row],[Column24]],"",1)</f>
        <v/>
      </c>
      <c r="V91" s="5">
        <f>IF(Table17[[#This Row],[isis]]="",IF(Table17[[#This Row],[isin]]="",Table17[[#This Row],[Column2]],Table17[[#This Row],[isin]]),Table17[[#This Row],[isis]])</f>
        <v>150</v>
      </c>
      <c r="W91" s="3" t="str">
        <f>IF(Table17[[#This Row],[isis]]="",IF(Table17[[#This Row],[isin]]="",Table17[[#This Row],[Column22]],Table17[[#This Row],[stnn]]),Table17[[#This Row],[stns]])</f>
        <v>PCS</v>
      </c>
      <c r="X91" s="5">
        <f>IF(Table17[[#This Row],[Column2222]]&lt;1,Table17[[#This Row],[Column23]],Table17[[#This Row],[Column23]]*Table17[[#This Row],[Column2222]])</f>
        <v>150</v>
      </c>
      <c r="Y91" s="3" t="str">
        <f>Table17[[#This Row],[Column24]]</f>
        <v>PCS</v>
      </c>
      <c r="Z91" s="5">
        <f>Table17[[#This Row],[HRG / CTN]]/Table17[[#This Row],[Column23]]</f>
        <v>6100</v>
      </c>
      <c r="AA91" s="42" t="str">
        <f>IF(INDEX(NOTA[DISC 1],Sheet1!A:A)=0,"",INDEX(NOTA[DISC 1],Sheet1!A:A))</f>
        <v/>
      </c>
      <c r="AB91" s="42" t="str">
        <f>IF(INDEX(NOTA[DISC 2],Sheet1!A:A)=0,"",INDEX(NOTA[DISC 2],Sheet1!A:A))</f>
        <v/>
      </c>
      <c r="AC9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1" s="43">
        <f>INDEX(NOTA[HARGA/ CTN_H],Sheet1!A:A)</f>
        <v>915000</v>
      </c>
      <c r="AE91" s="43">
        <f>IF(Table17[[#This Row],[DISC 3]]="",Table17[[#This Row],[HRG / CTN]],Table17[[#This Row],[HRG / CTN]]-(Table17[[#This Row],[HRG / CTN]]*Table17[[#This Row],[DISC 3]]))</f>
        <v>915000</v>
      </c>
      <c r="AF91" s="14">
        <f>IF(Table17[[#This Row],[Column2222]]&lt;1,Table17[[#This Row],[Column9]],Table17[[#This Row],[Column9]]*Table17[[#This Row],[Column2222]])</f>
        <v>915000</v>
      </c>
      <c r="AG91" s="43">
        <f ca="1">IF(NOT(AL92=Table17[[#This Row],[Column6]]),SUMIF(Table17[Column6],Table17[[#This Row],[Column6]],Table17[Column7]),"")</f>
        <v>915000</v>
      </c>
      <c r="AH91" s="44">
        <f ca="1">INDEX(NOTA[TGL_H],Sheet1!A:A)</f>
        <v>45455</v>
      </c>
      <c r="AI91" s="44">
        <f ca="1">INDEX(NOTA[TGL.NOTA_H],Sheet1!A:A)</f>
        <v>45455</v>
      </c>
      <c r="AK91" t="str">
        <f>IF(INDEX(NOTA[KETERANGAN],A:A)="","",INDEX(NOTA[KETERANGAN],A:A))</f>
        <v/>
      </c>
      <c r="AL91" t="str">
        <f ca="1">INDEX(NOTA[NO.NOTA_H],Sheet1!A:A)</f>
        <v>HN062024109</v>
      </c>
      <c r="AM91">
        <f>INDEX(NOTA[KETERANGAN],Sheet1!A:A)</f>
        <v>0</v>
      </c>
      <c r="AN91" t="str">
        <f ca="1">INDEX(NOTA[SUPPLIER_H],Sheet1!A:A)</f>
        <v>HANSA</v>
      </c>
      <c r="AO91" t="e">
        <f t="shared" ca="1" si="4"/>
        <v>#N/A</v>
      </c>
      <c r="AR91" s="45" t="s">
        <v>179</v>
      </c>
    </row>
    <row r="92" spans="1:44">
      <c r="A92" s="3">
        <v>118</v>
      </c>
      <c r="C92">
        <f>INDEX(NOTA[//DB],Sheet1!A:A)</f>
        <v>2930</v>
      </c>
      <c r="D92" t="e">
        <f>MATCH(Table17[[#This Row],[//db]],[3]!Table2[\\],0)</f>
        <v>#N/A</v>
      </c>
      <c r="E92" t="str">
        <f>INDEX([3]!db[NB NOTA],Table17[[#This Row],[//db]])</f>
        <v>STABILLO TZ 8001</v>
      </c>
      <c r="F92" t="str">
        <f>INDEX([3]!db[NB BM],Table17[[#This Row],[//db]])</f>
        <v>Stabillo TZ 8001</v>
      </c>
      <c r="G92" t="str">
        <f>_xlfn.IFNA(INDEX([3]!Table2[NAMA],Table17[[#This Row],[dbconcat]]),"")</f>
        <v/>
      </c>
      <c r="H92" t="e">
        <f>INDEX([3]!Table2[KODE BARANG],Table17[[#This Row],[dbconcat]])</f>
        <v>#N/A</v>
      </c>
      <c r="I92" t="str">
        <f>IF(Table17[[#This Row],[Column3]]="",UPPER(Table17[[#This Row],[Column1]]),Table17[[#This Row],[Column3]])</f>
        <v>STABILLO TZ 8001</v>
      </c>
      <c r="J92">
        <f>INDEX(NOTA[C],Sheet1!A:A)</f>
        <v>2</v>
      </c>
      <c r="K92" t="str">
        <f>IF(OR(Table17[[#This Row],[Column5]]=0,Table17[[#This Row],[Column3]]=""),"",INDEX([3]!Table2[ISI2],Table17[[#This Row],[dbconcat]]))</f>
        <v/>
      </c>
      <c r="L92" t="str">
        <f>IF(Table17[[#This Row],[isis]]="","",INDEX([3]!Table2[SATUAN3],Table17[[#This Row],[dbconcat]]))</f>
        <v/>
      </c>
      <c r="M92" t="str">
        <f>IF(Table17[[#This Row],[Column5]]=0,"",IF(Table17[[#This Row],[Column3]]="",INDEX([3]!db[QTY B],Table17[[#This Row],[//db]]),""))</f>
        <v>144</v>
      </c>
      <c r="N92" t="str">
        <f>IF(Table17[[#This Row],[isin]]="","",INDEX([3]!db[STN B],Table17[[#This Row],[//db]]))</f>
        <v>LSN</v>
      </c>
      <c r="O92" t="str">
        <f>IF(AND(Table17[[#This Row],[isis]]="",Table17[[#This Row],[isin]]=""),INDEX(NOTA[QTY],Sheet1!A:A)/IF(Table17[[#This Row],[Column5]]=0,1,Table17[[#This Row],[Column5]]),"")</f>
        <v/>
      </c>
      <c r="P92" t="str">
        <f>IF(Table17[[#This Row],[Column2]]="","",INDEX(NOTA[STN],Sheet1!A:A))</f>
        <v/>
      </c>
      <c r="Q92" s="5" t="str">
        <f>INDEX([3]!db[QTY B],Table17[[#This Row],[//db]])</f>
        <v>144</v>
      </c>
      <c r="R92" t="str">
        <f>INDEX([3]!db[STN B],Table17[[#This Row],[//db]])</f>
        <v>LSN</v>
      </c>
      <c r="S92" s="40" t="str">
        <f>IF(Table17[[#This Row],[Column5]]=0,Table17[[#This Row],[Column23]]/Table17[[#This Row],[Column224]],"")</f>
        <v/>
      </c>
      <c r="T92" s="4">
        <f>IF(Table17[[#This Row],[Column222]]="",Table17[[#This Row],[Column5]],Table17[[#This Row],[Column222]])</f>
        <v>2</v>
      </c>
      <c r="U92" s="4" t="str">
        <f>IF(Table17[[#This Row],[Column223]]=Table17[[#This Row],[Column24]],"",1)</f>
        <v/>
      </c>
      <c r="V92" s="5" t="str">
        <f>IF(Table17[[#This Row],[isis]]="",IF(Table17[[#This Row],[isin]]="",Table17[[#This Row],[Column2]],Table17[[#This Row],[isin]]),Table17[[#This Row],[isis]])</f>
        <v>144</v>
      </c>
      <c r="W92" s="3" t="str">
        <f>IF(Table17[[#This Row],[isis]]="",IF(Table17[[#This Row],[isin]]="",Table17[[#This Row],[Column22]],Table17[[#This Row],[stnn]]),Table17[[#This Row],[stns]])</f>
        <v>LSN</v>
      </c>
      <c r="X92" s="5">
        <f>IF(Table17[[#This Row],[Column2222]]&lt;1,Table17[[#This Row],[Column23]],Table17[[#This Row],[Column23]]*Table17[[#This Row],[Column2222]])</f>
        <v>288</v>
      </c>
      <c r="Y92" s="3" t="str">
        <f>Table17[[#This Row],[Column24]]</f>
        <v>LSN</v>
      </c>
      <c r="Z92" s="5">
        <f>Table17[[#This Row],[HRG / CTN]]/Table17[[#This Row],[Column23]]</f>
        <v>23000</v>
      </c>
      <c r="AA92" s="42" t="str">
        <f>IF(INDEX(NOTA[DISC 1],Sheet1!A:A)=0,"",INDEX(NOTA[DISC 1],Sheet1!A:A))</f>
        <v/>
      </c>
      <c r="AB92" s="42" t="str">
        <f>IF(INDEX(NOTA[DISC 2],Sheet1!A:A)=0,"",INDEX(NOTA[DISC 2],Sheet1!A:A))</f>
        <v/>
      </c>
      <c r="AC9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2" s="43">
        <f>INDEX(NOTA[HARGA/ CTN_H],Sheet1!A:A)</f>
        <v>3312000</v>
      </c>
      <c r="AE92" s="43">
        <f>IF(Table17[[#This Row],[DISC 3]]="",Table17[[#This Row],[HRG / CTN]],Table17[[#This Row],[HRG / CTN]]-(Table17[[#This Row],[HRG / CTN]]*Table17[[#This Row],[DISC 3]]))</f>
        <v>3312000</v>
      </c>
      <c r="AF92" s="14">
        <f>IF(Table17[[#This Row],[Column2222]]&lt;1,Table17[[#This Row],[Column9]],Table17[[#This Row],[Column9]]*Table17[[#This Row],[Column2222]])</f>
        <v>6624000</v>
      </c>
      <c r="AG92" s="43" t="str">
        <f ca="1">IF(NOT(AL93=Table17[[#This Row],[Column6]]),SUMIF(Table17[Column6],Table17[[#This Row],[Column6]],Table17[Column7]),"")</f>
        <v/>
      </c>
      <c r="AH92" s="44">
        <f ca="1">INDEX(NOTA[TGL_H],Sheet1!A:A)</f>
        <v>45456</v>
      </c>
      <c r="AI92" s="44">
        <f ca="1">INDEX(NOTA[TGL.NOTA_H],Sheet1!A:A)</f>
        <v>45454</v>
      </c>
      <c r="AK92" t="str">
        <f>IF(INDEX(NOTA[KETERANGAN],A:A)="","",INDEX(NOTA[KETERANGAN],A:A))</f>
        <v/>
      </c>
      <c r="AL92" t="str">
        <f ca="1">INDEX(NOTA[NO.NOTA_H],Sheet1!A:A)</f>
        <v>03139</v>
      </c>
      <c r="AM92">
        <f>INDEX(NOTA[KETERANGAN],Sheet1!A:A)</f>
        <v>0</v>
      </c>
      <c r="AN92" t="str">
        <f ca="1">INDEX(NOTA[SUPPLIER_H],Sheet1!A:A)</f>
        <v>PMJP</v>
      </c>
      <c r="AO92" t="e">
        <f t="shared" ca="1" si="4"/>
        <v>#N/A</v>
      </c>
      <c r="AR92" s="45" t="s">
        <v>181</v>
      </c>
    </row>
    <row r="93" spans="1:44">
      <c r="A93" s="3">
        <v>119</v>
      </c>
      <c r="C93">
        <f>INDEX(NOTA[//DB],Sheet1!A:A)</f>
        <v>3441</v>
      </c>
      <c r="D93">
        <f>MATCH(Table17[[#This Row],[//db]],[3]!Table2[\\],0)</f>
        <v>1021</v>
      </c>
      <c r="E93" t="str">
        <f>INDEX([3]!db[NB NOTA],Table17[[#This Row],[//db]])</f>
        <v>MAGIC BOARD 908</v>
      </c>
      <c r="F93" t="str">
        <f>INDEX([3]!db[NB BM],Table17[[#This Row],[//db]])</f>
        <v>MAGIC BOARD 908</v>
      </c>
      <c r="G93" t="str">
        <f>_xlfn.IFNA(INDEX([3]!Table2[NAMA],Table17[[#This Row],[dbconcat]]),"")</f>
        <v>MAGIC BOARD 908</v>
      </c>
      <c r="H93" t="str">
        <f>INDEX([3]!Table2[KODE BARANG],Table17[[#This Row],[dbconcat]])</f>
        <v>DRA-NB32</v>
      </c>
      <c r="I93" t="str">
        <f>IF(Table17[[#This Row],[Column3]]="",UPPER(Table17[[#This Row],[Column1]]),Table17[[#This Row],[Column3]])</f>
        <v>MAGIC BOARD 908</v>
      </c>
      <c r="J93">
        <f>INDEX(NOTA[C],Sheet1!A:A)</f>
        <v>7</v>
      </c>
      <c r="K93">
        <f>IF(OR(Table17[[#This Row],[Column5]]=0,Table17[[#This Row],[Column3]]=""),"",INDEX([3]!Table2[ISI2],Table17[[#This Row],[dbconcat]]))</f>
        <v>96</v>
      </c>
      <c r="L93" t="str">
        <f>IF(Table17[[#This Row],[isis]]="","",INDEX([3]!Table2[SATUAN3],Table17[[#This Row],[dbconcat]]))</f>
        <v>PCS</v>
      </c>
      <c r="M93" t="str">
        <f>IF(Table17[[#This Row],[Column5]]=0,"",IF(Table17[[#This Row],[Column3]]="",INDEX([3]!db[QTY B],Table17[[#This Row],[//db]]),""))</f>
        <v/>
      </c>
      <c r="N93" t="str">
        <f>IF(Table17[[#This Row],[isin]]="","",INDEX([3]!db[STN B],Table17[[#This Row],[//db]]))</f>
        <v/>
      </c>
      <c r="O93" t="str">
        <f>IF(AND(Table17[[#This Row],[isis]]="",Table17[[#This Row],[isin]]=""),INDEX(NOTA[QTY],Sheet1!A:A)/IF(Table17[[#This Row],[Column5]]=0,1,Table17[[#This Row],[Column5]]),"")</f>
        <v/>
      </c>
      <c r="P93" t="str">
        <f>IF(Table17[[#This Row],[Column2]]="","",INDEX(NOTA[STN],Sheet1!A:A))</f>
        <v/>
      </c>
      <c r="Q93" s="5" t="str">
        <f>INDEX([3]!db[QTY B],Table17[[#This Row],[//db]])</f>
        <v>96</v>
      </c>
      <c r="R93" t="str">
        <f>INDEX([3]!db[STN B],Table17[[#This Row],[//db]])</f>
        <v>PCS</v>
      </c>
      <c r="S93" s="40" t="str">
        <f>IF(Table17[[#This Row],[Column5]]=0,Table17[[#This Row],[Column23]]/Table17[[#This Row],[Column224]],"")</f>
        <v/>
      </c>
      <c r="T93" s="4">
        <f>IF(Table17[[#This Row],[Column222]]="",Table17[[#This Row],[Column5]],Table17[[#This Row],[Column222]])</f>
        <v>7</v>
      </c>
      <c r="U93" s="4" t="str">
        <f>IF(Table17[[#This Row],[Column223]]=Table17[[#This Row],[Column24]],"",1)</f>
        <v/>
      </c>
      <c r="V93" s="5">
        <f>IF(Table17[[#This Row],[isis]]="",IF(Table17[[#This Row],[isin]]="",Table17[[#This Row],[Column2]],Table17[[#This Row],[isin]]),Table17[[#This Row],[isis]])</f>
        <v>96</v>
      </c>
      <c r="W93" s="3" t="str">
        <f>IF(Table17[[#This Row],[isis]]="",IF(Table17[[#This Row],[isin]]="",Table17[[#This Row],[Column22]],Table17[[#This Row],[stnn]]),Table17[[#This Row],[stns]])</f>
        <v>PCS</v>
      </c>
      <c r="X93" s="5">
        <f>IF(Table17[[#This Row],[Column2222]]&lt;1,Table17[[#This Row],[Column23]],Table17[[#This Row],[Column23]]*Table17[[#This Row],[Column2222]])</f>
        <v>672</v>
      </c>
      <c r="Y93" s="3" t="str">
        <f>Table17[[#This Row],[Column24]]</f>
        <v>PCS</v>
      </c>
      <c r="Z93" s="5">
        <f>Table17[[#This Row],[HRG / CTN]]/Table17[[#This Row],[Column23]]</f>
        <v>14500</v>
      </c>
      <c r="AA93" s="42" t="str">
        <f>IF(INDEX(NOTA[DISC 1],Sheet1!A:A)=0,"",INDEX(NOTA[DISC 1],Sheet1!A:A))</f>
        <v/>
      </c>
      <c r="AB93" s="42" t="str">
        <f>IF(INDEX(NOTA[DISC 2],Sheet1!A:A)=0,"",INDEX(NOTA[DISC 2],Sheet1!A:A))</f>
        <v/>
      </c>
      <c r="AC9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3" s="43">
        <f>INDEX(NOTA[HARGA/ CTN_H],Sheet1!A:A)</f>
        <v>1392000</v>
      </c>
      <c r="AE93" s="43">
        <f>IF(Table17[[#This Row],[DISC 3]]="",Table17[[#This Row],[HRG / CTN]],Table17[[#This Row],[HRG / CTN]]-(Table17[[#This Row],[HRG / CTN]]*Table17[[#This Row],[DISC 3]]))</f>
        <v>1392000</v>
      </c>
      <c r="AF93" s="14">
        <f>IF(Table17[[#This Row],[Column2222]]&lt;1,Table17[[#This Row],[Column9]],Table17[[#This Row],[Column9]]*Table17[[#This Row],[Column2222]])</f>
        <v>9744000</v>
      </c>
      <c r="AG93" s="43" t="str">
        <f ca="1">IF(NOT(AL94=Table17[[#This Row],[Column6]]),SUMIF(Table17[Column6],Table17[[#This Row],[Column6]],Table17[Column7]),"")</f>
        <v/>
      </c>
      <c r="AH93" s="44">
        <f ca="1">INDEX(NOTA[TGL_H],Sheet1!A:A)</f>
        <v>45456</v>
      </c>
      <c r="AI93" s="44">
        <f ca="1">INDEX(NOTA[TGL.NOTA_H],Sheet1!A:A)</f>
        <v>45454</v>
      </c>
      <c r="AK93" t="str">
        <f>IF(INDEX(NOTA[KETERANGAN],A:A)="","",INDEX(NOTA[KETERANGAN],A:A))</f>
        <v/>
      </c>
      <c r="AL93" t="str">
        <f ca="1">INDEX(NOTA[NO.NOTA_H],Sheet1!A:A)</f>
        <v>03139</v>
      </c>
      <c r="AM93">
        <f>INDEX(NOTA[KETERANGAN],Sheet1!A:A)</f>
        <v>0</v>
      </c>
      <c r="AN93" t="str">
        <f ca="1">INDEX(NOTA[SUPPLIER_H],Sheet1!A:A)</f>
        <v>PMJP</v>
      </c>
      <c r="AO93" t="e">
        <f t="shared" ca="1" si="4"/>
        <v>#N/A</v>
      </c>
      <c r="AR93" s="45" t="s">
        <v>182</v>
      </c>
    </row>
    <row r="94" spans="1:44">
      <c r="A94" s="3">
        <v>120</v>
      </c>
      <c r="C94">
        <f>INDEX(NOTA[//DB],Sheet1!A:A)</f>
        <v>3441</v>
      </c>
      <c r="D94">
        <f>MATCH(Table17[[#This Row],[//db]],[3]!Table2[\\],0)</f>
        <v>1021</v>
      </c>
      <c r="E94" t="str">
        <f>INDEX([3]!db[NB NOTA],Table17[[#This Row],[//db]])</f>
        <v>MAGIC BOARD 908</v>
      </c>
      <c r="F94" t="str">
        <f>INDEX([3]!db[NB BM],Table17[[#This Row],[//db]])</f>
        <v>MAGIC BOARD 908</v>
      </c>
      <c r="G94" t="str">
        <f>_xlfn.IFNA(INDEX([3]!Table2[NAMA],Table17[[#This Row],[dbconcat]]),"")</f>
        <v>MAGIC BOARD 908</v>
      </c>
      <c r="H94" t="str">
        <f>INDEX([3]!Table2[KODE BARANG],Table17[[#This Row],[dbconcat]])</f>
        <v>DRA-NB32</v>
      </c>
      <c r="I94" t="str">
        <f>IF(Table17[[#This Row],[Column3]]="",UPPER(Table17[[#This Row],[Column1]]),Table17[[#This Row],[Column3]])</f>
        <v>MAGIC BOARD 908</v>
      </c>
      <c r="J94">
        <f>INDEX(NOTA[C],Sheet1!A:A)</f>
        <v>0</v>
      </c>
      <c r="K94" t="str">
        <f>IF(OR(Table17[[#This Row],[Column5]]=0,Table17[[#This Row],[Column3]]=""),"",INDEX([3]!Table2[ISI2],Table17[[#This Row],[dbconcat]]))</f>
        <v/>
      </c>
      <c r="L94" t="str">
        <f>IF(Table17[[#This Row],[isis]]="","",INDEX([3]!Table2[SATUAN3],Table17[[#This Row],[dbconcat]]))</f>
        <v/>
      </c>
      <c r="M94" t="str">
        <f>IF(Table17[[#This Row],[Column5]]=0,"",IF(Table17[[#This Row],[Column3]]="",INDEX([3]!db[QTY B],Table17[[#This Row],[//db]]),""))</f>
        <v/>
      </c>
      <c r="N94" t="str">
        <f>IF(Table17[[#This Row],[isin]]="","",INDEX([3]!db[STN B],Table17[[#This Row],[//db]]))</f>
        <v/>
      </c>
      <c r="O94">
        <f>IF(AND(Table17[[#This Row],[isis]]="",Table17[[#This Row],[isin]]=""),INDEX(NOTA[QTY],Sheet1!A:A)/IF(Table17[[#This Row],[Column5]]=0,1,Table17[[#This Row],[Column5]]),"")</f>
        <v>94</v>
      </c>
      <c r="P94" t="str">
        <f>IF(Table17[[#This Row],[Column2]]="","",INDEX(NOTA[STN],Sheet1!A:A))</f>
        <v>PCS</v>
      </c>
      <c r="Q94" s="5" t="str">
        <f>INDEX([3]!db[QTY B],Table17[[#This Row],[//db]])</f>
        <v>96</v>
      </c>
      <c r="R94" t="str">
        <f>INDEX([3]!db[STN B],Table17[[#This Row],[//db]])</f>
        <v>PCS</v>
      </c>
      <c r="S94" s="40">
        <f>IF(Table17[[#This Row],[Column5]]=0,Table17[[#This Row],[Column23]]/Table17[[#This Row],[Column224]],"")</f>
        <v>0.97916666666666663</v>
      </c>
      <c r="T94" s="4">
        <f>IF(Table17[[#This Row],[Column222]]="",Table17[[#This Row],[Column5]],Table17[[#This Row],[Column222]])</f>
        <v>0.97916666666666663</v>
      </c>
      <c r="U94" s="4" t="str">
        <f>IF(Table17[[#This Row],[Column223]]=Table17[[#This Row],[Column24]],"",1)</f>
        <v/>
      </c>
      <c r="V94" s="5">
        <f>IF(Table17[[#This Row],[isis]]="",IF(Table17[[#This Row],[isin]]="",Table17[[#This Row],[Column2]],Table17[[#This Row],[isin]]),Table17[[#This Row],[isis]])</f>
        <v>94</v>
      </c>
      <c r="W94" s="3" t="str">
        <f>IF(Table17[[#This Row],[isis]]="",IF(Table17[[#This Row],[isin]]="",Table17[[#This Row],[Column22]],Table17[[#This Row],[stnn]]),Table17[[#This Row],[stns]])</f>
        <v>PCS</v>
      </c>
      <c r="X94" s="5">
        <f>IF(Table17[[#This Row],[Column2222]]&lt;1,Table17[[#This Row],[Column23]],Table17[[#This Row],[Column23]]*Table17[[#This Row],[Column2222]])</f>
        <v>94</v>
      </c>
      <c r="Y94" s="3" t="str">
        <f>Table17[[#This Row],[Column24]]</f>
        <v>PCS</v>
      </c>
      <c r="Z94" s="5">
        <f>Table17[[#This Row],[HRG / CTN]]/Table17[[#This Row],[Column23]]</f>
        <v>14500</v>
      </c>
      <c r="AA94" s="42" t="str">
        <f>IF(INDEX(NOTA[DISC 1],Sheet1!A:A)=0,"",INDEX(NOTA[DISC 1],Sheet1!A:A))</f>
        <v/>
      </c>
      <c r="AB94" s="42" t="str">
        <f>IF(INDEX(NOTA[DISC 2],Sheet1!A:A)=0,"",INDEX(NOTA[DISC 2],Sheet1!A:A))</f>
        <v/>
      </c>
      <c r="AC9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4" s="43">
        <f>INDEX(NOTA[HARGA/ CTN_H],Sheet1!A:A)</f>
        <v>1363000</v>
      </c>
      <c r="AE94" s="43">
        <f>IF(Table17[[#This Row],[DISC 3]]="",Table17[[#This Row],[HRG / CTN]],Table17[[#This Row],[HRG / CTN]]-(Table17[[#This Row],[HRG / CTN]]*Table17[[#This Row],[DISC 3]]))</f>
        <v>1363000</v>
      </c>
      <c r="AF94" s="14">
        <f>IF(Table17[[#This Row],[Column2222]]&lt;1,Table17[[#This Row],[Column9]],Table17[[#This Row],[Column9]]*Table17[[#This Row],[Column2222]])</f>
        <v>1363000</v>
      </c>
      <c r="AG94" s="43" t="str">
        <f ca="1">IF(NOT(AL95=Table17[[#This Row],[Column6]]),SUMIF(Table17[Column6],Table17[[#This Row],[Column6]],Table17[Column7]),"")</f>
        <v/>
      </c>
      <c r="AH94" s="44">
        <f ca="1">INDEX(NOTA[TGL_H],Sheet1!A:A)</f>
        <v>45456</v>
      </c>
      <c r="AI94" s="44">
        <f ca="1">INDEX(NOTA[TGL.NOTA_H],Sheet1!A:A)</f>
        <v>45454</v>
      </c>
      <c r="AK94" t="str">
        <f>IF(INDEX(NOTA[KETERANGAN],A:A)="","",INDEX(NOTA[KETERANGAN],A:A))</f>
        <v/>
      </c>
      <c r="AL94" t="str">
        <f ca="1">INDEX(NOTA[NO.NOTA_H],Sheet1!A:A)</f>
        <v>03139</v>
      </c>
      <c r="AM94">
        <f>INDEX(NOTA[KETERANGAN],Sheet1!A:A)</f>
        <v>0</v>
      </c>
      <c r="AN94" t="str">
        <f ca="1">INDEX(NOTA[SUPPLIER_H],Sheet1!A:A)</f>
        <v>PMJP</v>
      </c>
      <c r="AO94" t="e">
        <f t="shared" ca="1" si="4"/>
        <v>#N/A</v>
      </c>
      <c r="AR94" s="45" t="s">
        <v>182</v>
      </c>
    </row>
    <row r="95" spans="1:44">
      <c r="A95" s="3">
        <v>121</v>
      </c>
      <c r="C95">
        <f>INDEX(NOTA[//DB],Sheet1!A:A)</f>
        <v>3442</v>
      </c>
      <c r="D95">
        <f>MATCH(Table17[[#This Row],[//db]],[3]!Table2[\\],0)</f>
        <v>1022</v>
      </c>
      <c r="E95" t="str">
        <f>INDEX([3]!db[NB NOTA],Table17[[#This Row],[//db]])</f>
        <v>MAGIC BOARD 906</v>
      </c>
      <c r="F95" t="str">
        <f>INDEX([3]!db[NB BM],Table17[[#This Row],[//db]])</f>
        <v>MAGIC BOARD 906</v>
      </c>
      <c r="G95" t="str">
        <f>_xlfn.IFNA(INDEX([3]!Table2[NAMA],Table17[[#This Row],[dbconcat]]),"")</f>
        <v>MAGIC BOARD 906</v>
      </c>
      <c r="H95" t="str">
        <f>INDEX([3]!Table2[KODE BARANG],Table17[[#This Row],[dbconcat]])</f>
        <v>DRA-NB33</v>
      </c>
      <c r="I95" t="str">
        <f>IF(Table17[[#This Row],[Column3]]="",UPPER(Table17[[#This Row],[Column1]]),Table17[[#This Row],[Column3]])</f>
        <v>MAGIC BOARD 906</v>
      </c>
      <c r="J95">
        <f>INDEX(NOTA[C],Sheet1!A:A)</f>
        <v>7</v>
      </c>
      <c r="K95">
        <f>IF(OR(Table17[[#This Row],[Column5]]=0,Table17[[#This Row],[Column3]]=""),"",INDEX([3]!Table2[ISI2],Table17[[#This Row],[dbconcat]]))</f>
        <v>96</v>
      </c>
      <c r="L95" t="str">
        <f>IF(Table17[[#This Row],[isis]]="","",INDEX([3]!Table2[SATUAN3],Table17[[#This Row],[dbconcat]]))</f>
        <v>PCS</v>
      </c>
      <c r="M95" t="str">
        <f>IF(Table17[[#This Row],[Column5]]=0,"",IF(Table17[[#This Row],[Column3]]="",INDEX([3]!db[QTY B],Table17[[#This Row],[//db]]),""))</f>
        <v/>
      </c>
      <c r="N95" t="str">
        <f>IF(Table17[[#This Row],[isin]]="","",INDEX([3]!db[STN B],Table17[[#This Row],[//db]]))</f>
        <v/>
      </c>
      <c r="O95" t="str">
        <f>IF(AND(Table17[[#This Row],[isis]]="",Table17[[#This Row],[isin]]=""),INDEX(NOTA[QTY],Sheet1!A:A)/IF(Table17[[#This Row],[Column5]]=0,1,Table17[[#This Row],[Column5]]),"")</f>
        <v/>
      </c>
      <c r="P95" t="str">
        <f>IF(Table17[[#This Row],[Column2]]="","",INDEX(NOTA[STN],Sheet1!A:A))</f>
        <v/>
      </c>
      <c r="Q95" s="5" t="str">
        <f>INDEX([3]!db[QTY B],Table17[[#This Row],[//db]])</f>
        <v>96</v>
      </c>
      <c r="R95" t="str">
        <f>INDEX([3]!db[STN B],Table17[[#This Row],[//db]])</f>
        <v>PCS</v>
      </c>
      <c r="S95" s="40" t="str">
        <f>IF(Table17[[#This Row],[Column5]]=0,Table17[[#This Row],[Column23]]/Table17[[#This Row],[Column224]],"")</f>
        <v/>
      </c>
      <c r="T95" s="4">
        <f>IF(Table17[[#This Row],[Column222]]="",Table17[[#This Row],[Column5]],Table17[[#This Row],[Column222]])</f>
        <v>7</v>
      </c>
      <c r="U95" s="4" t="str">
        <f>IF(Table17[[#This Row],[Column223]]=Table17[[#This Row],[Column24]],"",1)</f>
        <v/>
      </c>
      <c r="V95" s="5">
        <f>IF(Table17[[#This Row],[isis]]="",IF(Table17[[#This Row],[isin]]="",Table17[[#This Row],[Column2]],Table17[[#This Row],[isin]]),Table17[[#This Row],[isis]])</f>
        <v>96</v>
      </c>
      <c r="W95" s="3" t="str">
        <f>IF(Table17[[#This Row],[isis]]="",IF(Table17[[#This Row],[isin]]="",Table17[[#This Row],[Column22]],Table17[[#This Row],[stnn]]),Table17[[#This Row],[stns]])</f>
        <v>PCS</v>
      </c>
      <c r="X95" s="5">
        <f>IF(Table17[[#This Row],[Column2222]]&lt;1,Table17[[#This Row],[Column23]],Table17[[#This Row],[Column23]]*Table17[[#This Row],[Column2222]])</f>
        <v>672</v>
      </c>
      <c r="Y95" s="3" t="str">
        <f>Table17[[#This Row],[Column24]]</f>
        <v>PCS</v>
      </c>
      <c r="Z95" s="5">
        <f>Table17[[#This Row],[HRG / CTN]]/Table17[[#This Row],[Column23]]</f>
        <v>14500</v>
      </c>
      <c r="AA95" s="42" t="str">
        <f>IF(INDEX(NOTA[DISC 1],Sheet1!A:A)=0,"",INDEX(NOTA[DISC 1],Sheet1!A:A))</f>
        <v/>
      </c>
      <c r="AB95" s="42" t="str">
        <f>IF(INDEX(NOTA[DISC 2],Sheet1!A:A)=0,"",INDEX(NOTA[DISC 2],Sheet1!A:A))</f>
        <v/>
      </c>
      <c r="AC9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5" s="43">
        <f>INDEX(NOTA[HARGA/ CTN_H],Sheet1!A:A)</f>
        <v>1392000</v>
      </c>
      <c r="AE95" s="43">
        <f>IF(Table17[[#This Row],[DISC 3]]="",Table17[[#This Row],[HRG / CTN]],Table17[[#This Row],[HRG / CTN]]-(Table17[[#This Row],[HRG / CTN]]*Table17[[#This Row],[DISC 3]]))</f>
        <v>1392000</v>
      </c>
      <c r="AF95" s="14">
        <f>IF(Table17[[#This Row],[Column2222]]&lt;1,Table17[[#This Row],[Column9]],Table17[[#This Row],[Column9]]*Table17[[#This Row],[Column2222]])</f>
        <v>9744000</v>
      </c>
      <c r="AG95" s="43" t="str">
        <f ca="1">IF(NOT(AL96=Table17[[#This Row],[Column6]]),SUMIF(Table17[Column6],Table17[[#This Row],[Column6]],Table17[Column7]),"")</f>
        <v/>
      </c>
      <c r="AH95" s="44">
        <f ca="1">INDEX(NOTA[TGL_H],Sheet1!A:A)</f>
        <v>45456</v>
      </c>
      <c r="AI95" s="44">
        <f ca="1">INDEX(NOTA[TGL.NOTA_H],Sheet1!A:A)</f>
        <v>45454</v>
      </c>
      <c r="AK95" t="str">
        <f>IF(INDEX(NOTA[KETERANGAN],A:A)="","",INDEX(NOTA[KETERANGAN],A:A))</f>
        <v/>
      </c>
      <c r="AL95" t="str">
        <f ca="1">INDEX(NOTA[NO.NOTA_H],Sheet1!A:A)</f>
        <v>03139</v>
      </c>
      <c r="AM95">
        <f>INDEX(NOTA[KETERANGAN],Sheet1!A:A)</f>
        <v>0</v>
      </c>
      <c r="AN95" t="str">
        <f ca="1">INDEX(NOTA[SUPPLIER_H],Sheet1!A:A)</f>
        <v>PMJP</v>
      </c>
      <c r="AO95" t="e">
        <f t="shared" ca="1" si="4"/>
        <v>#N/A</v>
      </c>
      <c r="AR95" s="45" t="s">
        <v>184</v>
      </c>
    </row>
    <row r="96" spans="1:44">
      <c r="A96" s="3">
        <v>122</v>
      </c>
      <c r="C96">
        <f>INDEX(NOTA[//DB],Sheet1!A:A)</f>
        <v>3442</v>
      </c>
      <c r="D96">
        <f>MATCH(Table17[[#This Row],[//db]],[3]!Table2[\\],0)</f>
        <v>1022</v>
      </c>
      <c r="E96" t="str">
        <f>INDEX([3]!db[NB NOTA],Table17[[#This Row],[//db]])</f>
        <v>MAGIC BOARD 906</v>
      </c>
      <c r="F96" t="str">
        <f>INDEX([3]!db[NB BM],Table17[[#This Row],[//db]])</f>
        <v>MAGIC BOARD 906</v>
      </c>
      <c r="G96" t="str">
        <f>_xlfn.IFNA(INDEX([3]!Table2[NAMA],Table17[[#This Row],[dbconcat]]),"")</f>
        <v>MAGIC BOARD 906</v>
      </c>
      <c r="H96" t="str">
        <f>INDEX([3]!Table2[KODE BARANG],Table17[[#This Row],[dbconcat]])</f>
        <v>DRA-NB33</v>
      </c>
      <c r="I96" t="str">
        <f>IF(Table17[[#This Row],[Column3]]="",UPPER(Table17[[#This Row],[Column1]]),Table17[[#This Row],[Column3]])</f>
        <v>MAGIC BOARD 906</v>
      </c>
      <c r="J96">
        <f>INDEX(NOTA[C],Sheet1!A:A)</f>
        <v>0</v>
      </c>
      <c r="K96" t="str">
        <f>IF(OR(Table17[[#This Row],[Column5]]=0,Table17[[#This Row],[Column3]]=""),"",INDEX([3]!Table2[ISI2],Table17[[#This Row],[dbconcat]]))</f>
        <v/>
      </c>
      <c r="L96" t="str">
        <f>IF(Table17[[#This Row],[isis]]="","",INDEX([3]!Table2[SATUAN3],Table17[[#This Row],[dbconcat]]))</f>
        <v/>
      </c>
      <c r="M96" t="str">
        <f>IF(Table17[[#This Row],[Column5]]=0,"",IF(Table17[[#This Row],[Column3]]="",INDEX([3]!db[QTY B],Table17[[#This Row],[//db]]),""))</f>
        <v/>
      </c>
      <c r="N96" t="str">
        <f>IF(Table17[[#This Row],[isin]]="","",INDEX([3]!db[STN B],Table17[[#This Row],[//db]]))</f>
        <v/>
      </c>
      <c r="O96">
        <f>IF(AND(Table17[[#This Row],[isis]]="",Table17[[#This Row],[isin]]=""),INDEX(NOTA[QTY],Sheet1!A:A)/IF(Table17[[#This Row],[Column5]]=0,1,Table17[[#This Row],[Column5]]),"")</f>
        <v>94</v>
      </c>
      <c r="P96" t="str">
        <f>IF(Table17[[#This Row],[Column2]]="","",INDEX(NOTA[STN],Sheet1!A:A))</f>
        <v>PCS</v>
      </c>
      <c r="Q96" s="5" t="str">
        <f>INDEX([3]!db[QTY B],Table17[[#This Row],[//db]])</f>
        <v>96</v>
      </c>
      <c r="R96" t="str">
        <f>INDEX([3]!db[STN B],Table17[[#This Row],[//db]])</f>
        <v>PCS</v>
      </c>
      <c r="S96" s="40">
        <f>IF(Table17[[#This Row],[Column5]]=0,Table17[[#This Row],[Column23]]/Table17[[#This Row],[Column224]],"")</f>
        <v>0.97916666666666663</v>
      </c>
      <c r="T96" s="4">
        <f>IF(Table17[[#This Row],[Column222]]="",Table17[[#This Row],[Column5]],Table17[[#This Row],[Column222]])</f>
        <v>0.97916666666666663</v>
      </c>
      <c r="U96" s="4" t="str">
        <f>IF(Table17[[#This Row],[Column223]]=Table17[[#This Row],[Column24]],"",1)</f>
        <v/>
      </c>
      <c r="V96" s="5">
        <f>IF(Table17[[#This Row],[isis]]="",IF(Table17[[#This Row],[isin]]="",Table17[[#This Row],[Column2]],Table17[[#This Row],[isin]]),Table17[[#This Row],[isis]])</f>
        <v>94</v>
      </c>
      <c r="W96" s="3" t="str">
        <f>IF(Table17[[#This Row],[isis]]="",IF(Table17[[#This Row],[isin]]="",Table17[[#This Row],[Column22]],Table17[[#This Row],[stnn]]),Table17[[#This Row],[stns]])</f>
        <v>PCS</v>
      </c>
      <c r="X96" s="5">
        <f>IF(Table17[[#This Row],[Column2222]]&lt;1,Table17[[#This Row],[Column23]],Table17[[#This Row],[Column23]]*Table17[[#This Row],[Column2222]])</f>
        <v>94</v>
      </c>
      <c r="Y96" s="3" t="str">
        <f>Table17[[#This Row],[Column24]]</f>
        <v>PCS</v>
      </c>
      <c r="Z96" s="5">
        <f>Table17[[#This Row],[HRG / CTN]]/Table17[[#This Row],[Column23]]</f>
        <v>14500</v>
      </c>
      <c r="AA96" s="42" t="str">
        <f>IF(INDEX(NOTA[DISC 1],Sheet1!A:A)=0,"",INDEX(NOTA[DISC 1],Sheet1!A:A))</f>
        <v/>
      </c>
      <c r="AB96" s="42" t="str">
        <f>IF(INDEX(NOTA[DISC 2],Sheet1!A:A)=0,"",INDEX(NOTA[DISC 2],Sheet1!A:A))</f>
        <v/>
      </c>
      <c r="AC9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6" s="43">
        <f>INDEX(NOTA[HARGA/ CTN_H],Sheet1!A:A)</f>
        <v>1363000</v>
      </c>
      <c r="AE96" s="43">
        <f>IF(Table17[[#This Row],[DISC 3]]="",Table17[[#This Row],[HRG / CTN]],Table17[[#This Row],[HRG / CTN]]-(Table17[[#This Row],[HRG / CTN]]*Table17[[#This Row],[DISC 3]]))</f>
        <v>1363000</v>
      </c>
      <c r="AF96" s="14">
        <f>IF(Table17[[#This Row],[Column2222]]&lt;1,Table17[[#This Row],[Column9]],Table17[[#This Row],[Column9]]*Table17[[#This Row],[Column2222]])</f>
        <v>1363000</v>
      </c>
      <c r="AG96" s="43">
        <f ca="1">IF(NOT(AL97=Table17[[#This Row],[Column6]]),SUMIF(Table17[Column6],Table17[[#This Row],[Column6]],Table17[Column7]),"")</f>
        <v>28838000</v>
      </c>
      <c r="AH96" s="44">
        <f ca="1">INDEX(NOTA[TGL_H],Sheet1!A:A)</f>
        <v>45456</v>
      </c>
      <c r="AI96" s="44">
        <f ca="1">INDEX(NOTA[TGL.NOTA_H],Sheet1!A:A)</f>
        <v>45454</v>
      </c>
      <c r="AK96" t="str">
        <f>IF(INDEX(NOTA[KETERANGAN],A:A)="","",INDEX(NOTA[KETERANGAN],A:A))</f>
        <v/>
      </c>
      <c r="AL96" t="str">
        <f ca="1">INDEX(NOTA[NO.NOTA_H],Sheet1!A:A)</f>
        <v>03139</v>
      </c>
      <c r="AM96">
        <f>INDEX(NOTA[KETERANGAN],Sheet1!A:A)</f>
        <v>0</v>
      </c>
      <c r="AN96" t="str">
        <f ca="1">INDEX(NOTA[SUPPLIER_H],Sheet1!A:A)</f>
        <v>PMJP</v>
      </c>
      <c r="AO96" t="e">
        <f t="shared" ca="1" si="4"/>
        <v>#N/A</v>
      </c>
    </row>
    <row r="97" spans="1:44">
      <c r="A97" s="3">
        <v>124</v>
      </c>
      <c r="C97">
        <f>INDEX(NOTA[//DB],Sheet1!A:A)</f>
        <v>39</v>
      </c>
      <c r="D97">
        <f>MATCH(Table17[[#This Row],[//db]],[3]!Table2[\\],0)</f>
        <v>14</v>
      </c>
      <c r="E97" t="str">
        <f>INDEX([3]!db[NB NOTA],Table17[[#This Row],[//db]])</f>
        <v>ACRYLIC SISIPAN KERTAS A5 T(15 X21 CM)</v>
      </c>
      <c r="F97" t="str">
        <f>INDEX([3]!db[NB BM],Table17[[#This Row],[//db]])</f>
        <v>ACRYLIC PLASTIK KOALA 15X21</v>
      </c>
      <c r="G97" t="str">
        <f>_xlfn.IFNA(INDEX([3]!Table2[NAMA],Table17[[#This Row],[dbconcat]]),"")</f>
        <v>ACRYLIC PLASTIK KOALA 15X21</v>
      </c>
      <c r="H97" t="str">
        <f>INDEX([3]!Table2[KODE BARANG],Table17[[#This Row],[dbconcat]])</f>
        <v>ACR-KO1</v>
      </c>
      <c r="I97" t="str">
        <f>IF(Table17[[#This Row],[Column3]]="",UPPER(Table17[[#This Row],[Column1]]),Table17[[#This Row],[Column3]])</f>
        <v>ACRYLIC PLASTIK KOALA 15X21</v>
      </c>
      <c r="J97">
        <f>INDEX(NOTA[C],Sheet1!A:A)</f>
        <v>1</v>
      </c>
      <c r="K97">
        <f>IF(OR(Table17[[#This Row],[Column5]]=0,Table17[[#This Row],[Column3]]=""),"",INDEX([3]!Table2[ISI2],Table17[[#This Row],[dbconcat]]))</f>
        <v>60</v>
      </c>
      <c r="L97" t="str">
        <f>IF(Table17[[#This Row],[isis]]="","",INDEX([3]!Table2[SATUAN3],Table17[[#This Row],[dbconcat]]))</f>
        <v>PCS</v>
      </c>
      <c r="M97" t="str">
        <f>IF(Table17[[#This Row],[Column5]]=0,"",IF(Table17[[#This Row],[Column3]]="",INDEX([3]!db[QTY B],Table17[[#This Row],[//db]]),""))</f>
        <v/>
      </c>
      <c r="N97" t="str">
        <f>IF(Table17[[#This Row],[isin]]="","",INDEX([3]!db[STN B],Table17[[#This Row],[//db]]))</f>
        <v/>
      </c>
      <c r="O97" t="str">
        <f>IF(AND(Table17[[#This Row],[isis]]="",Table17[[#This Row],[isin]]=""),INDEX(NOTA[QTY],Sheet1!A:A)/IF(Table17[[#This Row],[Column5]]=0,1,Table17[[#This Row],[Column5]]),"")</f>
        <v/>
      </c>
      <c r="P97" t="str">
        <f>IF(Table17[[#This Row],[Column2]]="","",INDEX(NOTA[STN],Sheet1!A:A))</f>
        <v/>
      </c>
      <c r="Q97" s="5" t="str">
        <f>INDEX([3]!db[QTY B],Table17[[#This Row],[//db]])</f>
        <v>60</v>
      </c>
      <c r="R97" t="str">
        <f>INDEX([3]!db[STN B],Table17[[#This Row],[//db]])</f>
        <v>PCS</v>
      </c>
      <c r="S97" s="40" t="str">
        <f>IF(Table17[[#This Row],[Column5]]=0,Table17[[#This Row],[Column23]]/Table17[[#This Row],[Column224]],"")</f>
        <v/>
      </c>
      <c r="T97" s="4">
        <f>IF(Table17[[#This Row],[Column222]]="",Table17[[#This Row],[Column5]],Table17[[#This Row],[Column222]])</f>
        <v>1</v>
      </c>
      <c r="U97" s="4" t="str">
        <f>IF(Table17[[#This Row],[Column223]]=Table17[[#This Row],[Column24]],"",1)</f>
        <v/>
      </c>
      <c r="V97" s="5">
        <f>IF(Table17[[#This Row],[isis]]="",IF(Table17[[#This Row],[isin]]="",Table17[[#This Row],[Column2]],Table17[[#This Row],[isin]]),Table17[[#This Row],[isis]])</f>
        <v>60</v>
      </c>
      <c r="W97" s="3" t="str">
        <f>IF(Table17[[#This Row],[isis]]="",IF(Table17[[#This Row],[isin]]="",Table17[[#This Row],[Column22]],Table17[[#This Row],[stnn]]),Table17[[#This Row],[stns]])</f>
        <v>PCS</v>
      </c>
      <c r="X97" s="5">
        <f>IF(Table17[[#This Row],[Column2222]]&lt;1,Table17[[#This Row],[Column23]],Table17[[#This Row],[Column23]]*Table17[[#This Row],[Column2222]])</f>
        <v>60</v>
      </c>
      <c r="Y97" s="3" t="str">
        <f>Table17[[#This Row],[Column24]]</f>
        <v>PCS</v>
      </c>
      <c r="Z97" s="5">
        <f>Table17[[#This Row],[HRG / CTN]]/Table17[[#This Row],[Column23]]</f>
        <v>25000</v>
      </c>
      <c r="AA97" s="42" t="str">
        <f>IF(INDEX(NOTA[DISC 1],Sheet1!A:A)=0,"",INDEX(NOTA[DISC 1],Sheet1!A:A))</f>
        <v/>
      </c>
      <c r="AB97" s="42" t="str">
        <f>IF(INDEX(NOTA[DISC 2],Sheet1!A:A)=0,"",INDEX(NOTA[DISC 2],Sheet1!A:A))</f>
        <v/>
      </c>
      <c r="AC9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7" s="43">
        <f>INDEX(NOTA[HARGA/ CTN_H],Sheet1!A:A)</f>
        <v>1500000</v>
      </c>
      <c r="AE97" s="43">
        <f>IF(Table17[[#This Row],[DISC 3]]="",Table17[[#This Row],[HRG / CTN]],Table17[[#This Row],[HRG / CTN]]-(Table17[[#This Row],[HRG / CTN]]*Table17[[#This Row],[DISC 3]]))</f>
        <v>1500000</v>
      </c>
      <c r="AF97" s="14">
        <f>IF(Table17[[#This Row],[Column2222]]&lt;1,Table17[[#This Row],[Column9]],Table17[[#This Row],[Column9]]*Table17[[#This Row],[Column2222]])</f>
        <v>1500000</v>
      </c>
      <c r="AG97" s="43" t="str">
        <f ca="1">IF(NOT(AL98=Table17[[#This Row],[Column6]]),SUMIF(Table17[Column6],Table17[[#This Row],[Column6]],Table17[Column7]),"")</f>
        <v/>
      </c>
      <c r="AH97" s="44">
        <f ca="1">INDEX(NOTA[TGL_H],Sheet1!A:A)</f>
        <v>45455</v>
      </c>
      <c r="AI97" s="44">
        <f ca="1">INDEX(NOTA[TGL.NOTA_H],Sheet1!A:A)</f>
        <v>45451</v>
      </c>
      <c r="AK97" t="str">
        <f>IF(INDEX(NOTA[KETERANGAN],A:A)="","",INDEX(NOTA[KETERANGAN],A:A))</f>
        <v/>
      </c>
      <c r="AL97" t="str">
        <f ca="1">INDEX(NOTA[NO.NOTA_H],Sheet1!A:A)</f>
        <v>SO2024060086055</v>
      </c>
      <c r="AM97">
        <f>INDEX(NOTA[KETERANGAN],Sheet1!A:A)</f>
        <v>0</v>
      </c>
      <c r="AN97" t="str">
        <f ca="1">INDEX(NOTA[SUPPLIER_H],Sheet1!A:A)</f>
        <v>BINTANG SAUDARA</v>
      </c>
      <c r="AO97" t="e">
        <f t="shared" ca="1" si="4"/>
        <v>#N/A</v>
      </c>
    </row>
    <row r="98" spans="1:44">
      <c r="A98" s="3">
        <v>125</v>
      </c>
      <c r="C98">
        <f>INDEX(NOTA[//DB],Sheet1!A:A)</f>
        <v>63</v>
      </c>
      <c r="D98">
        <f>MATCH(Table17[[#This Row],[//db]],[3]!Table2[\\],0)</f>
        <v>67</v>
      </c>
      <c r="E98" t="str">
        <f>INDEX([3]!db[NB NOTA],Table17[[#This Row],[//db]])</f>
        <v>AGENDA DIARY D-128</v>
      </c>
      <c r="F98" t="str">
        <f>INDEX([3]!db[NB BM],Table17[[#This Row],[//db]])</f>
        <v>Agenda Diary D-128</v>
      </c>
      <c r="G98" t="str">
        <f>_xlfn.IFNA(INDEX([3]!Table2[NAMA],Table17[[#This Row],[dbconcat]]),"")</f>
        <v>AGENDA DIARY D-128</v>
      </c>
      <c r="H98" t="str">
        <f>INDEX([3]!Table2[KODE BARANG],Table17[[#This Row],[dbconcat]])</f>
        <v>AGE-NB18</v>
      </c>
      <c r="I98" t="str">
        <f>IF(Table17[[#This Row],[Column3]]="",UPPER(Table17[[#This Row],[Column1]]),Table17[[#This Row],[Column3]])</f>
        <v>AGENDA DIARY D-128</v>
      </c>
      <c r="J98">
        <f>INDEX(NOTA[C],Sheet1!A:A)</f>
        <v>1</v>
      </c>
      <c r="K98">
        <f>IF(OR(Table17[[#This Row],[Column5]]=0,Table17[[#This Row],[Column3]]=""),"",INDEX([3]!Table2[ISI2],Table17[[#This Row],[dbconcat]]))</f>
        <v>144</v>
      </c>
      <c r="L98" t="str">
        <f>IF(Table17[[#This Row],[isis]]="","",INDEX([3]!Table2[SATUAN3],Table17[[#This Row],[dbconcat]]))</f>
        <v>PCS</v>
      </c>
      <c r="M98" t="str">
        <f>IF(Table17[[#This Row],[Column5]]=0,"",IF(Table17[[#This Row],[Column3]]="",INDEX([3]!db[QTY B],Table17[[#This Row],[//db]]),""))</f>
        <v/>
      </c>
      <c r="N98" t="str">
        <f>IF(Table17[[#This Row],[isin]]="","",INDEX([3]!db[STN B],Table17[[#This Row],[//db]]))</f>
        <v/>
      </c>
      <c r="O98" t="str">
        <f>IF(AND(Table17[[#This Row],[isis]]="",Table17[[#This Row],[isin]]=""),INDEX(NOTA[QTY],Sheet1!A:A)/IF(Table17[[#This Row],[Column5]]=0,1,Table17[[#This Row],[Column5]]),"")</f>
        <v/>
      </c>
      <c r="P98" t="str">
        <f>IF(Table17[[#This Row],[Column2]]="","",INDEX(NOTA[STN],Sheet1!A:A))</f>
        <v/>
      </c>
      <c r="Q98" s="5" t="str">
        <f>INDEX([3]!db[QTY B],Table17[[#This Row],[//db]])</f>
        <v>144</v>
      </c>
      <c r="R98" t="str">
        <f>INDEX([3]!db[STN B],Table17[[#This Row],[//db]])</f>
        <v>PCS</v>
      </c>
      <c r="S98" s="40" t="str">
        <f>IF(Table17[[#This Row],[Column5]]=0,Table17[[#This Row],[Column23]]/Table17[[#This Row],[Column224]],"")</f>
        <v/>
      </c>
      <c r="T98" s="4">
        <f>IF(Table17[[#This Row],[Column222]]="",Table17[[#This Row],[Column5]],Table17[[#This Row],[Column222]])</f>
        <v>1</v>
      </c>
      <c r="U98" s="4" t="str">
        <f>IF(Table17[[#This Row],[Column223]]=Table17[[#This Row],[Column24]],"",1)</f>
        <v/>
      </c>
      <c r="V98" s="5">
        <f>IF(Table17[[#This Row],[isis]]="",IF(Table17[[#This Row],[isin]]="",Table17[[#This Row],[Column2]],Table17[[#This Row],[isin]]),Table17[[#This Row],[isis]])</f>
        <v>144</v>
      </c>
      <c r="W98" s="3" t="str">
        <f>IF(Table17[[#This Row],[isis]]="",IF(Table17[[#This Row],[isin]]="",Table17[[#This Row],[Column22]],Table17[[#This Row],[stnn]]),Table17[[#This Row],[stns]])</f>
        <v>PCS</v>
      </c>
      <c r="X98" s="5">
        <f>IF(Table17[[#This Row],[Column2222]]&lt;1,Table17[[#This Row],[Column23]],Table17[[#This Row],[Column23]]*Table17[[#This Row],[Column2222]])</f>
        <v>144</v>
      </c>
      <c r="Y98" s="3" t="str">
        <f>Table17[[#This Row],[Column24]]</f>
        <v>PCS</v>
      </c>
      <c r="Z98" s="5">
        <f>Table17[[#This Row],[HRG / CTN]]/Table17[[#This Row],[Column23]]</f>
        <v>11000</v>
      </c>
      <c r="AA98" s="42">
        <f>IF(INDEX(NOTA[DISC 1],Sheet1!A:A)=0,"",INDEX(NOTA[DISC 1],Sheet1!A:A))</f>
        <v>0.03</v>
      </c>
      <c r="AB98" s="42" t="str">
        <f>IF(INDEX(NOTA[DISC 2],Sheet1!A:A)=0,"",INDEX(NOTA[DISC 2],Sheet1!A:A))</f>
        <v/>
      </c>
      <c r="AC98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98" s="43">
        <f>INDEX(NOTA[HARGA/ CTN_H],Sheet1!A:A)</f>
        <v>1584000</v>
      </c>
      <c r="AE98" s="43">
        <f>IF(Table17[[#This Row],[DISC 3]]="",Table17[[#This Row],[HRG / CTN]],Table17[[#This Row],[HRG / CTN]]-(Table17[[#This Row],[HRG / CTN]]*Table17[[#This Row],[DISC 3]]))</f>
        <v>1536480</v>
      </c>
      <c r="AF98" s="14">
        <f>IF(Table17[[#This Row],[Column2222]]&lt;1,Table17[[#This Row],[Column9]],Table17[[#This Row],[Column9]]*Table17[[#This Row],[Column2222]])</f>
        <v>1536480</v>
      </c>
      <c r="AG98" s="43" t="str">
        <f ca="1">IF(NOT(AL99=Table17[[#This Row],[Column6]]),SUMIF(Table17[Column6],Table17[[#This Row],[Column6]],Table17[Column7]),"")</f>
        <v/>
      </c>
      <c r="AH98" s="44">
        <f ca="1">INDEX(NOTA[TGL_H],Sheet1!A:A)</f>
        <v>45455</v>
      </c>
      <c r="AI98" s="44">
        <f ca="1">INDEX(NOTA[TGL.NOTA_H],Sheet1!A:A)</f>
        <v>45451</v>
      </c>
      <c r="AK98" t="str">
        <f>IF(INDEX(NOTA[KETERANGAN],A:A)="","",INDEX(NOTA[KETERANGAN],A:A))</f>
        <v/>
      </c>
      <c r="AL98" t="str">
        <f ca="1">INDEX(NOTA[NO.NOTA_H],Sheet1!A:A)</f>
        <v>SO2024060086055</v>
      </c>
      <c r="AM98">
        <f>INDEX(NOTA[KETERANGAN],Sheet1!A:A)</f>
        <v>0</v>
      </c>
      <c r="AN98" t="str">
        <f ca="1">INDEX(NOTA[SUPPLIER_H],Sheet1!A:A)</f>
        <v>BINTANG SAUDARA</v>
      </c>
      <c r="AO98" t="e">
        <f t="shared" ca="1" si="4"/>
        <v>#N/A</v>
      </c>
      <c r="AR98" s="45" t="s">
        <v>183</v>
      </c>
    </row>
    <row r="99" spans="1:44">
      <c r="A99" s="3">
        <v>126</v>
      </c>
      <c r="C99">
        <f>INDEX(NOTA[//DB],Sheet1!A:A)</f>
        <v>555</v>
      </c>
      <c r="D99">
        <f>MATCH(Table17[[#This Row],[//db]],[3]!Table2[\\],0)</f>
        <v>835</v>
      </c>
      <c r="E99" t="str">
        <f>INDEX([3]!db[NB NOTA],Table17[[#This Row],[//db]])</f>
        <v>BUKU MEWARNAI BTS/ MIX 2201</v>
      </c>
      <c r="F99" t="str">
        <f>INDEX([3]!db[NB BM],Table17[[#This Row],[//db]])</f>
        <v>Buku Mewarnai BTS/ Mix 2201</v>
      </c>
      <c r="G99" t="str">
        <f>_xlfn.IFNA(INDEX([3]!Table2[NAMA],Table17[[#This Row],[dbconcat]]),"")</f>
        <v>BUKU MEWARNAI BTS/ MIX 2201</v>
      </c>
      <c r="H99" t="str">
        <f>INDEX([3]!Table2[KODE BARANG],Table17[[#This Row],[dbconcat]])</f>
        <v>BWA-NB15</v>
      </c>
      <c r="I99" t="str">
        <f>IF(Table17[[#This Row],[Column3]]="",UPPER(Table17[[#This Row],[Column1]]),Table17[[#This Row],[Column3]])</f>
        <v>BUKU MEWARNAI BTS/ MIX 2201</v>
      </c>
      <c r="J99">
        <f>INDEX(NOTA[C],Sheet1!A:A)</f>
        <v>2</v>
      </c>
      <c r="K99">
        <f>IF(OR(Table17[[#This Row],[Column5]]=0,Table17[[#This Row],[Column3]]=""),"",INDEX([3]!Table2[ISI2],Table17[[#This Row],[dbconcat]]))</f>
        <v>800</v>
      </c>
      <c r="L99" t="str">
        <f>IF(Table17[[#This Row],[isis]]="","",INDEX([3]!Table2[SATUAN3],Table17[[#This Row],[dbconcat]]))</f>
        <v>PCS</v>
      </c>
      <c r="M99" t="str">
        <f>IF(Table17[[#This Row],[Column5]]=0,"",IF(Table17[[#This Row],[Column3]]="",INDEX([3]!db[QTY B],Table17[[#This Row],[//db]]),""))</f>
        <v/>
      </c>
      <c r="N99" t="str">
        <f>IF(Table17[[#This Row],[isin]]="","",INDEX([3]!db[STN B],Table17[[#This Row],[//db]]))</f>
        <v/>
      </c>
      <c r="O99" t="str">
        <f>IF(AND(Table17[[#This Row],[isis]]="",Table17[[#This Row],[isin]]=""),INDEX(NOTA[QTY],Sheet1!A:A)/IF(Table17[[#This Row],[Column5]]=0,1,Table17[[#This Row],[Column5]]),"")</f>
        <v/>
      </c>
      <c r="P99" t="str">
        <f>IF(Table17[[#This Row],[Column2]]="","",INDEX(NOTA[STN],Sheet1!A:A))</f>
        <v/>
      </c>
      <c r="Q99" s="5" t="str">
        <f>INDEX([3]!db[QTY B],Table17[[#This Row],[//db]])</f>
        <v>800</v>
      </c>
      <c r="R99" t="str">
        <f>INDEX([3]!db[STN B],Table17[[#This Row],[//db]])</f>
        <v>PCS</v>
      </c>
      <c r="S99" s="40" t="str">
        <f>IF(Table17[[#This Row],[Column5]]=0,Table17[[#This Row],[Column23]]/Table17[[#This Row],[Column224]],"")</f>
        <v/>
      </c>
      <c r="T99" s="4">
        <f>IF(Table17[[#This Row],[Column222]]="",Table17[[#This Row],[Column5]],Table17[[#This Row],[Column222]])</f>
        <v>2</v>
      </c>
      <c r="U99" s="4" t="str">
        <f>IF(Table17[[#This Row],[Column223]]=Table17[[#This Row],[Column24]],"",1)</f>
        <v/>
      </c>
      <c r="V99" s="5">
        <f>IF(Table17[[#This Row],[isis]]="",IF(Table17[[#This Row],[isin]]="",Table17[[#This Row],[Column2]],Table17[[#This Row],[isin]]),Table17[[#This Row],[isis]])</f>
        <v>800</v>
      </c>
      <c r="W99" s="3" t="str">
        <f>IF(Table17[[#This Row],[isis]]="",IF(Table17[[#This Row],[isin]]="",Table17[[#This Row],[Column22]],Table17[[#This Row],[stnn]]),Table17[[#This Row],[stns]])</f>
        <v>PCS</v>
      </c>
      <c r="X99" s="5">
        <f>IF(Table17[[#This Row],[Column2222]]&lt;1,Table17[[#This Row],[Column23]],Table17[[#This Row],[Column23]]*Table17[[#This Row],[Column2222]])</f>
        <v>1600</v>
      </c>
      <c r="Y99" s="3" t="str">
        <f>Table17[[#This Row],[Column24]]</f>
        <v>PCS</v>
      </c>
      <c r="Z99" s="5">
        <f>Table17[[#This Row],[HRG / CTN]]/Table17[[#This Row],[Column23]]</f>
        <v>2500</v>
      </c>
      <c r="AA99" s="42" t="str">
        <f>IF(INDEX(NOTA[DISC 1],Sheet1!A:A)=0,"",INDEX(NOTA[DISC 1],Sheet1!A:A))</f>
        <v/>
      </c>
      <c r="AB99" s="42" t="str">
        <f>IF(INDEX(NOTA[DISC 2],Sheet1!A:A)=0,"",INDEX(NOTA[DISC 2],Sheet1!A:A))</f>
        <v/>
      </c>
      <c r="AC9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9" s="43">
        <f>INDEX(NOTA[HARGA/ CTN_H],Sheet1!A:A)</f>
        <v>2000000</v>
      </c>
      <c r="AE99" s="43">
        <f>IF(Table17[[#This Row],[DISC 3]]="",Table17[[#This Row],[HRG / CTN]],Table17[[#This Row],[HRG / CTN]]-(Table17[[#This Row],[HRG / CTN]]*Table17[[#This Row],[DISC 3]]))</f>
        <v>2000000</v>
      </c>
      <c r="AF99" s="14">
        <f>IF(Table17[[#This Row],[Column2222]]&lt;1,Table17[[#This Row],[Column9]],Table17[[#This Row],[Column9]]*Table17[[#This Row],[Column2222]])</f>
        <v>4000000</v>
      </c>
      <c r="AG99" s="43" t="str">
        <f ca="1">IF(NOT(AL100=Table17[[#This Row],[Column6]]),SUMIF(Table17[Column6],Table17[[#This Row],[Column6]],Table17[Column7]),"")</f>
        <v/>
      </c>
      <c r="AH99" s="44">
        <f ca="1">INDEX(NOTA[TGL_H],Sheet1!A:A)</f>
        <v>45455</v>
      </c>
      <c r="AI99" s="44">
        <f ca="1">INDEX(NOTA[TGL.NOTA_H],Sheet1!A:A)</f>
        <v>45451</v>
      </c>
      <c r="AK99" t="str">
        <f>IF(INDEX(NOTA[KETERANGAN],A:A)="","",INDEX(NOTA[KETERANGAN],A:A))</f>
        <v/>
      </c>
      <c r="AL99" t="str">
        <f ca="1">INDEX(NOTA[NO.NOTA_H],Sheet1!A:A)</f>
        <v>SO2024060086055</v>
      </c>
      <c r="AM99">
        <f>INDEX(NOTA[KETERANGAN],Sheet1!A:A)</f>
        <v>0</v>
      </c>
      <c r="AN99" t="str">
        <f ca="1">INDEX(NOTA[SUPPLIER_H],Sheet1!A:A)</f>
        <v>BINTANG SAUDARA</v>
      </c>
      <c r="AO99" t="e">
        <f t="shared" ca="1" si="4"/>
        <v>#N/A</v>
      </c>
      <c r="AR99" s="45" t="s">
        <v>255</v>
      </c>
    </row>
    <row r="100" spans="1:44">
      <c r="A100" s="3">
        <v>127</v>
      </c>
      <c r="C100">
        <f>INDEX(NOTA[//DB],Sheet1!A:A)</f>
        <v>2916</v>
      </c>
      <c r="D100">
        <f>MATCH(Table17[[#This Row],[//db]],[3]!Table2[\\],0)</f>
        <v>299</v>
      </c>
      <c r="E100" t="str">
        <f>INDEX([3]!db[NB NOTA],Table17[[#This Row],[//db]])</f>
        <v>SKETCH BOOK A4-3557</v>
      </c>
      <c r="F100" t="str">
        <f>INDEX([3]!db[NB BM],Table17[[#This Row],[//db]])</f>
        <v>Bk Sketsa A4-3557</v>
      </c>
      <c r="G100" t="str">
        <f>_xlfn.IFNA(INDEX([3]!Table2[NAMA],Table17[[#This Row],[dbconcat]]),"")</f>
        <v>BK SKETSA A4-3557</v>
      </c>
      <c r="H100" t="str">
        <f>INDEX([3]!Table2[KODE BARANG],Table17[[#This Row],[dbconcat]])</f>
        <v>BGA-NB5</v>
      </c>
      <c r="I100" t="str">
        <f>IF(Table17[[#This Row],[Column3]]="",UPPER(Table17[[#This Row],[Column1]]),Table17[[#This Row],[Column3]])</f>
        <v>BK SKETSA A4-3557</v>
      </c>
      <c r="J100">
        <f>INDEX(NOTA[C],Sheet1!A:A)</f>
        <v>5</v>
      </c>
      <c r="K100">
        <f>IF(OR(Table17[[#This Row],[Column5]]=0,Table17[[#This Row],[Column3]]=""),"",INDEX([3]!Table2[ISI2],Table17[[#This Row],[dbconcat]]))</f>
        <v>72</v>
      </c>
      <c r="L100" t="str">
        <f>IF(Table17[[#This Row],[isis]]="","",INDEX([3]!Table2[SATUAN3],Table17[[#This Row],[dbconcat]]))</f>
        <v>PCS</v>
      </c>
      <c r="M100" t="str">
        <f>IF(Table17[[#This Row],[Column5]]=0,"",IF(Table17[[#This Row],[Column3]]="",INDEX([3]!db[QTY B],Table17[[#This Row],[//db]]),""))</f>
        <v/>
      </c>
      <c r="N100" t="str">
        <f>IF(Table17[[#This Row],[isin]]="","",INDEX([3]!db[STN B],Table17[[#This Row],[//db]]))</f>
        <v/>
      </c>
      <c r="O100" t="str">
        <f>IF(AND(Table17[[#This Row],[isis]]="",Table17[[#This Row],[isin]]=""),INDEX(NOTA[QTY],Sheet1!A:A)/IF(Table17[[#This Row],[Column5]]=0,1,Table17[[#This Row],[Column5]]),"")</f>
        <v/>
      </c>
      <c r="P100" t="str">
        <f>IF(Table17[[#This Row],[Column2]]="","",INDEX(NOTA[STN],Sheet1!A:A))</f>
        <v/>
      </c>
      <c r="Q100" s="5" t="str">
        <f>INDEX([3]!db[QTY B],Table17[[#This Row],[//db]])</f>
        <v>72</v>
      </c>
      <c r="R100" t="str">
        <f>INDEX([3]!db[STN B],Table17[[#This Row],[//db]])</f>
        <v>PCS</v>
      </c>
      <c r="S100" s="40" t="str">
        <f>IF(Table17[[#This Row],[Column5]]=0,Table17[[#This Row],[Column23]]/Table17[[#This Row],[Column224]],"")</f>
        <v/>
      </c>
      <c r="T100" s="4">
        <f>IF(Table17[[#This Row],[Column222]]="",Table17[[#This Row],[Column5]],Table17[[#This Row],[Column222]])</f>
        <v>5</v>
      </c>
      <c r="U100" s="4" t="str">
        <f>IF(Table17[[#This Row],[Column223]]=Table17[[#This Row],[Column24]],"",1)</f>
        <v/>
      </c>
      <c r="V100" s="5">
        <f>IF(Table17[[#This Row],[isis]]="",IF(Table17[[#This Row],[isin]]="",Table17[[#This Row],[Column2]],Table17[[#This Row],[isin]]),Table17[[#This Row],[isis]])</f>
        <v>72</v>
      </c>
      <c r="W100" s="3" t="str">
        <f>IF(Table17[[#This Row],[isis]]="",IF(Table17[[#This Row],[isin]]="",Table17[[#This Row],[Column22]],Table17[[#This Row],[stnn]]),Table17[[#This Row],[stns]])</f>
        <v>PCS</v>
      </c>
      <c r="X100" s="5">
        <f>IF(Table17[[#This Row],[Column2222]]&lt;1,Table17[[#This Row],[Column23]],Table17[[#This Row],[Column23]]*Table17[[#This Row],[Column2222]])</f>
        <v>360</v>
      </c>
      <c r="Y100" s="3" t="str">
        <f>Table17[[#This Row],[Column24]]</f>
        <v>PCS</v>
      </c>
      <c r="Z100" s="5">
        <f>Table17[[#This Row],[HRG / CTN]]/Table17[[#This Row],[Column23]]</f>
        <v>17000</v>
      </c>
      <c r="AA100" s="42" t="str">
        <f>IF(INDEX(NOTA[DISC 1],Sheet1!A:A)=0,"",INDEX(NOTA[DISC 1],Sheet1!A:A))</f>
        <v/>
      </c>
      <c r="AB100" s="42" t="str">
        <f>IF(INDEX(NOTA[DISC 2],Sheet1!A:A)=0,"",INDEX(NOTA[DISC 2],Sheet1!A:A))</f>
        <v/>
      </c>
      <c r="AC10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0" s="43">
        <f>INDEX(NOTA[HARGA/ CTN_H],Sheet1!A:A)</f>
        <v>1224000</v>
      </c>
      <c r="AE100" s="43">
        <f>IF(Table17[[#This Row],[DISC 3]]="",Table17[[#This Row],[HRG / CTN]],Table17[[#This Row],[HRG / CTN]]-(Table17[[#This Row],[HRG / CTN]]*Table17[[#This Row],[DISC 3]]))</f>
        <v>1224000</v>
      </c>
      <c r="AF100" s="14">
        <f>IF(Table17[[#This Row],[Column2222]]&lt;1,Table17[[#This Row],[Column9]],Table17[[#This Row],[Column9]]*Table17[[#This Row],[Column2222]])</f>
        <v>6120000</v>
      </c>
      <c r="AG100" s="43" t="str">
        <f ca="1">IF(NOT(AL101=Table17[[#This Row],[Column6]]),SUMIF(Table17[Column6],Table17[[#This Row],[Column6]],Table17[Column7]),"")</f>
        <v/>
      </c>
      <c r="AH100" s="44">
        <f ca="1">INDEX(NOTA[TGL_H],Sheet1!A:A)</f>
        <v>45455</v>
      </c>
      <c r="AI100" s="44">
        <f ca="1">INDEX(NOTA[TGL.NOTA_H],Sheet1!A:A)</f>
        <v>45451</v>
      </c>
      <c r="AK100" t="str">
        <f>IF(INDEX(NOTA[KETERANGAN],A:A)="","",INDEX(NOTA[KETERANGAN],A:A))</f>
        <v/>
      </c>
      <c r="AL100" t="str">
        <f ca="1">INDEX(NOTA[NO.NOTA_H],Sheet1!A:A)</f>
        <v>SO2024060086055</v>
      </c>
      <c r="AM100">
        <f>INDEX(NOTA[KETERANGAN],Sheet1!A:A)</f>
        <v>0</v>
      </c>
      <c r="AN100" t="str">
        <f ca="1">INDEX(NOTA[SUPPLIER_H],Sheet1!A:A)</f>
        <v>BINTANG SAUDARA</v>
      </c>
      <c r="AO100" t="e">
        <f t="shared" ca="1" si="4"/>
        <v>#N/A</v>
      </c>
      <c r="AR100" s="45" t="s">
        <v>255</v>
      </c>
    </row>
    <row r="101" spans="1:44">
      <c r="A101" s="3">
        <v>128</v>
      </c>
      <c r="C101">
        <f>INDEX(NOTA[//DB],Sheet1!A:A)</f>
        <v>2917</v>
      </c>
      <c r="D101" t="e">
        <f>MATCH(Table17[[#This Row],[//db]],[3]!Table2[\\],0)</f>
        <v>#N/A</v>
      </c>
      <c r="E101" t="str">
        <f>INDEX([3]!db[NB NOTA],Table17[[#This Row],[//db]])</f>
        <v>SKETCH BOOK A5-3555</v>
      </c>
      <c r="F101" t="str">
        <f>INDEX([3]!db[NB BM],Table17[[#This Row],[//db]])</f>
        <v>Bk Sketsa A5-3555</v>
      </c>
      <c r="G101" t="str">
        <f>_xlfn.IFNA(INDEX([3]!Table2[NAMA],Table17[[#This Row],[dbconcat]]),"")</f>
        <v/>
      </c>
      <c r="H101" t="e">
        <f>INDEX([3]!Table2[KODE BARANG],Table17[[#This Row],[dbconcat]])</f>
        <v>#N/A</v>
      </c>
      <c r="I101" t="str">
        <f>IF(Table17[[#This Row],[Column3]]="",UPPER(Table17[[#This Row],[Column1]]),Table17[[#This Row],[Column3]])</f>
        <v>BK SKETSA A5-3555</v>
      </c>
      <c r="J101">
        <f>INDEX(NOTA[C],Sheet1!A:A)</f>
        <v>5</v>
      </c>
      <c r="K101" t="str">
        <f>IF(OR(Table17[[#This Row],[Column5]]=0,Table17[[#This Row],[Column3]]=""),"",INDEX([3]!Table2[ISI2],Table17[[#This Row],[dbconcat]]))</f>
        <v/>
      </c>
      <c r="L101" t="str">
        <f>IF(Table17[[#This Row],[isis]]="","",INDEX([3]!Table2[SATUAN3],Table17[[#This Row],[dbconcat]]))</f>
        <v/>
      </c>
      <c r="M101" t="str">
        <f>IF(Table17[[#This Row],[Column5]]=0,"",IF(Table17[[#This Row],[Column3]]="",INDEX([3]!db[QTY B],Table17[[#This Row],[//db]]),""))</f>
        <v>144</v>
      </c>
      <c r="N101" t="str">
        <f>IF(Table17[[#This Row],[isin]]="","",INDEX([3]!db[STN B],Table17[[#This Row],[//db]]))</f>
        <v>PCS</v>
      </c>
      <c r="O101" t="str">
        <f>IF(AND(Table17[[#This Row],[isis]]="",Table17[[#This Row],[isin]]=""),INDEX(NOTA[QTY],Sheet1!A:A)/IF(Table17[[#This Row],[Column5]]=0,1,Table17[[#This Row],[Column5]]),"")</f>
        <v/>
      </c>
      <c r="P101" t="str">
        <f>IF(Table17[[#This Row],[Column2]]="","",INDEX(NOTA[STN],Sheet1!A:A))</f>
        <v/>
      </c>
      <c r="Q101" s="5" t="str">
        <f>INDEX([3]!db[QTY B],Table17[[#This Row],[//db]])</f>
        <v>144</v>
      </c>
      <c r="R101" t="str">
        <f>INDEX([3]!db[STN B],Table17[[#This Row],[//db]])</f>
        <v>PCS</v>
      </c>
      <c r="S101" s="40" t="str">
        <f>IF(Table17[[#This Row],[Column5]]=0,Table17[[#This Row],[Column23]]/Table17[[#This Row],[Column224]],"")</f>
        <v/>
      </c>
      <c r="T101" s="4">
        <f>IF(Table17[[#This Row],[Column222]]="",Table17[[#This Row],[Column5]],Table17[[#This Row],[Column222]])</f>
        <v>5</v>
      </c>
      <c r="U101" s="4" t="str">
        <f>IF(Table17[[#This Row],[Column223]]=Table17[[#This Row],[Column24]],"",1)</f>
        <v/>
      </c>
      <c r="V101" s="5" t="str">
        <f>IF(Table17[[#This Row],[isis]]="",IF(Table17[[#This Row],[isin]]="",Table17[[#This Row],[Column2]],Table17[[#This Row],[isin]]),Table17[[#This Row],[isis]])</f>
        <v>144</v>
      </c>
      <c r="W101" s="3" t="str">
        <f>IF(Table17[[#This Row],[isis]]="",IF(Table17[[#This Row],[isin]]="",Table17[[#This Row],[Column22]],Table17[[#This Row],[stnn]]),Table17[[#This Row],[stns]])</f>
        <v>PCS</v>
      </c>
      <c r="X101" s="5">
        <f>IF(Table17[[#This Row],[Column2222]]&lt;1,Table17[[#This Row],[Column23]],Table17[[#This Row],[Column23]]*Table17[[#This Row],[Column2222]])</f>
        <v>720</v>
      </c>
      <c r="Y101" s="3" t="str">
        <f>Table17[[#This Row],[Column24]]</f>
        <v>PCS</v>
      </c>
      <c r="Z101" s="5">
        <f>Table17[[#This Row],[HRG / CTN]]/Table17[[#This Row],[Column23]]</f>
        <v>12916.666666666666</v>
      </c>
      <c r="AA101" s="42" t="str">
        <f>IF(INDEX(NOTA[DISC 1],Sheet1!A:A)=0,"",INDEX(NOTA[DISC 1],Sheet1!A:A))</f>
        <v/>
      </c>
      <c r="AB101" s="42" t="str">
        <f>IF(INDEX(NOTA[DISC 2],Sheet1!A:A)=0,"",INDEX(NOTA[DISC 2],Sheet1!A:A))</f>
        <v/>
      </c>
      <c r="AC10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1" s="43">
        <f>INDEX(NOTA[HARGA/ CTN_H],Sheet1!A:A)</f>
        <v>1860000</v>
      </c>
      <c r="AE101" s="43">
        <f>IF(Table17[[#This Row],[DISC 3]]="",Table17[[#This Row],[HRG / CTN]],Table17[[#This Row],[HRG / CTN]]-(Table17[[#This Row],[HRG / CTN]]*Table17[[#This Row],[DISC 3]]))</f>
        <v>1860000</v>
      </c>
      <c r="AF101" s="14">
        <f>IF(Table17[[#This Row],[Column2222]]&lt;1,Table17[[#This Row],[Column9]],Table17[[#This Row],[Column9]]*Table17[[#This Row],[Column2222]])</f>
        <v>9300000</v>
      </c>
      <c r="AG101" s="43">
        <f ca="1">IF(NOT(AL102=Table17[[#This Row],[Column6]]),SUMIF(Table17[Column6],Table17[[#This Row],[Column6]],Table17[Column7]),"")</f>
        <v>22456480</v>
      </c>
      <c r="AH101" s="44">
        <f ca="1">INDEX(NOTA[TGL_H],Sheet1!A:A)</f>
        <v>45455</v>
      </c>
      <c r="AI101" s="44">
        <f ca="1">INDEX(NOTA[TGL.NOTA_H],Sheet1!A:A)</f>
        <v>45451</v>
      </c>
      <c r="AK101" t="str">
        <f>IF(INDEX(NOTA[KETERANGAN],A:A)="","",INDEX(NOTA[KETERANGAN],A:A))</f>
        <v/>
      </c>
      <c r="AL101" t="str">
        <f ca="1">INDEX(NOTA[NO.NOTA_H],Sheet1!A:A)</f>
        <v>SO2024060086055</v>
      </c>
      <c r="AM101">
        <f>INDEX(NOTA[KETERANGAN],Sheet1!A:A)</f>
        <v>0</v>
      </c>
      <c r="AN101" t="str">
        <f ca="1">INDEX(NOTA[SUPPLIER_H],Sheet1!A:A)</f>
        <v>BINTANG SAUDARA</v>
      </c>
      <c r="AO101" t="e">
        <f t="shared" ca="1" si="4"/>
        <v>#N/A</v>
      </c>
      <c r="AR101" s="45" t="s">
        <v>255</v>
      </c>
    </row>
    <row r="102" spans="1:44">
      <c r="A102" s="3">
        <v>130</v>
      </c>
      <c r="C102">
        <f>INDEX(NOTA[//DB],Sheet1!A:A)</f>
        <v>3444</v>
      </c>
      <c r="D102">
        <f>MATCH(Table17[[#This Row],[//db]],[3]!Table2[\\],0)</f>
        <v>436</v>
      </c>
      <c r="E102" t="str">
        <f>INDEX([3]!db[NB NOTA],Table17[[#This Row],[//db]])</f>
        <v>GEL PEN G 8002</v>
      </c>
      <c r="F102" t="str">
        <f>INDEX([3]!db[NB BM],Table17[[#This Row],[//db]])</f>
        <v>BP G 8002</v>
      </c>
      <c r="G102" t="str">
        <f>_xlfn.IFNA(INDEX([3]!Table2[NAMA],Table17[[#This Row],[dbconcat]]),"")</f>
        <v>BP G 8002</v>
      </c>
      <c r="H102" t="str">
        <f>INDEX([3]!Table2[KODE BARANG],Table17[[#This Row],[dbconcat]])</f>
        <v>BOL-NB58</v>
      </c>
      <c r="I102" t="str">
        <f>IF(Table17[[#This Row],[Column3]]="",UPPER(Table17[[#This Row],[Column1]]),Table17[[#This Row],[Column3]])</f>
        <v>BP G 8002</v>
      </c>
      <c r="J102">
        <f>INDEX(NOTA[C],Sheet1!A:A)</f>
        <v>3</v>
      </c>
      <c r="K102">
        <f>IF(OR(Table17[[#This Row],[Column5]]=0,Table17[[#This Row],[Column3]]=""),"",INDEX([3]!Table2[ISI2],Table17[[#This Row],[dbconcat]]))</f>
        <v>144</v>
      </c>
      <c r="L102" t="str">
        <f>IF(Table17[[#This Row],[isis]]="","",INDEX([3]!Table2[SATUAN3],Table17[[#This Row],[dbconcat]]))</f>
        <v>LSN</v>
      </c>
      <c r="M102" t="str">
        <f>IF(Table17[[#This Row],[Column5]]=0,"",IF(Table17[[#This Row],[Column3]]="",INDEX([3]!db[QTY B],Table17[[#This Row],[//db]]),""))</f>
        <v/>
      </c>
      <c r="N102" t="str">
        <f>IF(Table17[[#This Row],[isin]]="","",INDEX([3]!db[STN B],Table17[[#This Row],[//db]]))</f>
        <v/>
      </c>
      <c r="O102" t="str">
        <f>IF(AND(Table17[[#This Row],[isis]]="",Table17[[#This Row],[isin]]=""),INDEX(NOTA[QTY],Sheet1!A:A)/IF(Table17[[#This Row],[Column5]]=0,1,Table17[[#This Row],[Column5]]),"")</f>
        <v/>
      </c>
      <c r="P102" t="str">
        <f>IF(Table17[[#This Row],[Column2]]="","",INDEX(NOTA[STN],Sheet1!A:A))</f>
        <v/>
      </c>
      <c r="Q102" s="5" t="str">
        <f>INDEX([3]!db[QTY B],Table17[[#This Row],[//db]])</f>
        <v>144</v>
      </c>
      <c r="R102" t="str">
        <f>INDEX([3]!db[STN B],Table17[[#This Row],[//db]])</f>
        <v>LSN</v>
      </c>
      <c r="S102" s="40" t="str">
        <f>IF(Table17[[#This Row],[Column5]]=0,Table17[[#This Row],[Column23]]/Table17[[#This Row],[Column224]],"")</f>
        <v/>
      </c>
      <c r="T102" s="4">
        <f>IF(Table17[[#This Row],[Column222]]="",Table17[[#This Row],[Column5]],Table17[[#This Row],[Column222]])</f>
        <v>3</v>
      </c>
      <c r="U102" s="4" t="str">
        <f>IF(Table17[[#This Row],[Column223]]=Table17[[#This Row],[Column24]],"",1)</f>
        <v/>
      </c>
      <c r="V102" s="5">
        <f>IF(Table17[[#This Row],[isis]]="",IF(Table17[[#This Row],[isin]]="",Table17[[#This Row],[Column2]],Table17[[#This Row],[isin]]),Table17[[#This Row],[isis]])</f>
        <v>144</v>
      </c>
      <c r="W102" s="3" t="str">
        <f>IF(Table17[[#This Row],[isis]]="",IF(Table17[[#This Row],[isin]]="",Table17[[#This Row],[Column22]],Table17[[#This Row],[stnn]]),Table17[[#This Row],[stns]])</f>
        <v>LSN</v>
      </c>
      <c r="X102" s="5">
        <f>IF(Table17[[#This Row],[Column2222]]&lt;1,Table17[[#This Row],[Column23]],Table17[[#This Row],[Column23]]*Table17[[#This Row],[Column2222]])</f>
        <v>432</v>
      </c>
      <c r="Y102" s="3" t="str">
        <f>Table17[[#This Row],[Column24]]</f>
        <v>LSN</v>
      </c>
      <c r="Z102" s="5">
        <f>Table17[[#This Row],[HRG / CTN]]/Table17[[#This Row],[Column23]]</f>
        <v>8750</v>
      </c>
      <c r="AA102" s="42" t="str">
        <f>IF(INDEX(NOTA[DISC 1],Sheet1!A:A)=0,"",INDEX(NOTA[DISC 1],Sheet1!A:A))</f>
        <v/>
      </c>
      <c r="AB102" s="42" t="str">
        <f>IF(INDEX(NOTA[DISC 2],Sheet1!A:A)=0,"",INDEX(NOTA[DISC 2],Sheet1!A:A))</f>
        <v/>
      </c>
      <c r="AC10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2" s="43">
        <f>INDEX(NOTA[HARGA/ CTN_H],Sheet1!A:A)</f>
        <v>1260000</v>
      </c>
      <c r="AE102" s="43">
        <f>IF(Table17[[#This Row],[DISC 3]]="",Table17[[#This Row],[HRG / CTN]],Table17[[#This Row],[HRG / CTN]]-(Table17[[#This Row],[HRG / CTN]]*Table17[[#This Row],[DISC 3]]))</f>
        <v>1260000</v>
      </c>
      <c r="AF102" s="14">
        <f>IF(Table17[[#This Row],[Column2222]]&lt;1,Table17[[#This Row],[Column9]],Table17[[#This Row],[Column9]]*Table17[[#This Row],[Column2222]])</f>
        <v>3780000</v>
      </c>
      <c r="AG102" s="43" t="str">
        <f ca="1">IF(NOT(AL103=Table17[[#This Row],[Column6]]),SUMIF(Table17[Column6],Table17[[#This Row],[Column6]],Table17[Column7]),"")</f>
        <v/>
      </c>
      <c r="AH102" s="44">
        <f ca="1">INDEX(NOTA[TGL_H],Sheet1!A:A)</f>
        <v>45456</v>
      </c>
      <c r="AI102" s="44">
        <f ca="1">INDEX(NOTA[TGL.NOTA_H],Sheet1!A:A)</f>
        <v>45450</v>
      </c>
      <c r="AK102" t="str">
        <f>IF(INDEX(NOTA[KETERANGAN],A:A)="","",INDEX(NOTA[KETERANGAN],A:A))</f>
        <v/>
      </c>
      <c r="AL102" t="str">
        <f ca="1">INDEX(NOTA[NO.NOTA_H],Sheet1!A:A)</f>
        <v>80838/JL/UTM/0624</v>
      </c>
      <c r="AM102">
        <f>INDEX(NOTA[KETERANGAN],Sheet1!A:A)</f>
        <v>0</v>
      </c>
      <c r="AN102" t="str">
        <f ca="1">INDEX(NOTA[SUPPLIER_H],Sheet1!A:A)</f>
        <v>DAVIS MANDIRI GLOBALINDO</v>
      </c>
      <c r="AO102" t="e">
        <f t="shared" ca="1" si="4"/>
        <v>#N/A</v>
      </c>
      <c r="AR102" s="45" t="s">
        <v>256</v>
      </c>
    </row>
    <row r="103" spans="1:44">
      <c r="A103" s="3">
        <v>131</v>
      </c>
      <c r="C103">
        <f>INDEX(NOTA[//DB],Sheet1!A:A)</f>
        <v>3446</v>
      </c>
      <c r="D103">
        <f>MATCH(Table17[[#This Row],[//db]],[3]!Table2[\\],0)</f>
        <v>438</v>
      </c>
      <c r="E103" t="str">
        <f>INDEX([3]!db[NB NOTA],Table17[[#This Row],[//db]])</f>
        <v>GEL PEN DV-8003 (IPEN 14)</v>
      </c>
      <c r="F103" t="str">
        <f>INDEX([3]!db[NB BM],Table17[[#This Row],[//db]])</f>
        <v>BP DV 8003 (IPEN 14)</v>
      </c>
      <c r="G103" t="str">
        <f>_xlfn.IFNA(INDEX([3]!Table2[NAMA],Table17[[#This Row],[dbconcat]]),"")</f>
        <v>BP DV 8003 (IPEN 14)</v>
      </c>
      <c r="H103" t="str">
        <f>INDEX([3]!Table2[KODE BARANG],Table17[[#This Row],[dbconcat]])</f>
        <v>BOL-NB60</v>
      </c>
      <c r="I103" t="str">
        <f>IF(Table17[[#This Row],[Column3]]="",UPPER(Table17[[#This Row],[Column1]]),Table17[[#This Row],[Column3]])</f>
        <v>BP DV 8003 (IPEN 14)</v>
      </c>
      <c r="J103">
        <f>INDEX(NOTA[C],Sheet1!A:A)</f>
        <v>5</v>
      </c>
      <c r="K103">
        <f>IF(OR(Table17[[#This Row],[Column5]]=0,Table17[[#This Row],[Column3]]=""),"",INDEX([3]!Table2[ISI2],Table17[[#This Row],[dbconcat]]))</f>
        <v>144</v>
      </c>
      <c r="L103" t="str">
        <f>IF(Table17[[#This Row],[isis]]="","",INDEX([3]!Table2[SATUAN3],Table17[[#This Row],[dbconcat]]))</f>
        <v>LSN</v>
      </c>
      <c r="M103" t="str">
        <f>IF(Table17[[#This Row],[Column5]]=0,"",IF(Table17[[#This Row],[Column3]]="",INDEX([3]!db[QTY B],Table17[[#This Row],[//db]]),""))</f>
        <v/>
      </c>
      <c r="N103" t="str">
        <f>IF(Table17[[#This Row],[isin]]="","",INDEX([3]!db[STN B],Table17[[#This Row],[//db]]))</f>
        <v/>
      </c>
      <c r="O103" t="str">
        <f>IF(AND(Table17[[#This Row],[isis]]="",Table17[[#This Row],[isin]]=""),INDEX(NOTA[QTY],Sheet1!A:A)/IF(Table17[[#This Row],[Column5]]=0,1,Table17[[#This Row],[Column5]]),"")</f>
        <v/>
      </c>
      <c r="P103" t="str">
        <f>IF(Table17[[#This Row],[Column2]]="","",INDEX(NOTA[STN],Sheet1!A:A))</f>
        <v/>
      </c>
      <c r="Q103" s="5" t="str">
        <f>INDEX([3]!db[QTY B],Table17[[#This Row],[//db]])</f>
        <v>144</v>
      </c>
      <c r="R103" t="str">
        <f>INDEX([3]!db[STN B],Table17[[#This Row],[//db]])</f>
        <v>LSN</v>
      </c>
      <c r="S103" s="40" t="str">
        <f>IF(Table17[[#This Row],[Column5]]=0,Table17[[#This Row],[Column23]]/Table17[[#This Row],[Column224]],"")</f>
        <v/>
      </c>
      <c r="T103" s="4">
        <f>IF(Table17[[#This Row],[Column222]]="",Table17[[#This Row],[Column5]],Table17[[#This Row],[Column222]])</f>
        <v>5</v>
      </c>
      <c r="U103" s="4" t="str">
        <f>IF(Table17[[#This Row],[Column223]]=Table17[[#This Row],[Column24]],"",1)</f>
        <v/>
      </c>
      <c r="V103" s="5">
        <f>IF(Table17[[#This Row],[isis]]="",IF(Table17[[#This Row],[isin]]="",Table17[[#This Row],[Column2]],Table17[[#This Row],[isin]]),Table17[[#This Row],[isis]])</f>
        <v>144</v>
      </c>
      <c r="W103" s="3" t="str">
        <f>IF(Table17[[#This Row],[isis]]="",IF(Table17[[#This Row],[isin]]="",Table17[[#This Row],[Column22]],Table17[[#This Row],[stnn]]),Table17[[#This Row],[stns]])</f>
        <v>LSN</v>
      </c>
      <c r="X103" s="5">
        <f>IF(Table17[[#This Row],[Column2222]]&lt;1,Table17[[#This Row],[Column23]],Table17[[#This Row],[Column23]]*Table17[[#This Row],[Column2222]])</f>
        <v>720</v>
      </c>
      <c r="Y103" s="3" t="str">
        <f>Table17[[#This Row],[Column24]]</f>
        <v>LSN</v>
      </c>
      <c r="Z103" s="5">
        <f>Table17[[#This Row],[HRG / CTN]]/Table17[[#This Row],[Column23]]</f>
        <v>8000</v>
      </c>
      <c r="AA103" s="42" t="str">
        <f>IF(INDEX(NOTA[DISC 1],Sheet1!A:A)=0,"",INDEX(NOTA[DISC 1],Sheet1!A:A))</f>
        <v/>
      </c>
      <c r="AB103" s="42" t="str">
        <f>IF(INDEX(NOTA[DISC 2],Sheet1!A:A)=0,"",INDEX(NOTA[DISC 2],Sheet1!A:A))</f>
        <v/>
      </c>
      <c r="AC10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3" s="43">
        <f>INDEX(NOTA[HARGA/ CTN_H],Sheet1!A:A)</f>
        <v>1152000</v>
      </c>
      <c r="AE103" s="43">
        <f>IF(Table17[[#This Row],[DISC 3]]="",Table17[[#This Row],[HRG / CTN]],Table17[[#This Row],[HRG / CTN]]-(Table17[[#This Row],[HRG / CTN]]*Table17[[#This Row],[DISC 3]]))</f>
        <v>1152000</v>
      </c>
      <c r="AF103" s="14">
        <f>IF(Table17[[#This Row],[Column2222]]&lt;1,Table17[[#This Row],[Column9]],Table17[[#This Row],[Column9]]*Table17[[#This Row],[Column2222]])</f>
        <v>5760000</v>
      </c>
      <c r="AG103" s="43">
        <f ca="1">IF(NOT(AL104=Table17[[#This Row],[Column6]]),SUMIF(Table17[Column6],Table17[[#This Row],[Column6]],Table17[Column7]),"")</f>
        <v>9540000</v>
      </c>
      <c r="AH103" s="44">
        <f ca="1">INDEX(NOTA[TGL_H],Sheet1!A:A)</f>
        <v>45456</v>
      </c>
      <c r="AI103" s="44">
        <f ca="1">INDEX(NOTA[TGL.NOTA_H],Sheet1!A:A)</f>
        <v>45450</v>
      </c>
      <c r="AK103" t="str">
        <f>IF(INDEX(NOTA[KETERANGAN],A:A)="","",INDEX(NOTA[KETERANGAN],A:A))</f>
        <v/>
      </c>
      <c r="AL103" t="str">
        <f ca="1">INDEX(NOTA[NO.NOTA_H],Sheet1!A:A)</f>
        <v>80838/JL/UTM/0624</v>
      </c>
      <c r="AM103">
        <f>INDEX(NOTA[KETERANGAN],Sheet1!A:A)</f>
        <v>0</v>
      </c>
      <c r="AN103" t="str">
        <f ca="1">INDEX(NOTA[SUPPLIER_H],Sheet1!A:A)</f>
        <v>DAVIS MANDIRI GLOBALINDO</v>
      </c>
      <c r="AO103" t="e">
        <f t="shared" ca="1" si="4"/>
        <v>#N/A</v>
      </c>
      <c r="AR103" s="45" t="s">
        <v>185</v>
      </c>
    </row>
    <row r="104" spans="1:44">
      <c r="A104" s="3">
        <v>133</v>
      </c>
      <c r="C104">
        <f>INDEX(NOTA[//DB],Sheet1!A:A)</f>
        <v>2056</v>
      </c>
      <c r="D104">
        <f>MATCH(Table17[[#This Row],[//db]],[3]!Table2[\\],0)</f>
        <v>1741</v>
      </c>
      <c r="E104" t="str">
        <f>INDEX([3]!db[NB NOTA],Table17[[#This Row],[//db]])</f>
        <v>MALAM SHINTOENG K 6-12W</v>
      </c>
      <c r="F104" t="str">
        <f>INDEX([3]!db[NB BM],Table17[[#This Row],[//db]])</f>
        <v>MALAM SHINTOENG 6-12W K</v>
      </c>
      <c r="G104" t="str">
        <f>_xlfn.IFNA(INDEX([3]!Table2[NAMA],Table17[[#This Row],[dbconcat]]),"")</f>
        <v>MALAM SHINTOENG 6-12W K</v>
      </c>
      <c r="H104" t="str">
        <f>INDEX([3]!Table2[KODE BARANG],Table17[[#This Row],[dbconcat]])</f>
        <v>MAL-SH2</v>
      </c>
      <c r="I104" t="str">
        <f>IF(Table17[[#This Row],[Column3]]="",UPPER(Table17[[#This Row],[Column1]]),Table17[[#This Row],[Column3]])</f>
        <v>MALAM SHINTOENG 6-12W K</v>
      </c>
      <c r="J104">
        <f>INDEX(NOTA[C],Sheet1!A:A)</f>
        <v>0</v>
      </c>
      <c r="K104" t="str">
        <f>IF(OR(Table17[[#This Row],[Column5]]=0,Table17[[#This Row],[Column3]]=""),"",INDEX([3]!Table2[ISI2],Table17[[#This Row],[dbconcat]]))</f>
        <v/>
      </c>
      <c r="L104" t="str">
        <f>IF(Table17[[#This Row],[isis]]="","",INDEX([3]!Table2[SATUAN3],Table17[[#This Row],[dbconcat]]))</f>
        <v/>
      </c>
      <c r="M104" t="str">
        <f>IF(Table17[[#This Row],[Column5]]=0,"",IF(Table17[[#This Row],[Column3]]="",INDEX([3]!db[QTY B],Table17[[#This Row],[//db]]),""))</f>
        <v/>
      </c>
      <c r="N104" t="str">
        <f>IF(Table17[[#This Row],[isin]]="","",INDEX([3]!db[STN B],Table17[[#This Row],[//db]]))</f>
        <v/>
      </c>
      <c r="O104">
        <f>IF(AND(Table17[[#This Row],[isis]]="",Table17[[#This Row],[isin]]=""),INDEX(NOTA[QTY],Sheet1!A:A)/IF(Table17[[#This Row],[Column5]]=0,1,Table17[[#This Row],[Column5]]),"")</f>
        <v>60</v>
      </c>
      <c r="P104" t="str">
        <f>IF(Table17[[#This Row],[Column2]]="","",INDEX(NOTA[STN],Sheet1!A:A))</f>
        <v>PCS</v>
      </c>
      <c r="Q104" s="5" t="str">
        <f>INDEX([3]!db[QTY B],Table17[[#This Row],[//db]])</f>
        <v>480</v>
      </c>
      <c r="R104" t="str">
        <f>INDEX([3]!db[STN B],Table17[[#This Row],[//db]])</f>
        <v>PCS</v>
      </c>
      <c r="S104" s="40">
        <f>IF(Table17[[#This Row],[Column5]]=0,Table17[[#This Row],[Column23]]/Table17[[#This Row],[Column224]],"")</f>
        <v>0.125</v>
      </c>
      <c r="T104" s="4">
        <f>IF(Table17[[#This Row],[Column222]]="",Table17[[#This Row],[Column5]],Table17[[#This Row],[Column222]])</f>
        <v>0.125</v>
      </c>
      <c r="U104" s="4" t="str">
        <f>IF(Table17[[#This Row],[Column223]]=Table17[[#This Row],[Column24]],"",1)</f>
        <v/>
      </c>
      <c r="V104" s="5">
        <f>IF(Table17[[#This Row],[isis]]="",IF(Table17[[#This Row],[isin]]="",Table17[[#This Row],[Column2]],Table17[[#This Row],[isin]]),Table17[[#This Row],[isis]])</f>
        <v>60</v>
      </c>
      <c r="W104" s="3" t="str">
        <f>IF(Table17[[#This Row],[isis]]="",IF(Table17[[#This Row],[isin]]="",Table17[[#This Row],[Column22]],Table17[[#This Row],[stnn]]),Table17[[#This Row],[stns]])</f>
        <v>PCS</v>
      </c>
      <c r="X104" s="5">
        <f>IF(Table17[[#This Row],[Column2222]]&lt;1,Table17[[#This Row],[Column23]],Table17[[#This Row],[Column23]]*Table17[[#This Row],[Column2222]])</f>
        <v>60</v>
      </c>
      <c r="Y104" s="3" t="str">
        <f>Table17[[#This Row],[Column24]]</f>
        <v>PCS</v>
      </c>
      <c r="Z104" s="5">
        <f>Table17[[#This Row],[HRG / CTN]]/Table17[[#This Row],[Column23]]</f>
        <v>1600</v>
      </c>
      <c r="AA104" s="42" t="str">
        <f>IF(INDEX(NOTA[DISC 1],Sheet1!A:A)=0,"",INDEX(NOTA[DISC 1],Sheet1!A:A))</f>
        <v/>
      </c>
      <c r="AB104" s="42" t="str">
        <f>IF(INDEX(NOTA[DISC 2],Sheet1!A:A)=0,"",INDEX(NOTA[DISC 2],Sheet1!A:A))</f>
        <v/>
      </c>
      <c r="AC10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4" s="43">
        <f>INDEX(NOTA[HARGA/ CTN_H],Sheet1!A:A)</f>
        <v>96000</v>
      </c>
      <c r="AE104" s="43">
        <f>IF(Table17[[#This Row],[DISC 3]]="",Table17[[#This Row],[HRG / CTN]],Table17[[#This Row],[HRG / CTN]]-(Table17[[#This Row],[HRG / CTN]]*Table17[[#This Row],[DISC 3]]))</f>
        <v>96000</v>
      </c>
      <c r="AF104" s="14">
        <f>IF(Table17[[#This Row],[Column2222]]&lt;1,Table17[[#This Row],[Column9]],Table17[[#This Row],[Column9]]*Table17[[#This Row],[Column2222]])</f>
        <v>96000</v>
      </c>
      <c r="AG104" s="43" t="str">
        <f ca="1">IF(NOT(AL105=Table17[[#This Row],[Column6]]),SUMIF(Table17[Column6],Table17[[#This Row],[Column6]],Table17[Column7]),"")</f>
        <v/>
      </c>
      <c r="AH104" s="44">
        <f ca="1">INDEX(NOTA[TGL_H],Sheet1!A:A)</f>
        <v>45454</v>
      </c>
      <c r="AI104" s="44">
        <f ca="1">INDEX(NOTA[TGL.NOTA_H],Sheet1!A:A)</f>
        <v>45454</v>
      </c>
      <c r="AK104" t="str">
        <f>IF(INDEX(NOTA[KETERANGAN],A:A)="","",INDEX(NOTA[KETERANGAN],A:A))</f>
        <v/>
      </c>
      <c r="AL104" t="str">
        <f ca="1">INDEX(NOTA[NO.NOTA_H],Sheet1!A:A)</f>
        <v>HN062024104</v>
      </c>
      <c r="AM104">
        <f>INDEX(NOTA[KETERANGAN],Sheet1!A:A)</f>
        <v>0</v>
      </c>
      <c r="AN104" t="str">
        <f ca="1">INDEX(NOTA[SUPPLIER_H],Sheet1!A:A)</f>
        <v>HANSA</v>
      </c>
      <c r="AO104" t="e">
        <f t="shared" ca="1" si="4"/>
        <v>#N/A</v>
      </c>
      <c r="AR104" s="45" t="s">
        <v>187</v>
      </c>
    </row>
    <row r="105" spans="1:44">
      <c r="A105" s="3">
        <v>134</v>
      </c>
      <c r="C105">
        <f>INDEX(NOTA[//DB],Sheet1!A:A)</f>
        <v>2055</v>
      </c>
      <c r="D105">
        <f>MATCH(Table17[[#This Row],[//db]],[3]!Table2[\\],0)</f>
        <v>1740</v>
      </c>
      <c r="E105" t="str">
        <f>INDEX([3]!db[NB NOTA],Table17[[#This Row],[//db]])</f>
        <v>MALAM SHINTOENG K 1W POLOS</v>
      </c>
      <c r="F105" t="str">
        <f>INDEX([3]!db[NB BM],Table17[[#This Row],[//db]])</f>
        <v>MALAM SHINTOENG 1W POLOS K</v>
      </c>
      <c r="G105" t="str">
        <f>_xlfn.IFNA(INDEX([3]!Table2[NAMA],Table17[[#This Row],[dbconcat]]),"")</f>
        <v>MALAM SHINTOENG 1W POLOS K</v>
      </c>
      <c r="H105" t="str">
        <f>INDEX([3]!Table2[KODE BARANG],Table17[[#This Row],[dbconcat]])</f>
        <v>MAL-SH1</v>
      </c>
      <c r="I105" t="str">
        <f>IF(Table17[[#This Row],[Column3]]="",UPPER(Table17[[#This Row],[Column1]]),Table17[[#This Row],[Column3]])</f>
        <v>MALAM SHINTOENG 1W POLOS K</v>
      </c>
      <c r="J105">
        <f>INDEX(NOTA[C],Sheet1!A:A)</f>
        <v>0</v>
      </c>
      <c r="K105" t="str">
        <f>IF(OR(Table17[[#This Row],[Column5]]=0,Table17[[#This Row],[Column3]]=""),"",INDEX([3]!Table2[ISI2],Table17[[#This Row],[dbconcat]]))</f>
        <v/>
      </c>
      <c r="L105" t="str">
        <f>IF(Table17[[#This Row],[isis]]="","",INDEX([3]!Table2[SATUAN3],Table17[[#This Row],[dbconcat]]))</f>
        <v/>
      </c>
      <c r="M105" t="str">
        <f>IF(Table17[[#This Row],[Column5]]=0,"",IF(Table17[[#This Row],[Column3]]="",INDEX([3]!db[QTY B],Table17[[#This Row],[//db]]),""))</f>
        <v/>
      </c>
      <c r="N105" t="str">
        <f>IF(Table17[[#This Row],[isin]]="","",INDEX([3]!db[STN B],Table17[[#This Row],[//db]]))</f>
        <v/>
      </c>
      <c r="O105">
        <f>IF(AND(Table17[[#This Row],[isis]]="",Table17[[#This Row],[isin]]=""),INDEX(NOTA[QTY],Sheet1!A:A)/IF(Table17[[#This Row],[Column5]]=0,1,Table17[[#This Row],[Column5]]),"")</f>
        <v>60</v>
      </c>
      <c r="P105" t="str">
        <f>IF(Table17[[#This Row],[Column2]]="","",INDEX(NOTA[STN],Sheet1!A:A))</f>
        <v>PCS</v>
      </c>
      <c r="Q105" s="5" t="str">
        <f>INDEX([3]!db[QTY B],Table17[[#This Row],[//db]])</f>
        <v>480</v>
      </c>
      <c r="R105" t="str">
        <f>INDEX([3]!db[STN B],Table17[[#This Row],[//db]])</f>
        <v>PCS</v>
      </c>
      <c r="S105" s="40">
        <f>IF(Table17[[#This Row],[Column5]]=0,Table17[[#This Row],[Column23]]/Table17[[#This Row],[Column224]],"")</f>
        <v>0.125</v>
      </c>
      <c r="T105" s="4">
        <f>IF(Table17[[#This Row],[Column222]]="",Table17[[#This Row],[Column5]],Table17[[#This Row],[Column222]])</f>
        <v>0.125</v>
      </c>
      <c r="U105" s="4" t="str">
        <f>IF(Table17[[#This Row],[Column223]]=Table17[[#This Row],[Column24]],"",1)</f>
        <v/>
      </c>
      <c r="V105" s="5">
        <f>IF(Table17[[#This Row],[isis]]="",IF(Table17[[#This Row],[isin]]="",Table17[[#This Row],[Column2]],Table17[[#This Row],[isin]]),Table17[[#This Row],[isis]])</f>
        <v>60</v>
      </c>
      <c r="W105" s="3" t="str">
        <f>IF(Table17[[#This Row],[isis]]="",IF(Table17[[#This Row],[isin]]="",Table17[[#This Row],[Column22]],Table17[[#This Row],[stnn]]),Table17[[#This Row],[stns]])</f>
        <v>PCS</v>
      </c>
      <c r="X105" s="5">
        <f>IF(Table17[[#This Row],[Column2222]]&lt;1,Table17[[#This Row],[Column23]],Table17[[#This Row],[Column23]]*Table17[[#This Row],[Column2222]])</f>
        <v>60</v>
      </c>
      <c r="Y105" s="3" t="str">
        <f>Table17[[#This Row],[Column24]]</f>
        <v>PCS</v>
      </c>
      <c r="Z105" s="5">
        <f>Table17[[#This Row],[HRG / CTN]]/Table17[[#This Row],[Column23]]</f>
        <v>1600</v>
      </c>
      <c r="AA105" s="42" t="str">
        <f>IF(INDEX(NOTA[DISC 1],Sheet1!A:A)=0,"",INDEX(NOTA[DISC 1],Sheet1!A:A))</f>
        <v/>
      </c>
      <c r="AB105" s="42" t="str">
        <f>IF(INDEX(NOTA[DISC 2],Sheet1!A:A)=0,"",INDEX(NOTA[DISC 2],Sheet1!A:A))</f>
        <v/>
      </c>
      <c r="AC10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5" s="43">
        <f>INDEX(NOTA[HARGA/ CTN_H],Sheet1!A:A)</f>
        <v>96000</v>
      </c>
      <c r="AE105" s="43">
        <f>IF(Table17[[#This Row],[DISC 3]]="",Table17[[#This Row],[HRG / CTN]],Table17[[#This Row],[HRG / CTN]]-(Table17[[#This Row],[HRG / CTN]]*Table17[[#This Row],[DISC 3]]))</f>
        <v>96000</v>
      </c>
      <c r="AF105" s="14">
        <f>IF(Table17[[#This Row],[Column2222]]&lt;1,Table17[[#This Row],[Column9]],Table17[[#This Row],[Column9]]*Table17[[#This Row],[Column2222]])</f>
        <v>96000</v>
      </c>
      <c r="AG105" s="43" t="str">
        <f ca="1">IF(NOT(AL106=Table17[[#This Row],[Column6]]),SUMIF(Table17[Column6],Table17[[#This Row],[Column6]],Table17[Column7]),"")</f>
        <v/>
      </c>
      <c r="AH105" s="44">
        <f ca="1">INDEX(NOTA[TGL_H],Sheet1!A:A)</f>
        <v>45454</v>
      </c>
      <c r="AI105" s="44">
        <f ca="1">INDEX(NOTA[TGL.NOTA_H],Sheet1!A:A)</f>
        <v>45454</v>
      </c>
      <c r="AK105" t="str">
        <f>IF(INDEX(NOTA[KETERANGAN],A:A)="","",INDEX(NOTA[KETERANGAN],A:A))</f>
        <v/>
      </c>
      <c r="AL105" t="str">
        <f ca="1">INDEX(NOTA[NO.NOTA_H],Sheet1!A:A)</f>
        <v>HN062024104</v>
      </c>
      <c r="AM105">
        <f>INDEX(NOTA[KETERANGAN],Sheet1!A:A)</f>
        <v>0</v>
      </c>
      <c r="AN105" t="str">
        <f ca="1">INDEX(NOTA[SUPPLIER_H],Sheet1!A:A)</f>
        <v>HANSA</v>
      </c>
      <c r="AO105" t="e">
        <f t="shared" ca="1" si="4"/>
        <v>#N/A</v>
      </c>
      <c r="AR105" s="45" t="s">
        <v>188</v>
      </c>
    </row>
    <row r="106" spans="1:44">
      <c r="A106" s="3">
        <v>135</v>
      </c>
      <c r="C106">
        <f>INDEX(NOTA[//DB],Sheet1!A:A)</f>
        <v>2060</v>
      </c>
      <c r="D106">
        <f>MATCH(Table17[[#This Row],[//db]],[3]!Table2[\\],0)</f>
        <v>1743</v>
      </c>
      <c r="E106" t="str">
        <f>INDEX([3]!db[NB NOTA],Table17[[#This Row],[//db]])</f>
        <v>MALAM SHINTOENG TG 6-12W</v>
      </c>
      <c r="F106" t="str">
        <f>INDEX([3]!db[NB BM],Table17[[#This Row],[//db]])</f>
        <v>Malam Shintoeng 6-12W TG</v>
      </c>
      <c r="G106" t="str">
        <f>_xlfn.IFNA(INDEX([3]!Table2[NAMA],Table17[[#This Row],[dbconcat]]),"")</f>
        <v>MALAM SHINTOENG 6-12W TG</v>
      </c>
      <c r="H106" t="str">
        <f>INDEX([3]!Table2[KODE BARANG],Table17[[#This Row],[dbconcat]])</f>
        <v>MAL-SH4</v>
      </c>
      <c r="I106" t="str">
        <f>IF(Table17[[#This Row],[Column3]]="",UPPER(Table17[[#This Row],[Column1]]),Table17[[#This Row],[Column3]])</f>
        <v>MALAM SHINTOENG 6-12W TG</v>
      </c>
      <c r="J106">
        <f>INDEX(NOTA[C],Sheet1!A:A)</f>
        <v>0</v>
      </c>
      <c r="K106" t="str">
        <f>IF(OR(Table17[[#This Row],[Column5]]=0,Table17[[#This Row],[Column3]]=""),"",INDEX([3]!Table2[ISI2],Table17[[#This Row],[dbconcat]]))</f>
        <v/>
      </c>
      <c r="L106" t="str">
        <f>IF(Table17[[#This Row],[isis]]="","",INDEX([3]!Table2[SATUAN3],Table17[[#This Row],[dbconcat]]))</f>
        <v/>
      </c>
      <c r="M106" t="str">
        <f>IF(Table17[[#This Row],[Column5]]=0,"",IF(Table17[[#This Row],[Column3]]="",INDEX([3]!db[QTY B],Table17[[#This Row],[//db]]),""))</f>
        <v/>
      </c>
      <c r="N106" t="str">
        <f>IF(Table17[[#This Row],[isin]]="","",INDEX([3]!db[STN B],Table17[[#This Row],[//db]]))</f>
        <v/>
      </c>
      <c r="O106">
        <f>IF(AND(Table17[[#This Row],[isis]]="",Table17[[#This Row],[isin]]=""),INDEX(NOTA[QTY],Sheet1!A:A)/IF(Table17[[#This Row],[Column5]]=0,1,Table17[[#This Row],[Column5]]),"")</f>
        <v>50</v>
      </c>
      <c r="P106" t="str">
        <f>IF(Table17[[#This Row],[Column2]]="","",INDEX(NOTA[STN],Sheet1!A:A))</f>
        <v>PCS</v>
      </c>
      <c r="Q106" s="5" t="str">
        <f>INDEX([3]!db[QTY B],Table17[[#This Row],[//db]])</f>
        <v>210</v>
      </c>
      <c r="R106" t="str">
        <f>INDEX([3]!db[STN B],Table17[[#This Row],[//db]])</f>
        <v>PCS</v>
      </c>
      <c r="S106" s="40">
        <f>IF(Table17[[#This Row],[Column5]]=0,Table17[[#This Row],[Column23]]/Table17[[#This Row],[Column224]],"")</f>
        <v>0.23809523809523808</v>
      </c>
      <c r="T106" s="4">
        <f>IF(Table17[[#This Row],[Column222]]="",Table17[[#This Row],[Column5]],Table17[[#This Row],[Column222]])</f>
        <v>0.23809523809523808</v>
      </c>
      <c r="U106" s="4" t="str">
        <f>IF(Table17[[#This Row],[Column223]]=Table17[[#This Row],[Column24]],"",1)</f>
        <v/>
      </c>
      <c r="V106" s="5">
        <f>IF(Table17[[#This Row],[isis]]="",IF(Table17[[#This Row],[isin]]="",Table17[[#This Row],[Column2]],Table17[[#This Row],[isin]]),Table17[[#This Row],[isis]])</f>
        <v>50</v>
      </c>
      <c r="W106" s="3" t="str">
        <f>IF(Table17[[#This Row],[isis]]="",IF(Table17[[#This Row],[isin]]="",Table17[[#This Row],[Column22]],Table17[[#This Row],[stnn]]),Table17[[#This Row],[stns]])</f>
        <v>PCS</v>
      </c>
      <c r="X106" s="5">
        <f>IF(Table17[[#This Row],[Column2222]]&lt;1,Table17[[#This Row],[Column23]],Table17[[#This Row],[Column23]]*Table17[[#This Row],[Column2222]])</f>
        <v>50</v>
      </c>
      <c r="Y106" s="3" t="str">
        <f>Table17[[#This Row],[Column24]]</f>
        <v>PCS</v>
      </c>
      <c r="Z106" s="5">
        <f>Table17[[#This Row],[HRG / CTN]]/Table17[[#This Row],[Column23]]</f>
        <v>4550</v>
      </c>
      <c r="AA106" s="42" t="str">
        <f>IF(INDEX(NOTA[DISC 1],Sheet1!A:A)=0,"",INDEX(NOTA[DISC 1],Sheet1!A:A))</f>
        <v/>
      </c>
      <c r="AB106" s="42" t="str">
        <f>IF(INDEX(NOTA[DISC 2],Sheet1!A:A)=0,"",INDEX(NOTA[DISC 2],Sheet1!A:A))</f>
        <v/>
      </c>
      <c r="AC10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6" s="43">
        <f>INDEX(NOTA[HARGA/ CTN_H],Sheet1!A:A)</f>
        <v>227500</v>
      </c>
      <c r="AE106" s="43">
        <f>IF(Table17[[#This Row],[DISC 3]]="",Table17[[#This Row],[HRG / CTN]],Table17[[#This Row],[HRG / CTN]]-(Table17[[#This Row],[HRG / CTN]]*Table17[[#This Row],[DISC 3]]))</f>
        <v>227500</v>
      </c>
      <c r="AF106" s="14">
        <f>IF(Table17[[#This Row],[Column2222]]&lt;1,Table17[[#This Row],[Column9]],Table17[[#This Row],[Column9]]*Table17[[#This Row],[Column2222]])</f>
        <v>227500</v>
      </c>
      <c r="AG106" s="43" t="str">
        <f ca="1">IF(NOT(AL107=Table17[[#This Row],[Column6]]),SUMIF(Table17[Column6],Table17[[#This Row],[Column6]],Table17[Column7]),"")</f>
        <v/>
      </c>
      <c r="AH106" s="44">
        <f ca="1">INDEX(NOTA[TGL_H],Sheet1!A:A)</f>
        <v>45454</v>
      </c>
      <c r="AI106" s="44">
        <f ca="1">INDEX(NOTA[TGL.NOTA_H],Sheet1!A:A)</f>
        <v>45454</v>
      </c>
      <c r="AK106" t="str">
        <f>IF(INDEX(NOTA[KETERANGAN],A:A)="","",INDEX(NOTA[KETERANGAN],A:A))</f>
        <v/>
      </c>
      <c r="AL106" t="str">
        <f ca="1">INDEX(NOTA[NO.NOTA_H],Sheet1!A:A)</f>
        <v>HN062024104</v>
      </c>
      <c r="AM106">
        <f>INDEX(NOTA[KETERANGAN],Sheet1!A:A)</f>
        <v>0</v>
      </c>
      <c r="AN106" t="str">
        <f ca="1">INDEX(NOTA[SUPPLIER_H],Sheet1!A:A)</f>
        <v>HANSA</v>
      </c>
      <c r="AO106" t="e">
        <f t="shared" ca="1" si="4"/>
        <v>#N/A</v>
      </c>
      <c r="AR106" s="45" t="s">
        <v>189</v>
      </c>
    </row>
    <row r="107" spans="1:44">
      <c r="A107" s="3">
        <v>136</v>
      </c>
      <c r="C107">
        <f>INDEX(NOTA[//DB],Sheet1!A:A)</f>
        <v>2058</v>
      </c>
      <c r="D107">
        <f>MATCH(Table17[[#This Row],[//db]],[3]!Table2[\\],0)</f>
        <v>1742</v>
      </c>
      <c r="E107" t="str">
        <f>INDEX([3]!db[NB NOTA],Table17[[#This Row],[//db]])</f>
        <v>MALAM SHINTOENG TG 1W POLOS</v>
      </c>
      <c r="F107" t="str">
        <f>INDEX([3]!db[NB BM],Table17[[#This Row],[//db]])</f>
        <v>Malam Shintoeng  1W polos TG</v>
      </c>
      <c r="G107" t="str">
        <f>_xlfn.IFNA(INDEX([3]!Table2[NAMA],Table17[[#This Row],[dbconcat]]),"")</f>
        <v>MALAM SHINTOENG 1W POLOS TG</v>
      </c>
      <c r="H107" t="str">
        <f>INDEX([3]!Table2[KODE BARANG],Table17[[#This Row],[dbconcat]])</f>
        <v>MAL-SH3</v>
      </c>
      <c r="I107" t="str">
        <f>IF(Table17[[#This Row],[Column3]]="",UPPER(Table17[[#This Row],[Column1]]),Table17[[#This Row],[Column3]])</f>
        <v>MALAM SHINTOENG 1W POLOS TG</v>
      </c>
      <c r="J107">
        <f>INDEX(NOTA[C],Sheet1!A:A)</f>
        <v>0</v>
      </c>
      <c r="K107" t="str">
        <f>IF(OR(Table17[[#This Row],[Column5]]=0,Table17[[#This Row],[Column3]]=""),"",INDEX([3]!Table2[ISI2],Table17[[#This Row],[dbconcat]]))</f>
        <v/>
      </c>
      <c r="L107" t="str">
        <f>IF(Table17[[#This Row],[isis]]="","",INDEX([3]!Table2[SATUAN3],Table17[[#This Row],[dbconcat]]))</f>
        <v/>
      </c>
      <c r="M107" t="str">
        <f>IF(Table17[[#This Row],[Column5]]=0,"",IF(Table17[[#This Row],[Column3]]="",INDEX([3]!db[QTY B],Table17[[#This Row],[//db]]),""))</f>
        <v/>
      </c>
      <c r="N107" t="str">
        <f>IF(Table17[[#This Row],[isin]]="","",INDEX([3]!db[STN B],Table17[[#This Row],[//db]]))</f>
        <v/>
      </c>
      <c r="O107">
        <f>IF(AND(Table17[[#This Row],[isis]]="",Table17[[#This Row],[isin]]=""),INDEX(NOTA[QTY],Sheet1!A:A)/IF(Table17[[#This Row],[Column5]]=0,1,Table17[[#This Row],[Column5]]),"")</f>
        <v>50</v>
      </c>
      <c r="P107" t="str">
        <f>IF(Table17[[#This Row],[Column2]]="","",INDEX(NOTA[STN],Sheet1!A:A))</f>
        <v>PCS</v>
      </c>
      <c r="Q107" s="5" t="str">
        <f>INDEX([3]!db[QTY B],Table17[[#This Row],[//db]])</f>
        <v>210</v>
      </c>
      <c r="R107" t="str">
        <f>INDEX([3]!db[STN B],Table17[[#This Row],[//db]])</f>
        <v>PCS</v>
      </c>
      <c r="S107" s="40">
        <f>IF(Table17[[#This Row],[Column5]]=0,Table17[[#This Row],[Column23]]/Table17[[#This Row],[Column224]],"")</f>
        <v>0.23809523809523808</v>
      </c>
      <c r="T107" s="4">
        <f>IF(Table17[[#This Row],[Column222]]="",Table17[[#This Row],[Column5]],Table17[[#This Row],[Column222]])</f>
        <v>0.23809523809523808</v>
      </c>
      <c r="U107" s="4" t="str">
        <f>IF(Table17[[#This Row],[Column223]]=Table17[[#This Row],[Column24]],"",1)</f>
        <v/>
      </c>
      <c r="V107" s="5">
        <f>IF(Table17[[#This Row],[isis]]="",IF(Table17[[#This Row],[isin]]="",Table17[[#This Row],[Column2]],Table17[[#This Row],[isin]]),Table17[[#This Row],[isis]])</f>
        <v>50</v>
      </c>
      <c r="W107" s="3" t="str">
        <f>IF(Table17[[#This Row],[isis]]="",IF(Table17[[#This Row],[isin]]="",Table17[[#This Row],[Column22]],Table17[[#This Row],[stnn]]),Table17[[#This Row],[stns]])</f>
        <v>PCS</v>
      </c>
      <c r="X107" s="5">
        <f>IF(Table17[[#This Row],[Column2222]]&lt;1,Table17[[#This Row],[Column23]],Table17[[#This Row],[Column23]]*Table17[[#This Row],[Column2222]])</f>
        <v>50</v>
      </c>
      <c r="Y107" s="3" t="str">
        <f>Table17[[#This Row],[Column24]]</f>
        <v>PCS</v>
      </c>
      <c r="Z107" s="5">
        <f>Table17[[#This Row],[HRG / CTN]]/Table17[[#This Row],[Column23]]</f>
        <v>4330</v>
      </c>
      <c r="AA107" s="42" t="str">
        <f>IF(INDEX(NOTA[DISC 1],Sheet1!A:A)=0,"",INDEX(NOTA[DISC 1],Sheet1!A:A))</f>
        <v/>
      </c>
      <c r="AB107" s="42" t="str">
        <f>IF(INDEX(NOTA[DISC 2],Sheet1!A:A)=0,"",INDEX(NOTA[DISC 2],Sheet1!A:A))</f>
        <v/>
      </c>
      <c r="AC10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7" s="43">
        <f>INDEX(NOTA[HARGA/ CTN_H],Sheet1!A:A)</f>
        <v>216500</v>
      </c>
      <c r="AE107" s="43">
        <f>IF(Table17[[#This Row],[DISC 3]]="",Table17[[#This Row],[HRG / CTN]],Table17[[#This Row],[HRG / CTN]]-(Table17[[#This Row],[HRG / CTN]]*Table17[[#This Row],[DISC 3]]))</f>
        <v>216500</v>
      </c>
      <c r="AF107" s="14">
        <f>IF(Table17[[#This Row],[Column2222]]&lt;1,Table17[[#This Row],[Column9]],Table17[[#This Row],[Column9]]*Table17[[#This Row],[Column2222]])</f>
        <v>216500</v>
      </c>
      <c r="AG107" s="43" t="str">
        <f ca="1">IF(NOT(AL108=Table17[[#This Row],[Column6]]),SUMIF(Table17[Column6],Table17[[#This Row],[Column6]],Table17[Column7]),"")</f>
        <v/>
      </c>
      <c r="AH107" s="44">
        <f ca="1">INDEX(NOTA[TGL_H],Sheet1!A:A)</f>
        <v>45454</v>
      </c>
      <c r="AI107" s="44">
        <f ca="1">INDEX(NOTA[TGL.NOTA_H],Sheet1!A:A)</f>
        <v>45454</v>
      </c>
      <c r="AK107" t="str">
        <f>IF(INDEX(NOTA[KETERANGAN],A:A)="","",INDEX(NOTA[KETERANGAN],A:A))</f>
        <v/>
      </c>
      <c r="AL107" t="str">
        <f ca="1">INDEX(NOTA[NO.NOTA_H],Sheet1!A:A)</f>
        <v>HN062024104</v>
      </c>
      <c r="AM107">
        <f>INDEX(NOTA[KETERANGAN],Sheet1!A:A)</f>
        <v>0</v>
      </c>
      <c r="AN107" t="str">
        <f ca="1">INDEX(NOTA[SUPPLIER_H],Sheet1!A:A)</f>
        <v>HANSA</v>
      </c>
      <c r="AO107" t="e">
        <f t="shared" ca="1" si="4"/>
        <v>#N/A</v>
      </c>
      <c r="AR107" s="45" t="s">
        <v>190</v>
      </c>
    </row>
    <row r="108" spans="1:44">
      <c r="A108" s="3">
        <v>137</v>
      </c>
      <c r="C108">
        <f>INDEX(NOTA[//DB],Sheet1!A:A)</f>
        <v>2053</v>
      </c>
      <c r="D108">
        <f>MATCH(Table17[[#This Row],[//db]],[3]!Table2[\\],0)</f>
        <v>1745</v>
      </c>
      <c r="E108" t="str">
        <f>INDEX([3]!db[NB NOTA],Table17[[#This Row],[//db]])</f>
        <v>MALAM SHINTOENG B 6-12W</v>
      </c>
      <c r="F108" t="str">
        <f>INDEX([3]!db[NB BM],Table17[[#This Row],[//db]])</f>
        <v>Malam Shintoeng 6-12W B</v>
      </c>
      <c r="G108" t="str">
        <f>_xlfn.IFNA(INDEX([3]!Table2[NAMA],Table17[[#This Row],[dbconcat]]),"")</f>
        <v>MALAM SHINTOENG 6-12W B</v>
      </c>
      <c r="H108" t="str">
        <f>INDEX([3]!Table2[KODE BARANG],Table17[[#This Row],[dbconcat]])</f>
        <v>MAL-SH6</v>
      </c>
      <c r="I108" t="str">
        <f>IF(Table17[[#This Row],[Column3]]="",UPPER(Table17[[#This Row],[Column1]]),Table17[[#This Row],[Column3]])</f>
        <v>MALAM SHINTOENG 6-12W B</v>
      </c>
      <c r="J108">
        <f>INDEX(NOTA[C],Sheet1!A:A)</f>
        <v>0</v>
      </c>
      <c r="K108" t="str">
        <f>IF(OR(Table17[[#This Row],[Column5]]=0,Table17[[#This Row],[Column3]]=""),"",INDEX([3]!Table2[ISI2],Table17[[#This Row],[dbconcat]]))</f>
        <v/>
      </c>
      <c r="L108" t="str">
        <f>IF(Table17[[#This Row],[isis]]="","",INDEX([3]!Table2[SATUAN3],Table17[[#This Row],[dbconcat]]))</f>
        <v/>
      </c>
      <c r="M108" t="str">
        <f>IF(Table17[[#This Row],[Column5]]=0,"",IF(Table17[[#This Row],[Column3]]="",INDEX([3]!db[QTY B],Table17[[#This Row],[//db]]),""))</f>
        <v/>
      </c>
      <c r="N108" t="str">
        <f>IF(Table17[[#This Row],[isin]]="","",INDEX([3]!db[STN B],Table17[[#This Row],[//db]]))</f>
        <v/>
      </c>
      <c r="O108">
        <f>IF(AND(Table17[[#This Row],[isis]]="",Table17[[#This Row],[isin]]=""),INDEX(NOTA[QTY],Sheet1!A:A)/IF(Table17[[#This Row],[Column5]]=0,1,Table17[[#This Row],[Column5]]),"")</f>
        <v>20</v>
      </c>
      <c r="P108" t="str">
        <f>IF(Table17[[#This Row],[Column2]]="","",INDEX(NOTA[STN],Sheet1!A:A))</f>
        <v>PCS</v>
      </c>
      <c r="Q108" s="5" t="str">
        <f>INDEX([3]!db[QTY B],Table17[[#This Row],[//db]])</f>
        <v>150</v>
      </c>
      <c r="R108" t="str">
        <f>INDEX([3]!db[STN B],Table17[[#This Row],[//db]])</f>
        <v>PCS</v>
      </c>
      <c r="S108" s="40">
        <f>IF(Table17[[#This Row],[Column5]]=0,Table17[[#This Row],[Column23]]/Table17[[#This Row],[Column224]],"")</f>
        <v>0.13333333333333333</v>
      </c>
      <c r="T108" s="4">
        <f>IF(Table17[[#This Row],[Column222]]="",Table17[[#This Row],[Column5]],Table17[[#This Row],[Column222]])</f>
        <v>0.13333333333333333</v>
      </c>
      <c r="U108" s="4" t="str">
        <f>IF(Table17[[#This Row],[Column223]]=Table17[[#This Row],[Column24]],"",1)</f>
        <v/>
      </c>
      <c r="V108" s="5">
        <f>IF(Table17[[#This Row],[isis]]="",IF(Table17[[#This Row],[isin]]="",Table17[[#This Row],[Column2]],Table17[[#This Row],[isin]]),Table17[[#This Row],[isis]])</f>
        <v>20</v>
      </c>
      <c r="W108" s="3" t="str">
        <f>IF(Table17[[#This Row],[isis]]="",IF(Table17[[#This Row],[isin]]="",Table17[[#This Row],[Column22]],Table17[[#This Row],[stnn]]),Table17[[#This Row],[stns]])</f>
        <v>PCS</v>
      </c>
      <c r="X108" s="5">
        <f>IF(Table17[[#This Row],[Column2222]]&lt;1,Table17[[#This Row],[Column23]],Table17[[#This Row],[Column23]]*Table17[[#This Row],[Column2222]])</f>
        <v>20</v>
      </c>
      <c r="Y108" s="3" t="str">
        <f>Table17[[#This Row],[Column24]]</f>
        <v>PCS</v>
      </c>
      <c r="Z108" s="5">
        <f>Table17[[#This Row],[HRG / CTN]]/Table17[[#This Row],[Column23]]</f>
        <v>6100</v>
      </c>
      <c r="AA108" s="42" t="str">
        <f>IF(INDEX(NOTA[DISC 1],Sheet1!A:A)=0,"",INDEX(NOTA[DISC 1],Sheet1!A:A))</f>
        <v/>
      </c>
      <c r="AB108" s="42" t="str">
        <f>IF(INDEX(NOTA[DISC 2],Sheet1!A:A)=0,"",INDEX(NOTA[DISC 2],Sheet1!A:A))</f>
        <v/>
      </c>
      <c r="AC10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8" s="43">
        <f>INDEX(NOTA[HARGA/ CTN_H],Sheet1!A:A)</f>
        <v>122000</v>
      </c>
      <c r="AE108" s="43">
        <f>IF(Table17[[#This Row],[DISC 3]]="",Table17[[#This Row],[HRG / CTN]],Table17[[#This Row],[HRG / CTN]]-(Table17[[#This Row],[HRG / CTN]]*Table17[[#This Row],[DISC 3]]))</f>
        <v>122000</v>
      </c>
      <c r="AF108" s="14">
        <f>IF(Table17[[#This Row],[Column2222]]&lt;1,Table17[[#This Row],[Column9]],Table17[[#This Row],[Column9]]*Table17[[#This Row],[Column2222]])</f>
        <v>122000</v>
      </c>
      <c r="AG108" s="43" t="str">
        <f ca="1">IF(NOT(AL109=Table17[[#This Row],[Column6]]),SUMIF(Table17[Column6],Table17[[#This Row],[Column6]],Table17[Column7]),"")</f>
        <v/>
      </c>
      <c r="AH108" s="44">
        <f ca="1">INDEX(NOTA[TGL_H],Sheet1!A:A)</f>
        <v>45454</v>
      </c>
      <c r="AI108" s="44">
        <f ca="1">INDEX(NOTA[TGL.NOTA_H],Sheet1!A:A)</f>
        <v>45454</v>
      </c>
      <c r="AK108" t="str">
        <f>IF(INDEX(NOTA[KETERANGAN],A:A)="","",INDEX(NOTA[KETERANGAN],A:A))</f>
        <v/>
      </c>
      <c r="AL108" t="str">
        <f ca="1">INDEX(NOTA[NO.NOTA_H],Sheet1!A:A)</f>
        <v>HN062024104</v>
      </c>
      <c r="AM108">
        <f>INDEX(NOTA[KETERANGAN],Sheet1!A:A)</f>
        <v>0</v>
      </c>
      <c r="AN108" t="str">
        <f ca="1">INDEX(NOTA[SUPPLIER_H],Sheet1!A:A)</f>
        <v>HANSA</v>
      </c>
      <c r="AO108" t="e">
        <f t="shared" ca="1" si="4"/>
        <v>#N/A</v>
      </c>
      <c r="AR108" s="45" t="s">
        <v>191</v>
      </c>
    </row>
    <row r="109" spans="1:44">
      <c r="A109" s="3">
        <v>138</v>
      </c>
      <c r="C109">
        <f>INDEX(NOTA[//DB],Sheet1!A:A)</f>
        <v>2052</v>
      </c>
      <c r="D109">
        <f>MATCH(Table17[[#This Row],[//db]],[3]!Table2[\\],0)</f>
        <v>1744</v>
      </c>
      <c r="E109" t="str">
        <f>INDEX([3]!db[NB NOTA],Table17[[#This Row],[//db]])</f>
        <v>MALAM SHINTOENG B 1W POLOS</v>
      </c>
      <c r="F109" t="str">
        <f>INDEX([3]!db[NB BM],Table17[[#This Row],[//db]])</f>
        <v>Malam Shintoeng 1W polos B</v>
      </c>
      <c r="G109" t="str">
        <f>_xlfn.IFNA(INDEX([3]!Table2[NAMA],Table17[[#This Row],[dbconcat]]),"")</f>
        <v>MALAM SHINTOENG 1W POLOS B</v>
      </c>
      <c r="H109" t="str">
        <f>INDEX([3]!Table2[KODE BARANG],Table17[[#This Row],[dbconcat]])</f>
        <v>MAL-SH5</v>
      </c>
      <c r="I109" t="str">
        <f>IF(Table17[[#This Row],[Column3]]="",UPPER(Table17[[#This Row],[Column1]]),Table17[[#This Row],[Column3]])</f>
        <v>MALAM SHINTOENG 1W POLOS B</v>
      </c>
      <c r="J109">
        <f>INDEX(NOTA[C],Sheet1!A:A)</f>
        <v>0</v>
      </c>
      <c r="K109" t="str">
        <f>IF(OR(Table17[[#This Row],[Column5]]=0,Table17[[#This Row],[Column3]]=""),"",INDEX([3]!Table2[ISI2],Table17[[#This Row],[dbconcat]]))</f>
        <v/>
      </c>
      <c r="L109" t="str">
        <f>IF(Table17[[#This Row],[isis]]="","",INDEX([3]!Table2[SATUAN3],Table17[[#This Row],[dbconcat]]))</f>
        <v/>
      </c>
      <c r="M109" t="str">
        <f>IF(Table17[[#This Row],[Column5]]=0,"",IF(Table17[[#This Row],[Column3]]="",INDEX([3]!db[QTY B],Table17[[#This Row],[//db]]),""))</f>
        <v/>
      </c>
      <c r="N109" t="str">
        <f>IF(Table17[[#This Row],[isin]]="","",INDEX([3]!db[STN B],Table17[[#This Row],[//db]]))</f>
        <v/>
      </c>
      <c r="O109">
        <f>IF(AND(Table17[[#This Row],[isis]]="",Table17[[#This Row],[isin]]=""),INDEX(NOTA[QTY],Sheet1!A:A)/IF(Table17[[#This Row],[Column5]]=0,1,Table17[[#This Row],[Column5]]),"")</f>
        <v>20</v>
      </c>
      <c r="P109" t="str">
        <f>IF(Table17[[#This Row],[Column2]]="","",INDEX(NOTA[STN],Sheet1!A:A))</f>
        <v>PCS</v>
      </c>
      <c r="Q109" s="5" t="str">
        <f>INDEX([3]!db[QTY B],Table17[[#This Row],[//db]])</f>
        <v>180</v>
      </c>
      <c r="R109" t="str">
        <f>INDEX([3]!db[STN B],Table17[[#This Row],[//db]])</f>
        <v>PCS</v>
      </c>
      <c r="S109" s="40">
        <f>IF(Table17[[#This Row],[Column5]]=0,Table17[[#This Row],[Column23]]/Table17[[#This Row],[Column224]],"")</f>
        <v>0.1111111111111111</v>
      </c>
      <c r="T109" s="4">
        <f>IF(Table17[[#This Row],[Column222]]="",Table17[[#This Row],[Column5]],Table17[[#This Row],[Column222]])</f>
        <v>0.1111111111111111</v>
      </c>
      <c r="U109" s="4" t="str">
        <f>IF(Table17[[#This Row],[Column223]]=Table17[[#This Row],[Column24]],"",1)</f>
        <v/>
      </c>
      <c r="V109" s="5">
        <f>IF(Table17[[#This Row],[isis]]="",IF(Table17[[#This Row],[isin]]="",Table17[[#This Row],[Column2]],Table17[[#This Row],[isin]]),Table17[[#This Row],[isis]])</f>
        <v>20</v>
      </c>
      <c r="W109" s="3" t="str">
        <f>IF(Table17[[#This Row],[isis]]="",IF(Table17[[#This Row],[isin]]="",Table17[[#This Row],[Column22]],Table17[[#This Row],[stnn]]),Table17[[#This Row],[stns]])</f>
        <v>PCS</v>
      </c>
      <c r="X109" s="5">
        <f>IF(Table17[[#This Row],[Column2222]]&lt;1,Table17[[#This Row],[Column23]],Table17[[#This Row],[Column23]]*Table17[[#This Row],[Column2222]])</f>
        <v>20</v>
      </c>
      <c r="Y109" s="3" t="str">
        <f>Table17[[#This Row],[Column24]]</f>
        <v>PCS</v>
      </c>
      <c r="Z109" s="5">
        <f>Table17[[#This Row],[HRG / CTN]]/Table17[[#This Row],[Column23]]</f>
        <v>5770</v>
      </c>
      <c r="AA109" s="42" t="str">
        <f>IF(INDEX(NOTA[DISC 1],Sheet1!A:A)=0,"",INDEX(NOTA[DISC 1],Sheet1!A:A))</f>
        <v/>
      </c>
      <c r="AB109" s="42" t="str">
        <f>IF(INDEX(NOTA[DISC 2],Sheet1!A:A)=0,"",INDEX(NOTA[DISC 2],Sheet1!A:A))</f>
        <v/>
      </c>
      <c r="AC10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9" s="43">
        <f>INDEX(NOTA[HARGA/ CTN_H],Sheet1!A:A)</f>
        <v>115400</v>
      </c>
      <c r="AE109" s="43">
        <f>IF(Table17[[#This Row],[DISC 3]]="",Table17[[#This Row],[HRG / CTN]],Table17[[#This Row],[HRG / CTN]]-(Table17[[#This Row],[HRG / CTN]]*Table17[[#This Row],[DISC 3]]))</f>
        <v>115400</v>
      </c>
      <c r="AF109" s="14">
        <f>IF(Table17[[#This Row],[Column2222]]&lt;1,Table17[[#This Row],[Column9]],Table17[[#This Row],[Column9]]*Table17[[#This Row],[Column2222]])</f>
        <v>115400</v>
      </c>
      <c r="AG109" s="43" t="str">
        <f ca="1">IF(NOT(AL110=Table17[[#This Row],[Column6]]),SUMIF(Table17[Column6],Table17[[#This Row],[Column6]],Table17[Column7]),"")</f>
        <v/>
      </c>
      <c r="AH109" s="44">
        <f ca="1">INDEX(NOTA[TGL_H],Sheet1!A:A)</f>
        <v>45454</v>
      </c>
      <c r="AI109" s="44">
        <f ca="1">INDEX(NOTA[TGL.NOTA_H],Sheet1!A:A)</f>
        <v>45454</v>
      </c>
      <c r="AK109" t="str">
        <f>IF(INDEX(NOTA[KETERANGAN],A:A)="","",INDEX(NOTA[KETERANGAN],A:A))</f>
        <v/>
      </c>
      <c r="AL109" t="str">
        <f ca="1">INDEX(NOTA[NO.NOTA_H],Sheet1!A:A)</f>
        <v>HN062024104</v>
      </c>
      <c r="AM109">
        <f>INDEX(NOTA[KETERANGAN],Sheet1!A:A)</f>
        <v>0</v>
      </c>
      <c r="AN109" t="str">
        <f ca="1">INDEX(NOTA[SUPPLIER_H],Sheet1!A:A)</f>
        <v>HANSA</v>
      </c>
      <c r="AO109" t="e">
        <f t="shared" ca="1" si="4"/>
        <v>#N/A</v>
      </c>
      <c r="AR109" s="45" t="s">
        <v>191</v>
      </c>
    </row>
    <row r="110" spans="1:44">
      <c r="A110" s="3">
        <v>139</v>
      </c>
      <c r="C110">
        <f>INDEX(NOTA[//DB],Sheet1!A:A)</f>
        <v>2054</v>
      </c>
      <c r="D110">
        <f>MATCH(Table17[[#This Row],[//db]],[3]!Table2[\\],0)</f>
        <v>1746</v>
      </c>
      <c r="E110" t="str">
        <f>INDEX([3]!db[NB NOTA],Table17[[#This Row],[//db]])</f>
        <v>MALAM SHINTOENG JUMBO POLOS</v>
      </c>
      <c r="F110" t="str">
        <f>INDEX([3]!db[NB BM],Table17[[#This Row],[//db]])</f>
        <v>Malam Shintoeng Jumbo Polos</v>
      </c>
      <c r="G110" t="str">
        <f>_xlfn.IFNA(INDEX([3]!Table2[NAMA],Table17[[#This Row],[dbconcat]]),"")</f>
        <v>MALAM SHINTOENG JUMBO POLOS</v>
      </c>
      <c r="H110" t="str">
        <f>INDEX([3]!Table2[KODE BARANG],Table17[[#This Row],[dbconcat]])</f>
        <v>MAL-SH7</v>
      </c>
      <c r="I110" t="str">
        <f>IF(Table17[[#This Row],[Column3]]="",UPPER(Table17[[#This Row],[Column1]]),Table17[[#This Row],[Column3]])</f>
        <v>MALAM SHINTOENG JUMBO POLOS</v>
      </c>
      <c r="J110">
        <f>INDEX(NOTA[C],Sheet1!A:A)</f>
        <v>0</v>
      </c>
      <c r="K110" t="str">
        <f>IF(OR(Table17[[#This Row],[Column5]]=0,Table17[[#This Row],[Column3]]=""),"",INDEX([3]!Table2[ISI2],Table17[[#This Row],[dbconcat]]))</f>
        <v/>
      </c>
      <c r="L110" t="str">
        <f>IF(Table17[[#This Row],[isis]]="","",INDEX([3]!Table2[SATUAN3],Table17[[#This Row],[dbconcat]]))</f>
        <v/>
      </c>
      <c r="M110" t="str">
        <f>IF(Table17[[#This Row],[Column5]]=0,"",IF(Table17[[#This Row],[Column3]]="",INDEX([3]!db[QTY B],Table17[[#This Row],[//db]]),""))</f>
        <v/>
      </c>
      <c r="N110" t="str">
        <f>IF(Table17[[#This Row],[isin]]="","",INDEX([3]!db[STN B],Table17[[#This Row],[//db]]))</f>
        <v/>
      </c>
      <c r="O110">
        <f>IF(AND(Table17[[#This Row],[isis]]="",Table17[[#This Row],[isin]]=""),INDEX(NOTA[QTY],Sheet1!A:A)/IF(Table17[[#This Row],[Column5]]=0,1,Table17[[#This Row],[Column5]]),"")</f>
        <v>20</v>
      </c>
      <c r="P110" t="str">
        <f>IF(Table17[[#This Row],[Column2]]="","",INDEX(NOTA[STN],Sheet1!A:A))</f>
        <v>PCS</v>
      </c>
      <c r="Q110" s="5" t="str">
        <f>INDEX([3]!db[QTY B],Table17[[#This Row],[//db]])</f>
        <v>20</v>
      </c>
      <c r="R110" t="str">
        <f>INDEX([3]!db[STN B],Table17[[#This Row],[//db]])</f>
        <v>PCS</v>
      </c>
      <c r="S110" s="40">
        <f>IF(Table17[[#This Row],[Column5]]=0,Table17[[#This Row],[Column23]]/Table17[[#This Row],[Column224]],"")</f>
        <v>1</v>
      </c>
      <c r="T110" s="4">
        <f>IF(Table17[[#This Row],[Column222]]="",Table17[[#This Row],[Column5]],Table17[[#This Row],[Column222]])</f>
        <v>1</v>
      </c>
      <c r="U110" s="4" t="str">
        <f>IF(Table17[[#This Row],[Column223]]=Table17[[#This Row],[Column24]],"",1)</f>
        <v/>
      </c>
      <c r="V110" s="5">
        <f>IF(Table17[[#This Row],[isis]]="",IF(Table17[[#This Row],[isin]]="",Table17[[#This Row],[Column2]],Table17[[#This Row],[isin]]),Table17[[#This Row],[isis]])</f>
        <v>20</v>
      </c>
      <c r="W110" s="3" t="str">
        <f>IF(Table17[[#This Row],[isis]]="",IF(Table17[[#This Row],[isin]]="",Table17[[#This Row],[Column22]],Table17[[#This Row],[stnn]]),Table17[[#This Row],[stns]])</f>
        <v>PCS</v>
      </c>
      <c r="X110" s="5">
        <f>IF(Table17[[#This Row],[Column2222]]&lt;1,Table17[[#This Row],[Column23]],Table17[[#This Row],[Column23]]*Table17[[#This Row],[Column2222]])</f>
        <v>20</v>
      </c>
      <c r="Y110" s="3" t="str">
        <f>Table17[[#This Row],[Column24]]</f>
        <v>PCS</v>
      </c>
      <c r="Z110" s="5">
        <f>Table17[[#This Row],[HRG / CTN]]/Table17[[#This Row],[Column23]]</f>
        <v>10990</v>
      </c>
      <c r="AA110" s="42" t="str">
        <f>IF(INDEX(NOTA[DISC 1],Sheet1!A:A)=0,"",INDEX(NOTA[DISC 1],Sheet1!A:A))</f>
        <v/>
      </c>
      <c r="AB110" s="42" t="str">
        <f>IF(INDEX(NOTA[DISC 2],Sheet1!A:A)=0,"",INDEX(NOTA[DISC 2],Sheet1!A:A))</f>
        <v/>
      </c>
      <c r="AC11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0" s="43">
        <f>INDEX(NOTA[HARGA/ CTN_H],Sheet1!A:A)</f>
        <v>219800</v>
      </c>
      <c r="AE110" s="43">
        <f>IF(Table17[[#This Row],[DISC 3]]="",Table17[[#This Row],[HRG / CTN]],Table17[[#This Row],[HRG / CTN]]-(Table17[[#This Row],[HRG / CTN]]*Table17[[#This Row],[DISC 3]]))</f>
        <v>219800</v>
      </c>
      <c r="AF110" s="14">
        <f>IF(Table17[[#This Row],[Column2222]]&lt;1,Table17[[#This Row],[Column9]],Table17[[#This Row],[Column9]]*Table17[[#This Row],[Column2222]])</f>
        <v>219800</v>
      </c>
      <c r="AG110" s="43">
        <f ca="1">IF(NOT(AL111=Table17[[#This Row],[Column6]]),SUMIF(Table17[Column6],Table17[[#This Row],[Column6]],Table17[Column7]),"")</f>
        <v>1093200</v>
      </c>
      <c r="AH110" s="44">
        <f ca="1">INDEX(NOTA[TGL_H],Sheet1!A:A)</f>
        <v>45454</v>
      </c>
      <c r="AI110" s="44">
        <f ca="1">INDEX(NOTA[TGL.NOTA_H],Sheet1!A:A)</f>
        <v>45454</v>
      </c>
      <c r="AK110" t="str">
        <f>IF(INDEX(NOTA[KETERANGAN],A:A)="","",INDEX(NOTA[KETERANGAN],A:A))</f>
        <v/>
      </c>
      <c r="AL110" t="str">
        <f ca="1">INDEX(NOTA[NO.NOTA_H],Sheet1!A:A)</f>
        <v>HN062024104</v>
      </c>
      <c r="AM110">
        <f>INDEX(NOTA[KETERANGAN],Sheet1!A:A)</f>
        <v>0</v>
      </c>
      <c r="AN110" t="str">
        <f ca="1">INDEX(NOTA[SUPPLIER_H],Sheet1!A:A)</f>
        <v>HANSA</v>
      </c>
      <c r="AO110" t="e">
        <f t="shared" ca="1" si="4"/>
        <v>#N/A</v>
      </c>
      <c r="AR110" s="45" t="s">
        <v>192</v>
      </c>
    </row>
    <row r="111" spans="1:44">
      <c r="A111" s="3">
        <v>141</v>
      </c>
      <c r="C111">
        <f>INDEX(NOTA[//DB],Sheet1!A:A)</f>
        <v>3447</v>
      </c>
      <c r="D111" t="e">
        <f>MATCH(Table17[[#This Row],[//db]],[3]!Table2[\\],0)</f>
        <v>#N/A</v>
      </c>
      <c r="E111" t="str">
        <f>INDEX([3]!db[NB NOTA],Table17[[#This Row],[//db]])</f>
        <v>ZIPPER BAG FANCY RB-127 DL RESLETING KAIN</v>
      </c>
      <c r="F111" t="str">
        <f>INDEX([3]!db[NB BM],Table17[[#This Row],[//db]])</f>
        <v>MAP ZIPPER REST KAIN RB-127 DL</v>
      </c>
      <c r="G111" t="str">
        <f>_xlfn.IFNA(INDEX([3]!Table2[NAMA],Table17[[#This Row],[dbconcat]]),"")</f>
        <v/>
      </c>
      <c r="H111" t="e">
        <f>INDEX([3]!Table2[KODE BARANG],Table17[[#This Row],[dbconcat]])</f>
        <v>#N/A</v>
      </c>
      <c r="I111" t="str">
        <f>IF(Table17[[#This Row],[Column3]]="",UPPER(Table17[[#This Row],[Column1]]),Table17[[#This Row],[Column3]])</f>
        <v>MAP ZIPPER REST KAIN RB-127 DL</v>
      </c>
      <c r="J111">
        <f>INDEX(NOTA[C],Sheet1!A:A)</f>
        <v>2</v>
      </c>
      <c r="K111" t="str">
        <f>IF(OR(Table17[[#This Row],[Column5]]=0,Table17[[#This Row],[Column3]]=""),"",INDEX([3]!Table2[ISI2],Table17[[#This Row],[dbconcat]]))</f>
        <v/>
      </c>
      <c r="L111" t="str">
        <f>IF(Table17[[#This Row],[isis]]="","",INDEX([3]!Table2[SATUAN3],Table17[[#This Row],[dbconcat]]))</f>
        <v/>
      </c>
      <c r="M111" t="str">
        <f>IF(Table17[[#This Row],[Column5]]=0,"",IF(Table17[[#This Row],[Column3]]="",INDEX([3]!db[QTY B],Table17[[#This Row],[//db]]),""))</f>
        <v>120</v>
      </c>
      <c r="N111" t="str">
        <f>IF(Table17[[#This Row],[isin]]="","",INDEX([3]!db[STN B],Table17[[#This Row],[//db]]))</f>
        <v>LSN</v>
      </c>
      <c r="O111" t="str">
        <f>IF(AND(Table17[[#This Row],[isis]]="",Table17[[#This Row],[isin]]=""),INDEX(NOTA[QTY],Sheet1!A:A)/IF(Table17[[#This Row],[Column5]]=0,1,Table17[[#This Row],[Column5]]),"")</f>
        <v/>
      </c>
      <c r="P111" t="str">
        <f>IF(Table17[[#This Row],[Column2]]="","",INDEX(NOTA[STN],Sheet1!A:A))</f>
        <v/>
      </c>
      <c r="Q111" s="5" t="str">
        <f>INDEX([3]!db[QTY B],Table17[[#This Row],[//db]])</f>
        <v>120</v>
      </c>
      <c r="R111" t="str">
        <f>INDEX([3]!db[STN B],Table17[[#This Row],[//db]])</f>
        <v>LSN</v>
      </c>
      <c r="S111" s="40" t="str">
        <f>IF(Table17[[#This Row],[Column5]]=0,Table17[[#This Row],[Column23]]/Table17[[#This Row],[Column224]],"")</f>
        <v/>
      </c>
      <c r="T111" s="4">
        <f>IF(Table17[[#This Row],[Column222]]="",Table17[[#This Row],[Column5]],Table17[[#This Row],[Column222]])</f>
        <v>2</v>
      </c>
      <c r="U111" s="4" t="str">
        <f>IF(Table17[[#This Row],[Column223]]=Table17[[#This Row],[Column24]],"",1)</f>
        <v/>
      </c>
      <c r="V111" s="5" t="str">
        <f>IF(Table17[[#This Row],[isis]]="",IF(Table17[[#This Row],[isin]]="",Table17[[#This Row],[Column2]],Table17[[#This Row],[isin]]),Table17[[#This Row],[isis]])</f>
        <v>120</v>
      </c>
      <c r="W111" s="3" t="str">
        <f>IF(Table17[[#This Row],[isis]]="",IF(Table17[[#This Row],[isin]]="",Table17[[#This Row],[Column22]],Table17[[#This Row],[stnn]]),Table17[[#This Row],[stns]])</f>
        <v>LSN</v>
      </c>
      <c r="X111" s="5">
        <f>IF(Table17[[#This Row],[Column2222]]&lt;1,Table17[[#This Row],[Column23]],Table17[[#This Row],[Column23]]*Table17[[#This Row],[Column2222]])</f>
        <v>240</v>
      </c>
      <c r="Y111" s="3" t="str">
        <f>Table17[[#This Row],[Column24]]</f>
        <v>LSN</v>
      </c>
      <c r="Z111" s="5">
        <f>Table17[[#This Row],[HRG / CTN]]/Table17[[#This Row],[Column23]]</f>
        <v>64200</v>
      </c>
      <c r="AA111" s="42">
        <f>IF(INDEX(NOTA[DISC 1],Sheet1!A:A)=0,"",INDEX(NOTA[DISC 1],Sheet1!A:A))</f>
        <v>0.2</v>
      </c>
      <c r="AB111" s="42" t="str">
        <f>IF(INDEX(NOTA[DISC 2],Sheet1!A:A)=0,"",INDEX(NOTA[DISC 2],Sheet1!A:A))</f>
        <v/>
      </c>
      <c r="AC111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111" s="43">
        <f>INDEX(NOTA[HARGA/ CTN_H],Sheet1!A:A)</f>
        <v>7704000</v>
      </c>
      <c r="AE111" s="43">
        <f>IF(Table17[[#This Row],[DISC 3]]="",Table17[[#This Row],[HRG / CTN]],Table17[[#This Row],[HRG / CTN]]-(Table17[[#This Row],[HRG / CTN]]*Table17[[#This Row],[DISC 3]]))</f>
        <v>6163200</v>
      </c>
      <c r="AF111" s="14">
        <f>IF(Table17[[#This Row],[Column2222]]&lt;1,Table17[[#This Row],[Column9]],Table17[[#This Row],[Column9]]*Table17[[#This Row],[Column2222]])</f>
        <v>12326400</v>
      </c>
      <c r="AG111" s="43" t="str">
        <f ca="1">IF(NOT(AL112=Table17[[#This Row],[Column6]]),SUMIF(Table17[Column6],Table17[[#This Row],[Column6]],Table17[Column7]),"")</f>
        <v/>
      </c>
      <c r="AH111" s="44">
        <f ca="1">INDEX(NOTA[TGL_H],Sheet1!A:A)</f>
        <v>45457</v>
      </c>
      <c r="AI111" s="44">
        <f ca="1">INDEX(NOTA[TGL.NOTA_H],Sheet1!A:A)</f>
        <v>45454</v>
      </c>
      <c r="AK111" t="str">
        <f>IF(INDEX(NOTA[KETERANGAN],A:A)="","",INDEX(NOTA[KETERANGAN],A:A))</f>
        <v>1 C = 120LSN + 1C 92LSN</v>
      </c>
      <c r="AL111" t="str">
        <f ca="1">INDEX(NOTA[NO.NOTA_H],Sheet1!A:A)</f>
        <v>24/YS/VI/027</v>
      </c>
      <c r="AM111" t="str">
        <f>INDEX(NOTA[KETERANGAN],Sheet1!A:A)</f>
        <v>1 C = 120LSN + 1C 92LSN</v>
      </c>
      <c r="AN111" t="str">
        <f ca="1">INDEX(NOTA[SUPPLIER_H],Sheet1!A:A)</f>
        <v>YUSHINCA</v>
      </c>
      <c r="AO111" t="e">
        <f t="shared" ca="1" si="4"/>
        <v>#N/A</v>
      </c>
      <c r="AR111" s="45" t="s">
        <v>192</v>
      </c>
    </row>
    <row r="112" spans="1:44">
      <c r="A112" s="3">
        <v>142</v>
      </c>
      <c r="C112">
        <f>INDEX(NOTA[//DB],Sheet1!A:A)</f>
        <v>3448</v>
      </c>
      <c r="D112" t="e">
        <f>MATCH(Table17[[#This Row],[//db]],[3]!Table2[\\],0)</f>
        <v>#N/A</v>
      </c>
      <c r="E112" t="str">
        <f>INDEX([3]!db[NB NOTA],Table17[[#This Row],[//db]])</f>
        <v>ZIPPER BAG FANCY RB-129 A4 RESLETING KAIN</v>
      </c>
      <c r="F112" t="str">
        <f>INDEX([3]!db[NB BM],Table17[[#This Row],[//db]])</f>
        <v>MAP ZIPPER REST KAIN RB-129 A4</v>
      </c>
      <c r="G112" t="str">
        <f>_xlfn.IFNA(INDEX([3]!Table2[NAMA],Table17[[#This Row],[dbconcat]]),"")</f>
        <v/>
      </c>
      <c r="H112" t="e">
        <f>INDEX([3]!Table2[KODE BARANG],Table17[[#This Row],[dbconcat]])</f>
        <v>#N/A</v>
      </c>
      <c r="I112" t="str">
        <f>IF(Table17[[#This Row],[Column3]]="",UPPER(Table17[[#This Row],[Column1]]),Table17[[#This Row],[Column3]])</f>
        <v>MAP ZIPPER REST KAIN RB-129 A4</v>
      </c>
      <c r="J112">
        <f>INDEX(NOTA[C],Sheet1!A:A)</f>
        <v>0</v>
      </c>
      <c r="K112" t="str">
        <f>IF(OR(Table17[[#This Row],[Column5]]=0,Table17[[#This Row],[Column3]]=""),"",INDEX([3]!Table2[ISI2],Table17[[#This Row],[dbconcat]]))</f>
        <v/>
      </c>
      <c r="L112" t="str">
        <f>IF(Table17[[#This Row],[isis]]="","",INDEX([3]!Table2[SATUAN3],Table17[[#This Row],[dbconcat]]))</f>
        <v/>
      </c>
      <c r="M112" t="str">
        <f>IF(Table17[[#This Row],[Column5]]=0,"",IF(Table17[[#This Row],[Column3]]="",INDEX([3]!db[QTY B],Table17[[#This Row],[//db]]),""))</f>
        <v/>
      </c>
      <c r="N112" t="str">
        <f>IF(Table17[[#This Row],[isin]]="","",INDEX([3]!db[STN B],Table17[[#This Row],[//db]]))</f>
        <v/>
      </c>
      <c r="O112">
        <f>IF(AND(Table17[[#This Row],[isis]]="",Table17[[#This Row],[isin]]=""),INDEX(NOTA[QTY],Sheet1!A:A)/IF(Table17[[#This Row],[Column5]]=0,1,Table17[[#This Row],[Column5]]),"")</f>
        <v>97</v>
      </c>
      <c r="P112" t="str">
        <f>IF(Table17[[#This Row],[Column2]]="","",INDEX(NOTA[STN],Sheet1!A:A))</f>
        <v>LSN</v>
      </c>
      <c r="Q112" s="5" t="str">
        <f>INDEX([3]!db[QTY B],Table17[[#This Row],[//db]])</f>
        <v>97</v>
      </c>
      <c r="R112" t="str">
        <f>INDEX([3]!db[STN B],Table17[[#This Row],[//db]])</f>
        <v>LSN</v>
      </c>
      <c r="S112" s="40">
        <f>IF(Table17[[#This Row],[Column5]]=0,Table17[[#This Row],[Column23]]/Table17[[#This Row],[Column224]],"")</f>
        <v>1</v>
      </c>
      <c r="T112" s="4">
        <f>IF(Table17[[#This Row],[Column222]]="",Table17[[#This Row],[Column5]],Table17[[#This Row],[Column222]])</f>
        <v>1</v>
      </c>
      <c r="U112" s="4" t="str">
        <f>IF(Table17[[#This Row],[Column223]]=Table17[[#This Row],[Column24]],"",1)</f>
        <v/>
      </c>
      <c r="V112" s="5">
        <f>IF(Table17[[#This Row],[isis]]="",IF(Table17[[#This Row],[isin]]="",Table17[[#This Row],[Column2]],Table17[[#This Row],[isin]]),Table17[[#This Row],[isis]])</f>
        <v>97</v>
      </c>
      <c r="W112" s="3" t="str">
        <f>IF(Table17[[#This Row],[isis]]="",IF(Table17[[#This Row],[isin]]="",Table17[[#This Row],[Column22]],Table17[[#This Row],[stnn]]),Table17[[#This Row],[stns]])</f>
        <v>LSN</v>
      </c>
      <c r="X112" s="5">
        <f>IF(Table17[[#This Row],[Column2222]]&lt;1,Table17[[#This Row],[Column23]],Table17[[#This Row],[Column23]]*Table17[[#This Row],[Column2222]])</f>
        <v>97</v>
      </c>
      <c r="Y112" s="3" t="str">
        <f>Table17[[#This Row],[Column24]]</f>
        <v>LSN</v>
      </c>
      <c r="Z112" s="5">
        <f>Table17[[#This Row],[HRG / CTN]]/Table17[[#This Row],[Column23]]</f>
        <v>117000</v>
      </c>
      <c r="AA112" s="42">
        <f>IF(INDEX(NOTA[DISC 1],Sheet1!A:A)=0,"",INDEX(NOTA[DISC 1],Sheet1!A:A))</f>
        <v>0.2</v>
      </c>
      <c r="AB112" s="42" t="str">
        <f>IF(INDEX(NOTA[DISC 2],Sheet1!A:A)=0,"",INDEX(NOTA[DISC 2],Sheet1!A:A))</f>
        <v/>
      </c>
      <c r="AC112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112" s="43">
        <f>INDEX(NOTA[HARGA/ CTN_H],Sheet1!A:A)</f>
        <v>11349000</v>
      </c>
      <c r="AE112" s="43">
        <f>IF(Table17[[#This Row],[DISC 3]]="",Table17[[#This Row],[HRG / CTN]],Table17[[#This Row],[HRG / CTN]]-(Table17[[#This Row],[HRG / CTN]]*Table17[[#This Row],[DISC 3]]))</f>
        <v>9079200</v>
      </c>
      <c r="AF112" s="14">
        <f>IF(Table17[[#This Row],[Column2222]]&lt;1,Table17[[#This Row],[Column9]],Table17[[#This Row],[Column9]]*Table17[[#This Row],[Column2222]])</f>
        <v>9079200</v>
      </c>
      <c r="AG112" s="43" t="str">
        <f ca="1">IF(NOT(AL113=Table17[[#This Row],[Column6]]),SUMIF(Table17[Column6],Table17[[#This Row],[Column6]],Table17[Column7]),"")</f>
        <v/>
      </c>
      <c r="AH112" s="44">
        <f ca="1">INDEX(NOTA[TGL_H],Sheet1!A:A)</f>
        <v>45457</v>
      </c>
      <c r="AI112" s="44">
        <f ca="1">INDEX(NOTA[TGL.NOTA_H],Sheet1!A:A)</f>
        <v>45454</v>
      </c>
      <c r="AK112" t="str">
        <f>IF(INDEX(NOTA[KETERANGAN],A:A)="","",INDEX(NOTA[KETERANGAN],A:A))</f>
        <v>1C = 97 LSN</v>
      </c>
      <c r="AL112" t="str">
        <f ca="1">INDEX(NOTA[NO.NOTA_H],Sheet1!A:A)</f>
        <v>24/YS/VI/027</v>
      </c>
      <c r="AM112" t="str">
        <f>INDEX(NOTA[KETERANGAN],Sheet1!A:A)</f>
        <v>1C = 97 LSN</v>
      </c>
      <c r="AN112" t="str">
        <f ca="1">INDEX(NOTA[SUPPLIER_H],Sheet1!A:A)</f>
        <v>YUSHINCA</v>
      </c>
      <c r="AO112" t="e">
        <f t="shared" ca="1" si="4"/>
        <v>#N/A</v>
      </c>
      <c r="AR112" s="45" t="s">
        <v>192</v>
      </c>
    </row>
    <row r="113" spans="1:44">
      <c r="A113" s="3">
        <v>143</v>
      </c>
      <c r="C113">
        <f>INDEX(NOTA[//DB],Sheet1!A:A)</f>
        <v>3449</v>
      </c>
      <c r="D113" t="e">
        <f>MATCH(Table17[[#This Row],[//db]],[3]!Table2[\\],0)</f>
        <v>#N/A</v>
      </c>
      <c r="E113" t="str">
        <f>INDEX([3]!db[NB NOTA],Table17[[#This Row],[//db]])</f>
        <v>ZIPPER BAG FANCY RB-130 B4 RESLETING KAIN</v>
      </c>
      <c r="F113" t="str">
        <f>INDEX([3]!db[NB BM],Table17[[#This Row],[//db]])</f>
        <v>MAP ZIPPER REST KAIN RB-130 B4</v>
      </c>
      <c r="G113" t="str">
        <f>_xlfn.IFNA(INDEX([3]!Table2[NAMA],Table17[[#This Row],[dbconcat]]),"")</f>
        <v/>
      </c>
      <c r="H113" t="e">
        <f>INDEX([3]!Table2[KODE BARANG],Table17[[#This Row],[dbconcat]])</f>
        <v>#N/A</v>
      </c>
      <c r="I113" t="str">
        <f>IF(Table17[[#This Row],[Column3]]="",UPPER(Table17[[#This Row],[Column1]]),Table17[[#This Row],[Column3]])</f>
        <v>MAP ZIPPER REST KAIN RB-130 B4</v>
      </c>
      <c r="J113">
        <f>INDEX(NOTA[C],Sheet1!A:A)</f>
        <v>1</v>
      </c>
      <c r="K113" t="str">
        <f>IF(OR(Table17[[#This Row],[Column5]]=0,Table17[[#This Row],[Column3]]=""),"",INDEX([3]!Table2[ISI2],Table17[[#This Row],[dbconcat]]))</f>
        <v/>
      </c>
      <c r="L113" t="str">
        <f>IF(Table17[[#This Row],[isis]]="","",INDEX([3]!Table2[SATUAN3],Table17[[#This Row],[dbconcat]]))</f>
        <v/>
      </c>
      <c r="M113" t="str">
        <f>IF(Table17[[#This Row],[Column5]]=0,"",IF(Table17[[#This Row],[Column3]]="",INDEX([3]!db[QTY B],Table17[[#This Row],[//db]]),""))</f>
        <v>52</v>
      </c>
      <c r="N113" t="str">
        <f>IF(Table17[[#This Row],[isin]]="","",INDEX([3]!db[STN B],Table17[[#This Row],[//db]]))</f>
        <v>LSN</v>
      </c>
      <c r="O113" t="str">
        <f>IF(AND(Table17[[#This Row],[isis]]="",Table17[[#This Row],[isin]]=""),INDEX(NOTA[QTY],Sheet1!A:A)/IF(Table17[[#This Row],[Column5]]=0,1,Table17[[#This Row],[Column5]]),"")</f>
        <v/>
      </c>
      <c r="P113" t="str">
        <f>IF(Table17[[#This Row],[Column2]]="","",INDEX(NOTA[STN],Sheet1!A:A))</f>
        <v/>
      </c>
      <c r="Q113" s="5" t="str">
        <f>INDEX([3]!db[QTY B],Table17[[#This Row],[//db]])</f>
        <v>52</v>
      </c>
      <c r="R113" t="str">
        <f>INDEX([3]!db[STN B],Table17[[#This Row],[//db]])</f>
        <v>LSN</v>
      </c>
      <c r="S113" s="40" t="str">
        <f>IF(Table17[[#This Row],[Column5]]=0,Table17[[#This Row],[Column23]]/Table17[[#This Row],[Column224]],"")</f>
        <v/>
      </c>
      <c r="T113" s="4">
        <f>IF(Table17[[#This Row],[Column222]]="",Table17[[#This Row],[Column5]],Table17[[#This Row],[Column222]])</f>
        <v>1</v>
      </c>
      <c r="U113" s="4" t="str">
        <f>IF(Table17[[#This Row],[Column223]]=Table17[[#This Row],[Column24]],"",1)</f>
        <v/>
      </c>
      <c r="V113" s="5" t="str">
        <f>IF(Table17[[#This Row],[isis]]="",IF(Table17[[#This Row],[isin]]="",Table17[[#This Row],[Column2]],Table17[[#This Row],[isin]]),Table17[[#This Row],[isis]])</f>
        <v>52</v>
      </c>
      <c r="W113" s="3" t="str">
        <f>IF(Table17[[#This Row],[isis]]="",IF(Table17[[#This Row],[isin]]="",Table17[[#This Row],[Column22]],Table17[[#This Row],[stnn]]),Table17[[#This Row],[stns]])</f>
        <v>LSN</v>
      </c>
      <c r="X113" s="5">
        <f>IF(Table17[[#This Row],[Column2222]]&lt;1,Table17[[#This Row],[Column23]],Table17[[#This Row],[Column23]]*Table17[[#This Row],[Column2222]])</f>
        <v>52</v>
      </c>
      <c r="Y113" s="3" t="str">
        <f>Table17[[#This Row],[Column24]]</f>
        <v>LSN</v>
      </c>
      <c r="Z113" s="5">
        <f>Table17[[#This Row],[HRG / CTN]]/Table17[[#This Row],[Column23]]</f>
        <v>132000</v>
      </c>
      <c r="AA113" s="42">
        <f>IF(INDEX(NOTA[DISC 1],Sheet1!A:A)=0,"",INDEX(NOTA[DISC 1],Sheet1!A:A))</f>
        <v>0.2</v>
      </c>
      <c r="AB113" s="42" t="str">
        <f>IF(INDEX(NOTA[DISC 2],Sheet1!A:A)=0,"",INDEX(NOTA[DISC 2],Sheet1!A:A))</f>
        <v/>
      </c>
      <c r="AC113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113" s="43">
        <f>INDEX(NOTA[HARGA/ CTN_H],Sheet1!A:A)</f>
        <v>6864000</v>
      </c>
      <c r="AE113" s="43">
        <f>IF(Table17[[#This Row],[DISC 3]]="",Table17[[#This Row],[HRG / CTN]],Table17[[#This Row],[HRG / CTN]]-(Table17[[#This Row],[HRG / CTN]]*Table17[[#This Row],[DISC 3]]))</f>
        <v>5491200</v>
      </c>
      <c r="AF113" s="14">
        <f>IF(Table17[[#This Row],[Column2222]]&lt;1,Table17[[#This Row],[Column9]],Table17[[#This Row],[Column9]]*Table17[[#This Row],[Column2222]])</f>
        <v>5491200</v>
      </c>
      <c r="AG113" s="43">
        <f ca="1">IF(NOT(AL114=Table17[[#This Row],[Column6]]),SUMIF(Table17[Column6],Table17[[#This Row],[Column6]],Table17[Column7]),"")</f>
        <v>26896800</v>
      </c>
      <c r="AH113" s="44">
        <f ca="1">INDEX(NOTA[TGL_H],Sheet1!A:A)</f>
        <v>45457</v>
      </c>
      <c r="AI113" s="44">
        <f ca="1">INDEX(NOTA[TGL.NOTA_H],Sheet1!A:A)</f>
        <v>45454</v>
      </c>
      <c r="AK113" t="str">
        <f>IF(INDEX(NOTA[KETERANGAN],A:A)="","",INDEX(NOTA[KETERANGAN],A:A))</f>
        <v/>
      </c>
      <c r="AL113" t="str">
        <f ca="1">INDEX(NOTA[NO.NOTA_H],Sheet1!A:A)</f>
        <v>24/YS/VI/027</v>
      </c>
      <c r="AM113">
        <f>INDEX(NOTA[KETERANGAN],Sheet1!A:A)</f>
        <v>0</v>
      </c>
      <c r="AN113" t="str">
        <f ca="1">INDEX(NOTA[SUPPLIER_H],Sheet1!A:A)</f>
        <v>YUSHINCA</v>
      </c>
      <c r="AO113" t="e">
        <f t="shared" ca="1" si="4"/>
        <v>#N/A</v>
      </c>
      <c r="AR113" s="45" t="s">
        <v>192</v>
      </c>
    </row>
    <row r="114" spans="1:44">
      <c r="A114" s="3">
        <v>145</v>
      </c>
      <c r="C114">
        <f>INDEX(NOTA[//DB],Sheet1!A:A)</f>
        <v>933</v>
      </c>
      <c r="D114">
        <f>MATCH(Table17[[#This Row],[//db]],[3]!Table2[\\],0)</f>
        <v>1027</v>
      </c>
      <c r="E114" t="str">
        <f>INDEX([3]!db[NB NOTA],Table17[[#This Row],[//db]])</f>
        <v>ENTER 30CM 675</v>
      </c>
      <c r="F114" t="str">
        <f>INDEX([3]!db[NB BM],Table17[[#This Row],[//db]])</f>
        <v>GARISAN MIKA 30CM ENTER 675</v>
      </c>
      <c r="G114" t="str">
        <f>_xlfn.IFNA(INDEX([3]!Table2[NAMA],Table17[[#This Row],[dbconcat]]),"")</f>
        <v>GARISAN MIKA 30CM ENTER 675</v>
      </c>
      <c r="H114" t="str">
        <f>INDEX([3]!Table2[KODE BARANG],Table17[[#This Row],[dbconcat]])</f>
        <v>GAR-EN2</v>
      </c>
      <c r="I114" t="str">
        <f>IF(Table17[[#This Row],[Column3]]="",UPPER(Table17[[#This Row],[Column1]]),Table17[[#This Row],[Column3]])</f>
        <v>GARISAN MIKA 30CM ENTER 675</v>
      </c>
      <c r="J114">
        <f>INDEX(NOTA[C],Sheet1!A:A)</f>
        <v>10</v>
      </c>
      <c r="K114">
        <f>IF(OR(Table17[[#This Row],[Column5]]=0,Table17[[#This Row],[Column3]]=""),"",INDEX([3]!Table2[ISI2],Table17[[#This Row],[dbconcat]]))</f>
        <v>200</v>
      </c>
      <c r="L114" t="str">
        <f>IF(Table17[[#This Row],[isis]]="","",INDEX([3]!Table2[SATUAN3],Table17[[#This Row],[dbconcat]]))</f>
        <v>LSN</v>
      </c>
      <c r="M114" t="str">
        <f>IF(Table17[[#This Row],[Column5]]=0,"",IF(Table17[[#This Row],[Column3]]="",INDEX([3]!db[QTY B],Table17[[#This Row],[//db]]),""))</f>
        <v/>
      </c>
      <c r="N114" t="str">
        <f>IF(Table17[[#This Row],[isin]]="","",INDEX([3]!db[STN B],Table17[[#This Row],[//db]]))</f>
        <v/>
      </c>
      <c r="O114" t="str">
        <f>IF(AND(Table17[[#This Row],[isis]]="",Table17[[#This Row],[isin]]=""),INDEX(NOTA[QTY],Sheet1!A:A)/IF(Table17[[#This Row],[Column5]]=0,1,Table17[[#This Row],[Column5]]),"")</f>
        <v/>
      </c>
      <c r="P114" t="str">
        <f>IF(Table17[[#This Row],[Column2]]="","",INDEX(NOTA[STN],Sheet1!A:A))</f>
        <v/>
      </c>
      <c r="Q114" s="5" t="str">
        <f>INDEX([3]!db[QTY B],Table17[[#This Row],[//db]])</f>
        <v>200</v>
      </c>
      <c r="R114" t="str">
        <f>INDEX([3]!db[STN B],Table17[[#This Row],[//db]])</f>
        <v>LSN</v>
      </c>
      <c r="S114" s="40" t="str">
        <f>IF(Table17[[#This Row],[Column5]]=0,Table17[[#This Row],[Column23]]/Table17[[#This Row],[Column224]],"")</f>
        <v/>
      </c>
      <c r="T114" s="4">
        <f>IF(Table17[[#This Row],[Column222]]="",Table17[[#This Row],[Column5]],Table17[[#This Row],[Column222]])</f>
        <v>10</v>
      </c>
      <c r="U114" s="4" t="str">
        <f>IF(Table17[[#This Row],[Column223]]=Table17[[#This Row],[Column24]],"",1)</f>
        <v/>
      </c>
      <c r="V114" s="5">
        <f>IF(Table17[[#This Row],[isis]]="",IF(Table17[[#This Row],[isin]]="",Table17[[#This Row],[Column2]],Table17[[#This Row],[isin]]),Table17[[#This Row],[isis]])</f>
        <v>200</v>
      </c>
      <c r="W114" s="3" t="str">
        <f>IF(Table17[[#This Row],[isis]]="",IF(Table17[[#This Row],[isin]]="",Table17[[#This Row],[Column22]],Table17[[#This Row],[stnn]]),Table17[[#This Row],[stns]])</f>
        <v>LSN</v>
      </c>
      <c r="X114" s="5">
        <f>IF(Table17[[#This Row],[Column2222]]&lt;1,Table17[[#This Row],[Column23]],Table17[[#This Row],[Column23]]*Table17[[#This Row],[Column2222]])</f>
        <v>2000</v>
      </c>
      <c r="Y114" s="3" t="str">
        <f>Table17[[#This Row],[Column24]]</f>
        <v>LSN</v>
      </c>
      <c r="Z114" s="5">
        <f>Table17[[#This Row],[HRG / CTN]]/Table17[[#This Row],[Column23]]</f>
        <v>8750</v>
      </c>
      <c r="AA114" s="42" t="str">
        <f>IF(INDEX(NOTA[DISC 1],Sheet1!A:A)=0,"",INDEX(NOTA[DISC 1],Sheet1!A:A))</f>
        <v/>
      </c>
      <c r="AB114" s="42" t="str">
        <f>IF(INDEX(NOTA[DISC 2],Sheet1!A:A)=0,"",INDEX(NOTA[DISC 2],Sheet1!A:A))</f>
        <v/>
      </c>
      <c r="AC11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4" s="43">
        <f>INDEX(NOTA[HARGA/ CTN_H],Sheet1!A:A)</f>
        <v>1750000</v>
      </c>
      <c r="AE114" s="43">
        <f>IF(Table17[[#This Row],[DISC 3]]="",Table17[[#This Row],[HRG / CTN]],Table17[[#This Row],[HRG / CTN]]-(Table17[[#This Row],[HRG / CTN]]*Table17[[#This Row],[DISC 3]]))</f>
        <v>1750000</v>
      </c>
      <c r="AF114" s="14">
        <f>IF(Table17[[#This Row],[Column2222]]&lt;1,Table17[[#This Row],[Column9]],Table17[[#This Row],[Column9]]*Table17[[#This Row],[Column2222]])</f>
        <v>17500000</v>
      </c>
      <c r="AG114" s="43" t="str">
        <f ca="1">IF(NOT(AL115=Table17[[#This Row],[Column6]]),SUMIF(Table17[Column6],Table17[[#This Row],[Column6]],Table17[Column7]),"")</f>
        <v/>
      </c>
      <c r="AH114" s="44">
        <f ca="1">INDEX(NOTA[TGL_H],Sheet1!A:A)</f>
        <v>45457</v>
      </c>
      <c r="AI114" s="44">
        <f ca="1">INDEX(NOTA[TGL.NOTA_H],Sheet1!A:A)</f>
        <v>45457</v>
      </c>
      <c r="AK114" t="str">
        <f>IF(INDEX(NOTA[KETERANGAN],A:A)="","",INDEX(NOTA[KETERANGAN],A:A))</f>
        <v/>
      </c>
      <c r="AL114" t="str">
        <f ca="1">INDEX(NOTA[NO.NOTA_H],Sheet1!A:A)</f>
        <v>I13.24</v>
      </c>
      <c r="AM114">
        <f>INDEX(NOTA[KETERANGAN],Sheet1!A:A)</f>
        <v>0</v>
      </c>
      <c r="AN114" t="str">
        <f ca="1">INDEX(NOTA[SUPPLIER_H],Sheet1!A:A)</f>
        <v>ETJ</v>
      </c>
      <c r="AO114" t="e">
        <f t="shared" ca="1" si="4"/>
        <v>#N/A</v>
      </c>
      <c r="AR114" s="45" t="s">
        <v>192</v>
      </c>
    </row>
    <row r="115" spans="1:44">
      <c r="A115" s="3">
        <v>146</v>
      </c>
      <c r="C115">
        <f>INDEX(NOTA[//DB],Sheet1!A:A)</f>
        <v>946</v>
      </c>
      <c r="D115" t="e">
        <f>MATCH(Table17[[#This Row],[//db]],[3]!Table2[\\],0)</f>
        <v>#N/A</v>
      </c>
      <c r="E115" t="str">
        <f>INDEX([3]!db[NB NOTA],Table17[[#This Row],[//db]])</f>
        <v>ENTER BUSUR NO.4 TBL</v>
      </c>
      <c r="F115" t="str">
        <f>INDEX([3]!db[NB BM],Table17[[#This Row],[//db]])</f>
        <v>GARISAN ENTER TEBAL NO.4</v>
      </c>
      <c r="G115" t="str">
        <f>_xlfn.IFNA(INDEX([3]!Table2[NAMA],Table17[[#This Row],[dbconcat]]),"")</f>
        <v/>
      </c>
      <c r="H115" t="e">
        <f>INDEX([3]!Table2[KODE BARANG],Table17[[#This Row],[dbconcat]])</f>
        <v>#N/A</v>
      </c>
      <c r="I115" t="str">
        <f>IF(Table17[[#This Row],[Column3]]="",UPPER(Table17[[#This Row],[Column1]]),Table17[[#This Row],[Column3]])</f>
        <v>GARISAN ENTER TEBAL NO.4</v>
      </c>
      <c r="J115">
        <f>INDEX(NOTA[C],Sheet1!A:A)</f>
        <v>2</v>
      </c>
      <c r="K115" t="str">
        <f>IF(OR(Table17[[#This Row],[Column5]]=0,Table17[[#This Row],[Column3]]=""),"",INDEX([3]!Table2[ISI2],Table17[[#This Row],[dbconcat]]))</f>
        <v/>
      </c>
      <c r="L115" t="str">
        <f>IF(Table17[[#This Row],[isis]]="","",INDEX([3]!Table2[SATUAN3],Table17[[#This Row],[dbconcat]]))</f>
        <v/>
      </c>
      <c r="M115" t="str">
        <f>IF(Table17[[#This Row],[Column5]]=0,"",IF(Table17[[#This Row],[Column3]]="",INDEX([3]!db[QTY B],Table17[[#This Row],[//db]]),""))</f>
        <v>480</v>
      </c>
      <c r="N115" t="str">
        <f>IF(Table17[[#This Row],[isin]]="","",INDEX([3]!db[STN B],Table17[[#This Row],[//db]]))</f>
        <v>LSN</v>
      </c>
      <c r="O115" t="str">
        <f>IF(AND(Table17[[#This Row],[isis]]="",Table17[[#This Row],[isin]]=""),INDEX(NOTA[QTY],Sheet1!A:A)/IF(Table17[[#This Row],[Column5]]=0,1,Table17[[#This Row],[Column5]]),"")</f>
        <v/>
      </c>
      <c r="P115" t="str">
        <f>IF(Table17[[#This Row],[Column2]]="","",INDEX(NOTA[STN],Sheet1!A:A))</f>
        <v/>
      </c>
      <c r="Q115" s="5" t="str">
        <f>INDEX([3]!db[QTY B],Table17[[#This Row],[//db]])</f>
        <v>480</v>
      </c>
      <c r="R115" t="str">
        <f>INDEX([3]!db[STN B],Table17[[#This Row],[//db]])</f>
        <v>LSN</v>
      </c>
      <c r="S115" s="40" t="str">
        <f>IF(Table17[[#This Row],[Column5]]=0,Table17[[#This Row],[Column23]]/Table17[[#This Row],[Column224]],"")</f>
        <v/>
      </c>
      <c r="T115" s="4">
        <f>IF(Table17[[#This Row],[Column222]]="",Table17[[#This Row],[Column5]],Table17[[#This Row],[Column222]])</f>
        <v>2</v>
      </c>
      <c r="U115" s="4" t="str">
        <f>IF(Table17[[#This Row],[Column223]]=Table17[[#This Row],[Column24]],"",1)</f>
        <v/>
      </c>
      <c r="V115" s="5" t="str">
        <f>IF(Table17[[#This Row],[isis]]="",IF(Table17[[#This Row],[isin]]="",Table17[[#This Row],[Column2]],Table17[[#This Row],[isin]]),Table17[[#This Row],[isis]])</f>
        <v>480</v>
      </c>
      <c r="W115" s="3" t="str">
        <f>IF(Table17[[#This Row],[isis]]="",IF(Table17[[#This Row],[isin]]="",Table17[[#This Row],[Column22]],Table17[[#This Row],[stnn]]),Table17[[#This Row],[stns]])</f>
        <v>LSN</v>
      </c>
      <c r="X115" s="5">
        <f>IF(Table17[[#This Row],[Column2222]]&lt;1,Table17[[#This Row],[Column23]],Table17[[#This Row],[Column23]]*Table17[[#This Row],[Column2222]])</f>
        <v>960</v>
      </c>
      <c r="Y115" s="3" t="str">
        <f>Table17[[#This Row],[Column24]]</f>
        <v>LSN</v>
      </c>
      <c r="Z115" s="5">
        <f>Table17[[#This Row],[HRG / CTN]]/Table17[[#This Row],[Column23]]</f>
        <v>8000</v>
      </c>
      <c r="AA115" s="42" t="str">
        <f>IF(INDEX(NOTA[DISC 1],Sheet1!A:A)=0,"",INDEX(NOTA[DISC 1],Sheet1!A:A))</f>
        <v/>
      </c>
      <c r="AB115" s="42" t="str">
        <f>IF(INDEX(NOTA[DISC 2],Sheet1!A:A)=0,"",INDEX(NOTA[DISC 2],Sheet1!A:A))</f>
        <v/>
      </c>
      <c r="AC11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5" s="43">
        <f>INDEX(NOTA[HARGA/ CTN_H],Sheet1!A:A)</f>
        <v>3840000</v>
      </c>
      <c r="AE115" s="43">
        <f>IF(Table17[[#This Row],[DISC 3]]="",Table17[[#This Row],[HRG / CTN]],Table17[[#This Row],[HRG / CTN]]-(Table17[[#This Row],[HRG / CTN]]*Table17[[#This Row],[DISC 3]]))</f>
        <v>3840000</v>
      </c>
      <c r="AF115" s="14">
        <f>IF(Table17[[#This Row],[Column2222]]&lt;1,Table17[[#This Row],[Column9]],Table17[[#This Row],[Column9]]*Table17[[#This Row],[Column2222]])</f>
        <v>7680000</v>
      </c>
      <c r="AG115" s="43" t="str">
        <f ca="1">IF(NOT(AL116=Table17[[#This Row],[Column6]]),SUMIF(Table17[Column6],Table17[[#This Row],[Column6]],Table17[Column7]),"")</f>
        <v/>
      </c>
      <c r="AH115" s="44">
        <f ca="1">INDEX(NOTA[TGL_H],Sheet1!A:A)</f>
        <v>45457</v>
      </c>
      <c r="AI115" s="44">
        <f ca="1">INDEX(NOTA[TGL.NOTA_H],Sheet1!A:A)</f>
        <v>45457</v>
      </c>
      <c r="AK115" t="str">
        <f>IF(INDEX(NOTA[KETERANGAN],A:A)="","",INDEX(NOTA[KETERANGAN],A:A))</f>
        <v/>
      </c>
      <c r="AL115" t="str">
        <f ca="1">INDEX(NOTA[NO.NOTA_H],Sheet1!A:A)</f>
        <v>I13.24</v>
      </c>
      <c r="AM115">
        <f>INDEX(NOTA[KETERANGAN],Sheet1!A:A)</f>
        <v>0</v>
      </c>
      <c r="AN115" t="str">
        <f ca="1">INDEX(NOTA[SUPPLIER_H],Sheet1!A:A)</f>
        <v>ETJ</v>
      </c>
      <c r="AO115" t="e">
        <f t="shared" ca="1" si="4"/>
        <v>#N/A</v>
      </c>
      <c r="AR115" s="45" t="s">
        <v>192</v>
      </c>
    </row>
    <row r="116" spans="1:44" s="49" customFormat="1">
      <c r="A116" s="3">
        <v>147</v>
      </c>
      <c r="C116">
        <f>INDEX(NOTA[//DB],Sheet1!A:A)</f>
        <v>3450</v>
      </c>
      <c r="D116" t="e">
        <f>MATCH(Table17[[#This Row],[//db]],[3]!Table2[\\],0)</f>
        <v>#N/A</v>
      </c>
      <c r="E116" t="str">
        <f>INDEX([3]!db[NB NOTA],Table17[[#This Row],[//db]])</f>
        <v>ENTER BUSUR NO 120</v>
      </c>
      <c r="F116" t="str">
        <f>INDEX([3]!db[NB BM],Table17[[#This Row],[//db]])</f>
        <v>GARISAN BUSUR ENTER NO.120</v>
      </c>
      <c r="G116" t="str">
        <f>_xlfn.IFNA(INDEX([3]!Table2[NAMA],Table17[[#This Row],[dbconcat]]),"")</f>
        <v/>
      </c>
      <c r="H116" t="e">
        <f>INDEX([3]!Table2[KODE BARANG],Table17[[#This Row],[dbconcat]])</f>
        <v>#N/A</v>
      </c>
      <c r="I116" t="str">
        <f>IF(Table17[[#This Row],[Column3]]="",UPPER(Table17[[#This Row],[Column1]]),Table17[[#This Row],[Column3]])</f>
        <v>GARISAN BUSUR ENTER NO.120</v>
      </c>
      <c r="J116">
        <f>INDEX(NOTA[C],Sheet1!A:A)</f>
        <v>1</v>
      </c>
      <c r="K116" t="str">
        <f>IF(OR(Table17[[#This Row],[Column5]]=0,Table17[[#This Row],[Column3]]=""),"",INDEX([3]!Table2[ISI2],Table17[[#This Row],[dbconcat]]))</f>
        <v/>
      </c>
      <c r="L116" t="str">
        <f>IF(Table17[[#This Row],[isis]]="","",INDEX([3]!Table2[SATUAN3],Table17[[#This Row],[dbconcat]]))</f>
        <v/>
      </c>
      <c r="M116" t="str">
        <f>IF(Table17[[#This Row],[Column5]]=0,"",IF(Table17[[#This Row],[Column3]]="",INDEX([3]!db[QTY B],Table17[[#This Row],[//db]]),""))</f>
        <v>200</v>
      </c>
      <c r="N116" t="str">
        <f>IF(Table17[[#This Row],[isin]]="","",INDEX([3]!db[STN B],Table17[[#This Row],[//db]]))</f>
        <v>LSN</v>
      </c>
      <c r="O116" t="str">
        <f>IF(AND(Table17[[#This Row],[isis]]="",Table17[[#This Row],[isin]]=""),INDEX(NOTA[QTY],Sheet1!A:A)/IF(Table17[[#This Row],[Column5]]=0,1,Table17[[#This Row],[Column5]]),"")</f>
        <v/>
      </c>
      <c r="P116" t="str">
        <f>IF(Table17[[#This Row],[Column2]]="","",INDEX(NOTA[STN],Sheet1!A:A))</f>
        <v/>
      </c>
      <c r="Q116" s="5" t="str">
        <f>INDEX([3]!db[QTY B],Table17[[#This Row],[//db]])</f>
        <v>200</v>
      </c>
      <c r="R116" t="str">
        <f>INDEX([3]!db[STN B],Table17[[#This Row],[//db]])</f>
        <v>LSN</v>
      </c>
      <c r="S116" s="40" t="str">
        <f>IF(Table17[[#This Row],[Column5]]=0,Table17[[#This Row],[Column23]]/Table17[[#This Row],[Column224]],"")</f>
        <v/>
      </c>
      <c r="T116" s="4">
        <f>IF(Table17[[#This Row],[Column222]]="",Table17[[#This Row],[Column5]],Table17[[#This Row],[Column222]])</f>
        <v>1</v>
      </c>
      <c r="U116" s="4" t="str">
        <f>IF(Table17[[#This Row],[Column223]]=Table17[[#This Row],[Column24]],"",1)</f>
        <v/>
      </c>
      <c r="V116" s="5" t="str">
        <f>IF(Table17[[#This Row],[isis]]="",IF(Table17[[#This Row],[isin]]="",Table17[[#This Row],[Column2]],Table17[[#This Row],[isin]]),Table17[[#This Row],[isis]])</f>
        <v>200</v>
      </c>
      <c r="W116" s="3" t="str">
        <f>IF(Table17[[#This Row],[isis]]="",IF(Table17[[#This Row],[isin]]="",Table17[[#This Row],[Column22]],Table17[[#This Row],[stnn]]),Table17[[#This Row],[stns]])</f>
        <v>LSN</v>
      </c>
      <c r="X116" s="5">
        <f>IF(Table17[[#This Row],[Column2222]]&lt;1,Table17[[#This Row],[Column23]],Table17[[#This Row],[Column23]]*Table17[[#This Row],[Column2222]])</f>
        <v>200</v>
      </c>
      <c r="Y116" s="3" t="str">
        <f>Table17[[#This Row],[Column24]]</f>
        <v>LSN</v>
      </c>
      <c r="Z116" s="5">
        <f>Table17[[#This Row],[HRG / CTN]]/Table17[[#This Row],[Column23]]</f>
        <v>11600</v>
      </c>
      <c r="AA116" s="42" t="str">
        <f>IF(INDEX(NOTA[DISC 1],Sheet1!A:A)=0,"",INDEX(NOTA[DISC 1],Sheet1!A:A))</f>
        <v/>
      </c>
      <c r="AB116" s="42" t="str">
        <f>IF(INDEX(NOTA[DISC 2],Sheet1!A:A)=0,"",INDEX(NOTA[DISC 2],Sheet1!A:A))</f>
        <v/>
      </c>
      <c r="AC11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6" s="43">
        <f>INDEX(NOTA[HARGA/ CTN_H],Sheet1!A:A)</f>
        <v>2320000</v>
      </c>
      <c r="AE116" s="43">
        <f>IF(Table17[[#This Row],[DISC 3]]="",Table17[[#This Row],[HRG / CTN]],Table17[[#This Row],[HRG / CTN]]-(Table17[[#This Row],[HRG / CTN]]*Table17[[#This Row],[DISC 3]]))</f>
        <v>2320000</v>
      </c>
      <c r="AF116" s="14">
        <f>IF(Table17[[#This Row],[Column2222]]&lt;1,Table17[[#This Row],[Column9]],Table17[[#This Row],[Column9]]*Table17[[#This Row],[Column2222]])</f>
        <v>2320000</v>
      </c>
      <c r="AG116" s="43" t="str">
        <f ca="1">IF(NOT(AL117=Table17[[#This Row],[Column6]]),SUMIF(Table17[Column6],Table17[[#This Row],[Column6]],Table17[Column7]),"")</f>
        <v/>
      </c>
      <c r="AH116" s="44">
        <f ca="1">INDEX(NOTA[TGL_H],Sheet1!A:A)</f>
        <v>45457</v>
      </c>
      <c r="AI116" s="44">
        <f ca="1">INDEX(NOTA[TGL.NOTA_H],Sheet1!A:A)</f>
        <v>45457</v>
      </c>
      <c r="AJ116" s="2"/>
      <c r="AK116" t="str">
        <f>IF(INDEX(NOTA[KETERANGAN],A:A)="","",INDEX(NOTA[KETERANGAN],A:A))</f>
        <v/>
      </c>
      <c r="AL116" t="str">
        <f ca="1">INDEX(NOTA[NO.NOTA_H],Sheet1!A:A)</f>
        <v>I13.24</v>
      </c>
      <c r="AM116">
        <f>INDEX(NOTA[KETERANGAN],Sheet1!A:A)</f>
        <v>0</v>
      </c>
      <c r="AN116" t="str">
        <f ca="1">INDEX(NOTA[SUPPLIER_H],Sheet1!A:A)</f>
        <v>ETJ</v>
      </c>
      <c r="AO116" t="e">
        <f t="shared" ca="1" si="4"/>
        <v>#N/A</v>
      </c>
      <c r="AP116"/>
      <c r="AR116" s="50" t="s">
        <v>192</v>
      </c>
    </row>
    <row r="117" spans="1:44">
      <c r="A117" s="51">
        <v>148</v>
      </c>
      <c r="C117">
        <f>INDEX(NOTA[//DB],Sheet1!A:A)</f>
        <v>1901</v>
      </c>
      <c r="D117">
        <f>MATCH(Table17[[#This Row],[//db]],[3]!Table2[\\],0)</f>
        <v>1616</v>
      </c>
      <c r="E117" t="str">
        <f>INDEX([3]!db[NB NOTA],Table17[[#This Row],[//db]])</f>
        <v>KOJIKO LABEL 99</v>
      </c>
      <c r="F117" t="str">
        <f>INDEX([3]!db[NB BM],Table17[[#This Row],[//db]])</f>
        <v>LABEL HARGA KOJIKO 99</v>
      </c>
      <c r="G117" t="str">
        <f>_xlfn.IFNA(INDEX([3]!Table2[NAMA],Table17[[#This Row],[dbconcat]]),"")</f>
        <v>LABEL HARGA KOJIKO 99</v>
      </c>
      <c r="H117" t="str">
        <f>INDEX([3]!Table2[KODE BARANG],Table17[[#This Row],[dbconcat]])</f>
        <v>LAB-KJ3</v>
      </c>
      <c r="I117" t="str">
        <f>IF(Table17[[#This Row],[Column3]]="",UPPER(Table17[[#This Row],[Column1]]),Table17[[#This Row],[Column3]])</f>
        <v>LABEL HARGA KOJIKO 99</v>
      </c>
      <c r="J117">
        <f>INDEX(NOTA[C],Sheet1!A:A)</f>
        <v>5</v>
      </c>
      <c r="K117">
        <f>IF(OR(Table17[[#This Row],[Column5]]=0,Table17[[#This Row],[Column3]]=""),"",INDEX([3]!Table2[ISI2],Table17[[#This Row],[dbconcat]]))</f>
        <v>800</v>
      </c>
      <c r="L117" t="str">
        <f>IF(Table17[[#This Row],[isis]]="","",INDEX([3]!Table2[SATUAN3],Table17[[#This Row],[dbconcat]]))</f>
        <v>PCS</v>
      </c>
      <c r="M117" t="str">
        <f>IF(Table17[[#This Row],[Column5]]=0,"",IF(Table17[[#This Row],[Column3]]="",INDEX([3]!db[QTY B],Table17[[#This Row],[//db]]),""))</f>
        <v/>
      </c>
      <c r="N117" t="str">
        <f>IF(Table17[[#This Row],[isin]]="","",INDEX([3]!db[STN B],Table17[[#This Row],[//db]]))</f>
        <v/>
      </c>
      <c r="O117" t="str">
        <f>IF(AND(Table17[[#This Row],[isis]]="",Table17[[#This Row],[isin]]=""),INDEX(NOTA[QTY],Sheet1!A:A)/IF(Table17[[#This Row],[Column5]]=0,1,Table17[[#This Row],[Column5]]),"")</f>
        <v/>
      </c>
      <c r="P117" t="str">
        <f>IF(Table17[[#This Row],[Column2]]="","",INDEX(NOTA[STN],Sheet1!A:A))</f>
        <v/>
      </c>
      <c r="Q117" s="5" t="str">
        <f>INDEX([3]!db[QTY B],Table17[[#This Row],[//db]])</f>
        <v>800</v>
      </c>
      <c r="R117" t="str">
        <f>INDEX([3]!db[STN B],Table17[[#This Row],[//db]])</f>
        <v>PAK</v>
      </c>
      <c r="S117" s="40" t="str">
        <f>IF(Table17[[#This Row],[Column5]]=0,Table17[[#This Row],[Column23]]/Table17[[#This Row],[Column224]],"")</f>
        <v/>
      </c>
      <c r="T117" s="4">
        <f>IF(Table17[[#This Row],[Column222]]="",Table17[[#This Row],[Column5]],Table17[[#This Row],[Column222]])</f>
        <v>5</v>
      </c>
      <c r="U117" s="4">
        <f>IF(Table17[[#This Row],[Column223]]=Table17[[#This Row],[Column24]],"",1)</f>
        <v>1</v>
      </c>
      <c r="V117" s="5">
        <f>IF(Table17[[#This Row],[isis]]="",IF(Table17[[#This Row],[isin]]="",Table17[[#This Row],[Column2]],Table17[[#This Row],[isin]]),Table17[[#This Row],[isis]])</f>
        <v>800</v>
      </c>
      <c r="W117" s="3" t="str">
        <f>IF(Table17[[#This Row],[isis]]="",IF(Table17[[#This Row],[isin]]="",Table17[[#This Row],[Column22]],Table17[[#This Row],[stnn]]),Table17[[#This Row],[stns]])</f>
        <v>PCS</v>
      </c>
      <c r="X117" s="5">
        <f>IF(Table17[[#This Row],[Column2222]]&lt;1,Table17[[#This Row],[Column23]],Table17[[#This Row],[Column23]]*Table17[[#This Row],[Column2222]])</f>
        <v>4000</v>
      </c>
      <c r="Y117" s="3" t="str">
        <f>Table17[[#This Row],[Column24]]</f>
        <v>PCS</v>
      </c>
      <c r="Z117" s="5">
        <f>Table17[[#This Row],[HRG / CTN]]/Table17[[#This Row],[Column23]]</f>
        <v>2100</v>
      </c>
      <c r="AA117" s="42" t="str">
        <f>IF(INDEX(NOTA[DISC 1],Sheet1!A:A)=0,"",INDEX(NOTA[DISC 1],Sheet1!A:A))</f>
        <v/>
      </c>
      <c r="AB117" s="42" t="str">
        <f>IF(INDEX(NOTA[DISC 2],Sheet1!A:A)=0,"",INDEX(NOTA[DISC 2],Sheet1!A:A))</f>
        <v/>
      </c>
      <c r="AC11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7" s="43">
        <f>INDEX(NOTA[HARGA/ CTN_H],Sheet1!A:A)</f>
        <v>1680000</v>
      </c>
      <c r="AE117" s="43">
        <f>IF(Table17[[#This Row],[DISC 3]]="",Table17[[#This Row],[HRG / CTN]],Table17[[#This Row],[HRG / CTN]]-(Table17[[#This Row],[HRG / CTN]]*Table17[[#This Row],[DISC 3]]))</f>
        <v>1680000</v>
      </c>
      <c r="AF117" s="14">
        <f>IF(Table17[[#This Row],[Column2222]]&lt;1,Table17[[#This Row],[Column9]],Table17[[#This Row],[Column9]]*Table17[[#This Row],[Column2222]])</f>
        <v>8400000</v>
      </c>
      <c r="AG117" s="43" t="str">
        <f ca="1">IF(NOT(AL118=Table17[[#This Row],[Column6]]),SUMIF(Table17[Column6],Table17[[#This Row],[Column6]],Table17[Column7]),"")</f>
        <v/>
      </c>
      <c r="AH117" s="44">
        <f ca="1">INDEX(NOTA[TGL_H],Sheet1!A:A)</f>
        <v>45457</v>
      </c>
      <c r="AI117" s="44">
        <f ca="1">INDEX(NOTA[TGL.NOTA_H],Sheet1!A:A)</f>
        <v>45457</v>
      </c>
      <c r="AK117" t="str">
        <f>IF(INDEX(NOTA[KETERANGAN],A:A)="","",INDEX(NOTA[KETERANGAN],A:A))</f>
        <v/>
      </c>
      <c r="AL117" t="str">
        <f ca="1">INDEX(NOTA[NO.NOTA_H],Sheet1!A:A)</f>
        <v>I13.24</v>
      </c>
      <c r="AM117">
        <f>INDEX(NOTA[KETERANGAN],Sheet1!A:A)</f>
        <v>0</v>
      </c>
      <c r="AN117" t="str">
        <f ca="1">INDEX(NOTA[SUPPLIER_H],Sheet1!A:A)</f>
        <v>ETJ</v>
      </c>
      <c r="AO117" t="e">
        <f t="shared" ca="1" si="4"/>
        <v>#N/A</v>
      </c>
      <c r="AR117" s="45" t="s">
        <v>192</v>
      </c>
    </row>
    <row r="118" spans="1:44">
      <c r="A118" s="3">
        <v>149</v>
      </c>
      <c r="C118">
        <f>INDEX(NOTA[//DB],Sheet1!A:A)</f>
        <v>1897</v>
      </c>
      <c r="D118">
        <f>MATCH(Table17[[#This Row],[//db]],[3]!Table2[\\],0)</f>
        <v>1615</v>
      </c>
      <c r="E118" t="str">
        <f>INDEX([3]!db[NB NOTA],Table17[[#This Row],[//db]])</f>
        <v>KOJIKO 112 LABEL</v>
      </c>
      <c r="F118" t="str">
        <f>INDEX([3]!db[NB BM],Table17[[#This Row],[//db]])</f>
        <v>LABEL HARGA KOJIKO 112</v>
      </c>
      <c r="G118" t="str">
        <f>_xlfn.IFNA(INDEX([3]!Table2[NAMA],Table17[[#This Row],[dbconcat]]),"")</f>
        <v>LABEL HARGA KOJIKO 112</v>
      </c>
      <c r="H118" t="str">
        <f>INDEX([3]!Table2[KODE BARANG],Table17[[#This Row],[dbconcat]])</f>
        <v>LAB-KJ2</v>
      </c>
      <c r="I118" t="str">
        <f>IF(Table17[[#This Row],[Column3]]="",UPPER(Table17[[#This Row],[Column1]]),Table17[[#This Row],[Column3]])</f>
        <v>LABEL HARGA KOJIKO 112</v>
      </c>
      <c r="J118">
        <f>INDEX(NOTA[C],Sheet1!A:A)</f>
        <v>2</v>
      </c>
      <c r="K118">
        <f>IF(OR(Table17[[#This Row],[Column5]]=0,Table17[[#This Row],[Column3]]=""),"",INDEX([3]!Table2[ISI2],Table17[[#This Row],[dbconcat]]))</f>
        <v>800</v>
      </c>
      <c r="L118" t="str">
        <f>IF(Table17[[#This Row],[isis]]="","",INDEX([3]!Table2[SATUAN3],Table17[[#This Row],[dbconcat]]))</f>
        <v>PCS</v>
      </c>
      <c r="M118" t="str">
        <f>IF(Table17[[#This Row],[Column5]]=0,"",IF(Table17[[#This Row],[Column3]]="",INDEX([3]!db[QTY B],Table17[[#This Row],[//db]]),""))</f>
        <v/>
      </c>
      <c r="N118" t="str">
        <f>IF(Table17[[#This Row],[isin]]="","",INDEX([3]!db[STN B],Table17[[#This Row],[//db]]))</f>
        <v/>
      </c>
      <c r="O118" t="str">
        <f>IF(AND(Table17[[#This Row],[isis]]="",Table17[[#This Row],[isin]]=""),INDEX(NOTA[QTY],Sheet1!A:A)/IF(Table17[[#This Row],[Column5]]=0,1,Table17[[#This Row],[Column5]]),"")</f>
        <v/>
      </c>
      <c r="P118" t="str">
        <f>IF(Table17[[#This Row],[Column2]]="","",INDEX(NOTA[STN],Sheet1!A:A))</f>
        <v/>
      </c>
      <c r="Q118" s="5" t="str">
        <f>INDEX([3]!db[QTY B],Table17[[#This Row],[//db]])</f>
        <v>800</v>
      </c>
      <c r="R118" t="str">
        <f>INDEX([3]!db[STN B],Table17[[#This Row],[//db]])</f>
        <v>PAK</v>
      </c>
      <c r="S118" s="40" t="str">
        <f>IF(Table17[[#This Row],[Column5]]=0,Table17[[#This Row],[Column23]]/Table17[[#This Row],[Column224]],"")</f>
        <v/>
      </c>
      <c r="T118" s="4">
        <f>IF(Table17[[#This Row],[Column222]]="",Table17[[#This Row],[Column5]],Table17[[#This Row],[Column222]])</f>
        <v>2</v>
      </c>
      <c r="U118" s="4">
        <f>IF(Table17[[#This Row],[Column223]]=Table17[[#This Row],[Column24]],"",1)</f>
        <v>1</v>
      </c>
      <c r="V118" s="5">
        <f>IF(Table17[[#This Row],[isis]]="",IF(Table17[[#This Row],[isin]]="",Table17[[#This Row],[Column2]],Table17[[#This Row],[isin]]),Table17[[#This Row],[isis]])</f>
        <v>800</v>
      </c>
      <c r="W118" s="3" t="str">
        <f>IF(Table17[[#This Row],[isis]]="",IF(Table17[[#This Row],[isin]]="",Table17[[#This Row],[Column22]],Table17[[#This Row],[stnn]]),Table17[[#This Row],[stns]])</f>
        <v>PCS</v>
      </c>
      <c r="X118" s="5">
        <f>IF(Table17[[#This Row],[Column2222]]&lt;1,Table17[[#This Row],[Column23]],Table17[[#This Row],[Column23]]*Table17[[#This Row],[Column2222]])</f>
        <v>1600</v>
      </c>
      <c r="Y118" s="3" t="str">
        <f>Table17[[#This Row],[Column24]]</f>
        <v>PCS</v>
      </c>
      <c r="Z118" s="5">
        <f>Table17[[#This Row],[HRG / CTN]]/Table17[[#This Row],[Column23]]</f>
        <v>2100</v>
      </c>
      <c r="AA118" s="42" t="str">
        <f>IF(INDEX(NOTA[DISC 1],Sheet1!A:A)=0,"",INDEX(NOTA[DISC 1],Sheet1!A:A))</f>
        <v/>
      </c>
      <c r="AB118" s="42" t="str">
        <f>IF(INDEX(NOTA[DISC 2],Sheet1!A:A)=0,"",INDEX(NOTA[DISC 2],Sheet1!A:A))</f>
        <v/>
      </c>
      <c r="AC11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8" s="43">
        <f>INDEX(NOTA[HARGA/ CTN_H],Sheet1!A:A)</f>
        <v>1680000</v>
      </c>
      <c r="AE118" s="43">
        <f>IF(Table17[[#This Row],[DISC 3]]="",Table17[[#This Row],[HRG / CTN]],Table17[[#This Row],[HRG / CTN]]-(Table17[[#This Row],[HRG / CTN]]*Table17[[#This Row],[DISC 3]]))</f>
        <v>1680000</v>
      </c>
      <c r="AF118" s="14">
        <f>IF(Table17[[#This Row],[Column2222]]&lt;1,Table17[[#This Row],[Column9]],Table17[[#This Row],[Column9]]*Table17[[#This Row],[Column2222]])</f>
        <v>3360000</v>
      </c>
      <c r="AG118" s="43" t="str">
        <f ca="1">IF(NOT(AL119=Table17[[#This Row],[Column6]]),SUMIF(Table17[Column6],Table17[[#This Row],[Column6]],Table17[Column7]),"")</f>
        <v/>
      </c>
      <c r="AH118" s="44">
        <f ca="1">INDEX(NOTA[TGL_H],Sheet1!A:A)</f>
        <v>45457</v>
      </c>
      <c r="AI118" s="44">
        <f ca="1">INDEX(NOTA[TGL.NOTA_H],Sheet1!A:A)</f>
        <v>45457</v>
      </c>
      <c r="AK118" t="str">
        <f>IF(INDEX(NOTA[KETERANGAN],A:A)="","",INDEX(NOTA[KETERANGAN],A:A))</f>
        <v/>
      </c>
      <c r="AL118" t="str">
        <f ca="1">INDEX(NOTA[NO.NOTA_H],Sheet1!A:A)</f>
        <v>I13.24</v>
      </c>
      <c r="AM118">
        <f>INDEX(NOTA[KETERANGAN],Sheet1!A:A)</f>
        <v>0</v>
      </c>
      <c r="AN118" t="str">
        <f ca="1">INDEX(NOTA[SUPPLIER_H],Sheet1!A:A)</f>
        <v>ETJ</v>
      </c>
      <c r="AO118" t="e">
        <f t="shared" ref="AO118:AO149" ca="1" si="5">MATCH(AL:AL,AR:AR,0)</f>
        <v>#N/A</v>
      </c>
      <c r="AR118" s="45" t="s">
        <v>192</v>
      </c>
    </row>
    <row r="119" spans="1:44">
      <c r="A119" s="3">
        <v>150</v>
      </c>
      <c r="C119">
        <f>INDEX(NOTA[//DB],Sheet1!A:A)</f>
        <v>1896</v>
      </c>
      <c r="D119">
        <f>MATCH(Table17[[#This Row],[//db]],[3]!Table2[\\],0)</f>
        <v>1614</v>
      </c>
      <c r="E119" t="str">
        <f>INDEX([3]!db[NB NOTA],Table17[[#This Row],[//db]])</f>
        <v>KOJIKO 103P LABEL</v>
      </c>
      <c r="F119" t="str">
        <f>INDEX([3]!db[NB BM],Table17[[#This Row],[//db]])</f>
        <v>LABEL HARGA KOJIKO 103</v>
      </c>
      <c r="G119" t="str">
        <f>_xlfn.IFNA(INDEX([3]!Table2[NAMA],Table17[[#This Row],[dbconcat]]),"")</f>
        <v>LABEL HARGA KOJIKO 103</v>
      </c>
      <c r="H119" t="str">
        <f>INDEX([3]!Table2[KODE BARANG],Table17[[#This Row],[dbconcat]])</f>
        <v>LAB-KJ1</v>
      </c>
      <c r="I119" t="str">
        <f>IF(Table17[[#This Row],[Column3]]="",UPPER(Table17[[#This Row],[Column1]]),Table17[[#This Row],[Column3]])</f>
        <v>LABEL HARGA KOJIKO 103</v>
      </c>
      <c r="J119">
        <f>INDEX(NOTA[C],Sheet1!A:A)</f>
        <v>2</v>
      </c>
      <c r="K119">
        <f>IF(OR(Table17[[#This Row],[Column5]]=0,Table17[[#This Row],[Column3]]=""),"",INDEX([3]!Table2[ISI2],Table17[[#This Row],[dbconcat]]))</f>
        <v>800</v>
      </c>
      <c r="L119" t="str">
        <f>IF(Table17[[#This Row],[isis]]="","",INDEX([3]!Table2[SATUAN3],Table17[[#This Row],[dbconcat]]))</f>
        <v>PCS</v>
      </c>
      <c r="M119" t="str">
        <f>IF(Table17[[#This Row],[Column5]]=0,"",IF(Table17[[#This Row],[Column3]]="",INDEX([3]!db[QTY B],Table17[[#This Row],[//db]]),""))</f>
        <v/>
      </c>
      <c r="N119" t="str">
        <f>IF(Table17[[#This Row],[isin]]="","",INDEX([3]!db[STN B],Table17[[#This Row],[//db]]))</f>
        <v/>
      </c>
      <c r="O119" t="str">
        <f>IF(AND(Table17[[#This Row],[isis]]="",Table17[[#This Row],[isin]]=""),INDEX(NOTA[QTY],Sheet1!A:A)/IF(Table17[[#This Row],[Column5]]=0,1,Table17[[#This Row],[Column5]]),"")</f>
        <v/>
      </c>
      <c r="P119" t="str">
        <f>IF(Table17[[#This Row],[Column2]]="","",INDEX(NOTA[STN],Sheet1!A:A))</f>
        <v/>
      </c>
      <c r="Q119" s="5" t="str">
        <f>INDEX([3]!db[QTY B],Table17[[#This Row],[//db]])</f>
        <v>800</v>
      </c>
      <c r="R119" t="str">
        <f>INDEX([3]!db[STN B],Table17[[#This Row],[//db]])</f>
        <v>PAK</v>
      </c>
      <c r="S119" s="40" t="str">
        <f>IF(Table17[[#This Row],[Column5]]=0,Table17[[#This Row],[Column23]]/Table17[[#This Row],[Column224]],"")</f>
        <v/>
      </c>
      <c r="T119" s="4">
        <f>IF(Table17[[#This Row],[Column222]]="",Table17[[#This Row],[Column5]],Table17[[#This Row],[Column222]])</f>
        <v>2</v>
      </c>
      <c r="U119" s="4">
        <f>IF(Table17[[#This Row],[Column223]]=Table17[[#This Row],[Column24]],"",1)</f>
        <v>1</v>
      </c>
      <c r="V119" s="5">
        <f>IF(Table17[[#This Row],[isis]]="",IF(Table17[[#This Row],[isin]]="",Table17[[#This Row],[Column2]],Table17[[#This Row],[isin]]),Table17[[#This Row],[isis]])</f>
        <v>800</v>
      </c>
      <c r="W119" s="3" t="str">
        <f>IF(Table17[[#This Row],[isis]]="",IF(Table17[[#This Row],[isin]]="",Table17[[#This Row],[Column22]],Table17[[#This Row],[stnn]]),Table17[[#This Row],[stns]])</f>
        <v>PCS</v>
      </c>
      <c r="X119" s="5">
        <f>IF(Table17[[#This Row],[Column2222]]&lt;1,Table17[[#This Row],[Column23]],Table17[[#This Row],[Column23]]*Table17[[#This Row],[Column2222]])</f>
        <v>1600</v>
      </c>
      <c r="Y119" s="3" t="str">
        <f>Table17[[#This Row],[Column24]]</f>
        <v>PCS</v>
      </c>
      <c r="Z119" s="5">
        <f>Table17[[#This Row],[HRG / CTN]]/Table17[[#This Row],[Column23]]</f>
        <v>2100</v>
      </c>
      <c r="AA119" s="42" t="str">
        <f>IF(INDEX(NOTA[DISC 1],Sheet1!A:A)=0,"",INDEX(NOTA[DISC 1],Sheet1!A:A))</f>
        <v/>
      </c>
      <c r="AB119" s="42" t="str">
        <f>IF(INDEX(NOTA[DISC 2],Sheet1!A:A)=0,"",INDEX(NOTA[DISC 2],Sheet1!A:A))</f>
        <v/>
      </c>
      <c r="AC11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9" s="43">
        <f>INDEX(NOTA[HARGA/ CTN_H],Sheet1!A:A)</f>
        <v>1680000</v>
      </c>
      <c r="AE119" s="43">
        <f>IF(Table17[[#This Row],[DISC 3]]="",Table17[[#This Row],[HRG / CTN]],Table17[[#This Row],[HRG / CTN]]-(Table17[[#This Row],[HRG / CTN]]*Table17[[#This Row],[DISC 3]]))</f>
        <v>1680000</v>
      </c>
      <c r="AF119" s="14">
        <f>IF(Table17[[#This Row],[Column2222]]&lt;1,Table17[[#This Row],[Column9]],Table17[[#This Row],[Column9]]*Table17[[#This Row],[Column2222]])</f>
        <v>3360000</v>
      </c>
      <c r="AG119" s="43" t="str">
        <f ca="1">IF(NOT(AL120=Table17[[#This Row],[Column6]]),SUMIF(Table17[Column6],Table17[[#This Row],[Column6]],Table17[Column7]),"")</f>
        <v/>
      </c>
      <c r="AH119" s="44">
        <f ca="1">INDEX(NOTA[TGL_H],Sheet1!A:A)</f>
        <v>45457</v>
      </c>
      <c r="AI119" s="44">
        <f ca="1">INDEX(NOTA[TGL.NOTA_H],Sheet1!A:A)</f>
        <v>45457</v>
      </c>
      <c r="AK119" t="str">
        <f>IF(INDEX(NOTA[KETERANGAN],A:A)="","",INDEX(NOTA[KETERANGAN],A:A))</f>
        <v/>
      </c>
      <c r="AL119" t="str">
        <f ca="1">INDEX(NOTA[NO.NOTA_H],Sheet1!A:A)</f>
        <v>I13.24</v>
      </c>
      <c r="AM119">
        <f>INDEX(NOTA[KETERANGAN],Sheet1!A:A)</f>
        <v>0</v>
      </c>
      <c r="AN119" t="str">
        <f ca="1">INDEX(NOTA[SUPPLIER_H],Sheet1!A:A)</f>
        <v>ETJ</v>
      </c>
      <c r="AO119" t="e">
        <f t="shared" ca="1" si="5"/>
        <v>#N/A</v>
      </c>
      <c r="AR119" s="45" t="s">
        <v>192</v>
      </c>
    </row>
    <row r="120" spans="1:44">
      <c r="A120" s="3">
        <v>151</v>
      </c>
      <c r="C120">
        <f>INDEX(NOTA[//DB],Sheet1!A:A)</f>
        <v>3451</v>
      </c>
      <c r="D120" t="e">
        <f>MATCH(Table17[[#This Row],[//db]],[3]!Table2[\\],0)</f>
        <v>#N/A</v>
      </c>
      <c r="E120" t="str">
        <f>INDEX([3]!db[NB NOTA],Table17[[#This Row],[//db]])</f>
        <v>ENTER GB 30 CM TBL</v>
      </c>
      <c r="F120" t="str">
        <f>INDEX([3]!db[NB BM],Table17[[#This Row],[//db]])</f>
        <v>GARISAN BESI 30CM ENTER TEBAL</v>
      </c>
      <c r="G120" t="str">
        <f>_xlfn.IFNA(INDEX([3]!Table2[NAMA],Table17[[#This Row],[dbconcat]]),"")</f>
        <v/>
      </c>
      <c r="H120" t="e">
        <f>INDEX([3]!Table2[KODE BARANG],Table17[[#This Row],[dbconcat]])</f>
        <v>#N/A</v>
      </c>
      <c r="I120" t="str">
        <f>IF(Table17[[#This Row],[Column3]]="",UPPER(Table17[[#This Row],[Column1]]),Table17[[#This Row],[Column3]])</f>
        <v>GARISAN BESI 30CM ENTER TEBAL</v>
      </c>
      <c r="J120">
        <f>INDEX(NOTA[C],Sheet1!A:A)</f>
        <v>5</v>
      </c>
      <c r="K120" t="str">
        <f>IF(OR(Table17[[#This Row],[Column5]]=0,Table17[[#This Row],[Column3]]=""),"",INDEX([3]!Table2[ISI2],Table17[[#This Row],[dbconcat]]))</f>
        <v/>
      </c>
      <c r="L120" t="str">
        <f>IF(Table17[[#This Row],[isis]]="","",INDEX([3]!Table2[SATUAN3],Table17[[#This Row],[dbconcat]]))</f>
        <v/>
      </c>
      <c r="M120" t="str">
        <f>IF(Table17[[#This Row],[Column5]]=0,"",IF(Table17[[#This Row],[Column3]]="",INDEX([3]!db[QTY B],Table17[[#This Row],[//db]]),""))</f>
        <v>50</v>
      </c>
      <c r="N120" t="str">
        <f>IF(Table17[[#This Row],[isin]]="","",INDEX([3]!db[STN B],Table17[[#This Row],[//db]]))</f>
        <v>LSN</v>
      </c>
      <c r="O120" t="str">
        <f>IF(AND(Table17[[#This Row],[isis]]="",Table17[[#This Row],[isin]]=""),INDEX(NOTA[QTY],Sheet1!A:A)/IF(Table17[[#This Row],[Column5]]=0,1,Table17[[#This Row],[Column5]]),"")</f>
        <v/>
      </c>
      <c r="P120" t="str">
        <f>IF(Table17[[#This Row],[Column2]]="","",INDEX(NOTA[STN],Sheet1!A:A))</f>
        <v/>
      </c>
      <c r="Q120" s="5" t="str">
        <f>INDEX([3]!db[QTY B],Table17[[#This Row],[//db]])</f>
        <v>50</v>
      </c>
      <c r="R120" t="str">
        <f>INDEX([3]!db[STN B],Table17[[#This Row],[//db]])</f>
        <v>LSN</v>
      </c>
      <c r="S120" s="40" t="str">
        <f>IF(Table17[[#This Row],[Column5]]=0,Table17[[#This Row],[Column23]]/Table17[[#This Row],[Column224]],"")</f>
        <v/>
      </c>
      <c r="T120" s="4">
        <f>IF(Table17[[#This Row],[Column222]]="",Table17[[#This Row],[Column5]],Table17[[#This Row],[Column222]])</f>
        <v>5</v>
      </c>
      <c r="U120" s="4" t="str">
        <f>IF(Table17[[#This Row],[Column223]]=Table17[[#This Row],[Column24]],"",1)</f>
        <v/>
      </c>
      <c r="V120" s="5" t="str">
        <f>IF(Table17[[#This Row],[isis]]="",IF(Table17[[#This Row],[isin]]="",Table17[[#This Row],[Column2]],Table17[[#This Row],[isin]]),Table17[[#This Row],[isis]])</f>
        <v>50</v>
      </c>
      <c r="W120" s="3" t="str">
        <f>IF(Table17[[#This Row],[isis]]="",IF(Table17[[#This Row],[isin]]="",Table17[[#This Row],[Column22]],Table17[[#This Row],[stnn]]),Table17[[#This Row],[stns]])</f>
        <v>LSN</v>
      </c>
      <c r="X120" s="5">
        <f>IF(Table17[[#This Row],[Column2222]]&lt;1,Table17[[#This Row],[Column23]],Table17[[#This Row],[Column23]]*Table17[[#This Row],[Column2222]])</f>
        <v>250</v>
      </c>
      <c r="Y120" s="3" t="str">
        <f>Table17[[#This Row],[Column24]]</f>
        <v>LSN</v>
      </c>
      <c r="Z120" s="5">
        <f>Table17[[#This Row],[HRG / CTN]]/Table17[[#This Row],[Column23]]</f>
        <v>35000</v>
      </c>
      <c r="AA120" s="42" t="str">
        <f>IF(INDEX(NOTA[DISC 1],Sheet1!A:A)=0,"",INDEX(NOTA[DISC 1],Sheet1!A:A))</f>
        <v/>
      </c>
      <c r="AB120" s="42" t="str">
        <f>IF(INDEX(NOTA[DISC 2],Sheet1!A:A)=0,"",INDEX(NOTA[DISC 2],Sheet1!A:A))</f>
        <v/>
      </c>
      <c r="AC12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0" s="43">
        <f>INDEX(NOTA[HARGA/ CTN_H],Sheet1!A:A)</f>
        <v>1750000</v>
      </c>
      <c r="AE120" s="43">
        <f>IF(Table17[[#This Row],[DISC 3]]="",Table17[[#This Row],[HRG / CTN]],Table17[[#This Row],[HRG / CTN]]-(Table17[[#This Row],[HRG / CTN]]*Table17[[#This Row],[DISC 3]]))</f>
        <v>1750000</v>
      </c>
      <c r="AF120" s="14">
        <f>IF(Table17[[#This Row],[Column2222]]&lt;1,Table17[[#This Row],[Column9]],Table17[[#This Row],[Column9]]*Table17[[#This Row],[Column2222]])</f>
        <v>8750000</v>
      </c>
      <c r="AG120" s="43" t="str">
        <f ca="1">IF(NOT(AL121=Table17[[#This Row],[Column6]]),SUMIF(Table17[Column6],Table17[[#This Row],[Column6]],Table17[Column7]),"")</f>
        <v/>
      </c>
      <c r="AH120" s="44">
        <f ca="1">INDEX(NOTA[TGL_H],Sheet1!A:A)</f>
        <v>45457</v>
      </c>
      <c r="AI120" s="44">
        <f ca="1">INDEX(NOTA[TGL.NOTA_H],Sheet1!A:A)</f>
        <v>45457</v>
      </c>
      <c r="AK120" t="str">
        <f>IF(INDEX(NOTA[KETERANGAN],A:A)="","",INDEX(NOTA[KETERANGAN],A:A))</f>
        <v/>
      </c>
      <c r="AL120" t="str">
        <f ca="1">INDEX(NOTA[NO.NOTA_H],Sheet1!A:A)</f>
        <v>I13.24</v>
      </c>
      <c r="AM120">
        <f>INDEX(NOTA[KETERANGAN],Sheet1!A:A)</f>
        <v>0</v>
      </c>
      <c r="AN120" t="str">
        <f ca="1">INDEX(NOTA[SUPPLIER_H],Sheet1!A:A)</f>
        <v>ETJ</v>
      </c>
      <c r="AO120" t="e">
        <f t="shared" ca="1" si="5"/>
        <v>#N/A</v>
      </c>
      <c r="AR120" s="45" t="s">
        <v>192</v>
      </c>
    </row>
    <row r="121" spans="1:44">
      <c r="A121" s="3">
        <v>152</v>
      </c>
      <c r="C121">
        <f>INDEX(NOTA[//DB],Sheet1!A:A)</f>
        <v>3452</v>
      </c>
      <c r="D121" t="e">
        <f>MATCH(Table17[[#This Row],[//db]],[3]!Table2[\\],0)</f>
        <v>#N/A</v>
      </c>
      <c r="E121" t="str">
        <f>INDEX([3]!db[NB NOTA],Table17[[#This Row],[//db]])</f>
        <v>ENTER GB 40 CM TBL</v>
      </c>
      <c r="F121" t="str">
        <f>INDEX([3]!db[NB BM],Table17[[#This Row],[//db]])</f>
        <v>GARISAN BESI 40CM ENTER TEBAL</v>
      </c>
      <c r="G121" t="str">
        <f>_xlfn.IFNA(INDEX([3]!Table2[NAMA],Table17[[#This Row],[dbconcat]]),"")</f>
        <v/>
      </c>
      <c r="H121" t="e">
        <f>INDEX([3]!Table2[KODE BARANG],Table17[[#This Row],[dbconcat]])</f>
        <v>#N/A</v>
      </c>
      <c r="I121" t="str">
        <f>IF(Table17[[#This Row],[Column3]]="",UPPER(Table17[[#This Row],[Column1]]),Table17[[#This Row],[Column3]])</f>
        <v>GARISAN BESI 40CM ENTER TEBAL</v>
      </c>
      <c r="J121">
        <f>INDEX(NOTA[C],Sheet1!A:A)</f>
        <v>2</v>
      </c>
      <c r="K121" t="str">
        <f>IF(OR(Table17[[#This Row],[Column5]]=0,Table17[[#This Row],[Column3]]=""),"",INDEX([3]!Table2[ISI2],Table17[[#This Row],[dbconcat]]))</f>
        <v/>
      </c>
      <c r="L121" t="str">
        <f>IF(Table17[[#This Row],[isis]]="","",INDEX([3]!Table2[SATUAN3],Table17[[#This Row],[dbconcat]]))</f>
        <v/>
      </c>
      <c r="M121" t="str">
        <f>IF(Table17[[#This Row],[Column5]]=0,"",IF(Table17[[#This Row],[Column3]]="",INDEX([3]!db[QTY B],Table17[[#This Row],[//db]]),""))</f>
        <v>25</v>
      </c>
      <c r="N121" t="str">
        <f>IF(Table17[[#This Row],[isin]]="","",INDEX([3]!db[STN B],Table17[[#This Row],[//db]]))</f>
        <v>LSN</v>
      </c>
      <c r="O121" t="str">
        <f>IF(AND(Table17[[#This Row],[isis]]="",Table17[[#This Row],[isin]]=""),INDEX(NOTA[QTY],Sheet1!A:A)/IF(Table17[[#This Row],[Column5]]=0,1,Table17[[#This Row],[Column5]]),"")</f>
        <v/>
      </c>
      <c r="P121" t="str">
        <f>IF(Table17[[#This Row],[Column2]]="","",INDEX(NOTA[STN],Sheet1!A:A))</f>
        <v/>
      </c>
      <c r="Q121" s="5" t="str">
        <f>INDEX([3]!db[QTY B],Table17[[#This Row],[//db]])</f>
        <v>25</v>
      </c>
      <c r="R121" t="str">
        <f>INDEX([3]!db[STN B],Table17[[#This Row],[//db]])</f>
        <v>LSN</v>
      </c>
      <c r="S121" s="40" t="str">
        <f>IF(Table17[[#This Row],[Column5]]=0,Table17[[#This Row],[Column23]]/Table17[[#This Row],[Column224]],"")</f>
        <v/>
      </c>
      <c r="T121" s="4">
        <f>IF(Table17[[#This Row],[Column222]]="",Table17[[#This Row],[Column5]],Table17[[#This Row],[Column222]])</f>
        <v>2</v>
      </c>
      <c r="U121" s="4" t="str">
        <f>IF(Table17[[#This Row],[Column223]]=Table17[[#This Row],[Column24]],"",1)</f>
        <v/>
      </c>
      <c r="V121" s="5" t="str">
        <f>IF(Table17[[#This Row],[isis]]="",IF(Table17[[#This Row],[isin]]="",Table17[[#This Row],[Column2]],Table17[[#This Row],[isin]]),Table17[[#This Row],[isis]])</f>
        <v>25</v>
      </c>
      <c r="W121" s="3" t="str">
        <f>IF(Table17[[#This Row],[isis]]="",IF(Table17[[#This Row],[isin]]="",Table17[[#This Row],[Column22]],Table17[[#This Row],[stnn]]),Table17[[#This Row],[stns]])</f>
        <v>LSN</v>
      </c>
      <c r="X121" s="5">
        <f>IF(Table17[[#This Row],[Column2222]]&lt;1,Table17[[#This Row],[Column23]],Table17[[#This Row],[Column23]]*Table17[[#This Row],[Column2222]])</f>
        <v>50</v>
      </c>
      <c r="Y121" s="3" t="str">
        <f>Table17[[#This Row],[Column24]]</f>
        <v>LSN</v>
      </c>
      <c r="Z121" s="5">
        <f>Table17[[#This Row],[HRG / CTN]]/Table17[[#This Row],[Column23]]</f>
        <v>55000</v>
      </c>
      <c r="AA121" s="42" t="str">
        <f>IF(INDEX(NOTA[DISC 1],Sheet1!A:A)=0,"",INDEX(NOTA[DISC 1],Sheet1!A:A))</f>
        <v/>
      </c>
      <c r="AB121" s="42" t="str">
        <f>IF(INDEX(NOTA[DISC 2],Sheet1!A:A)=0,"",INDEX(NOTA[DISC 2],Sheet1!A:A))</f>
        <v/>
      </c>
      <c r="AC12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1" s="43">
        <f>INDEX(NOTA[HARGA/ CTN_H],Sheet1!A:A)</f>
        <v>1375000</v>
      </c>
      <c r="AE121" s="43">
        <f>IF(Table17[[#This Row],[DISC 3]]="",Table17[[#This Row],[HRG / CTN]],Table17[[#This Row],[HRG / CTN]]-(Table17[[#This Row],[HRG / CTN]]*Table17[[#This Row],[DISC 3]]))</f>
        <v>1375000</v>
      </c>
      <c r="AF121" s="14">
        <f>IF(Table17[[#This Row],[Column2222]]&lt;1,Table17[[#This Row],[Column9]],Table17[[#This Row],[Column9]]*Table17[[#This Row],[Column2222]])</f>
        <v>2750000</v>
      </c>
      <c r="AG121" s="43" t="str">
        <f ca="1">IF(NOT(AL122=Table17[[#This Row],[Column6]]),SUMIF(Table17[Column6],Table17[[#This Row],[Column6]],Table17[Column7]),"")</f>
        <v/>
      </c>
      <c r="AH121" s="44">
        <f ca="1">INDEX(NOTA[TGL_H],Sheet1!A:A)</f>
        <v>45457</v>
      </c>
      <c r="AI121" s="44">
        <f ca="1">INDEX(NOTA[TGL.NOTA_H],Sheet1!A:A)</f>
        <v>45457</v>
      </c>
      <c r="AK121" t="str">
        <f>IF(INDEX(NOTA[KETERANGAN],A:A)="","",INDEX(NOTA[KETERANGAN],A:A))</f>
        <v/>
      </c>
      <c r="AL121" t="str">
        <f ca="1">INDEX(NOTA[NO.NOTA_H],Sheet1!A:A)</f>
        <v>I13.24</v>
      </c>
      <c r="AM121">
        <f>INDEX(NOTA[KETERANGAN],Sheet1!A:A)</f>
        <v>0</v>
      </c>
      <c r="AN121" t="str">
        <f ca="1">INDEX(NOTA[SUPPLIER_H],Sheet1!A:A)</f>
        <v>ETJ</v>
      </c>
      <c r="AO121" t="e">
        <f t="shared" ca="1" si="5"/>
        <v>#N/A</v>
      </c>
      <c r="AR121" s="45" t="s">
        <v>192</v>
      </c>
    </row>
    <row r="122" spans="1:44">
      <c r="A122" s="3">
        <v>153</v>
      </c>
      <c r="C122">
        <f>INDEX(NOTA[//DB],Sheet1!A:A)</f>
        <v>3453</v>
      </c>
      <c r="D122" t="e">
        <f>MATCH(Table17[[#This Row],[//db]],[3]!Table2[\\],0)</f>
        <v>#N/A</v>
      </c>
      <c r="E122" t="str">
        <f>INDEX([3]!db[NB NOTA],Table17[[#This Row],[//db]])</f>
        <v>ENTER GB 50 CM TBL</v>
      </c>
      <c r="F122" t="str">
        <f>INDEX([3]!db[NB BM],Table17[[#This Row],[//db]])</f>
        <v>GARISAN BESI 50CM ENTER TEBAL</v>
      </c>
      <c r="G122" t="str">
        <f>_xlfn.IFNA(INDEX([3]!Table2[NAMA],Table17[[#This Row],[dbconcat]]),"")</f>
        <v/>
      </c>
      <c r="H122" t="e">
        <f>INDEX([3]!Table2[KODE BARANG],Table17[[#This Row],[dbconcat]])</f>
        <v>#N/A</v>
      </c>
      <c r="I122" t="str">
        <f>IF(Table17[[#This Row],[Column3]]="",UPPER(Table17[[#This Row],[Column1]]),Table17[[#This Row],[Column3]])</f>
        <v>GARISAN BESI 50CM ENTER TEBAL</v>
      </c>
      <c r="J122">
        <f>INDEX(NOTA[C],Sheet1!A:A)</f>
        <v>2</v>
      </c>
      <c r="K122" t="str">
        <f>IF(OR(Table17[[#This Row],[Column5]]=0,Table17[[#This Row],[Column3]]=""),"",INDEX([3]!Table2[ISI2],Table17[[#This Row],[dbconcat]]))</f>
        <v/>
      </c>
      <c r="L122" t="str">
        <f>IF(Table17[[#This Row],[isis]]="","",INDEX([3]!Table2[SATUAN3],Table17[[#This Row],[dbconcat]]))</f>
        <v/>
      </c>
      <c r="M122" t="str">
        <f>IF(Table17[[#This Row],[Column5]]=0,"",IF(Table17[[#This Row],[Column3]]="",INDEX([3]!db[QTY B],Table17[[#This Row],[//db]]),""))</f>
        <v>25</v>
      </c>
      <c r="N122" t="str">
        <f>IF(Table17[[#This Row],[isin]]="","",INDEX([3]!db[STN B],Table17[[#This Row],[//db]]))</f>
        <v>LSN</v>
      </c>
      <c r="O122" t="str">
        <f>IF(AND(Table17[[#This Row],[isis]]="",Table17[[#This Row],[isin]]=""),INDEX(NOTA[QTY],Sheet1!A:A)/IF(Table17[[#This Row],[Column5]]=0,1,Table17[[#This Row],[Column5]]),"")</f>
        <v/>
      </c>
      <c r="P122" t="str">
        <f>IF(Table17[[#This Row],[Column2]]="","",INDEX(NOTA[STN],Sheet1!A:A))</f>
        <v/>
      </c>
      <c r="Q122" s="5" t="str">
        <f>INDEX([3]!db[QTY B],Table17[[#This Row],[//db]])</f>
        <v>25</v>
      </c>
      <c r="R122" t="str">
        <f>INDEX([3]!db[STN B],Table17[[#This Row],[//db]])</f>
        <v>LSN</v>
      </c>
      <c r="S122" s="40" t="str">
        <f>IF(Table17[[#This Row],[Column5]]=0,Table17[[#This Row],[Column23]]/Table17[[#This Row],[Column224]],"")</f>
        <v/>
      </c>
      <c r="T122" s="4">
        <f>IF(Table17[[#This Row],[Column222]]="",Table17[[#This Row],[Column5]],Table17[[#This Row],[Column222]])</f>
        <v>2</v>
      </c>
      <c r="U122" s="4" t="str">
        <f>IF(Table17[[#This Row],[Column223]]=Table17[[#This Row],[Column24]],"",1)</f>
        <v/>
      </c>
      <c r="V122" s="5" t="str">
        <f>IF(Table17[[#This Row],[isis]]="",IF(Table17[[#This Row],[isin]]="",Table17[[#This Row],[Column2]],Table17[[#This Row],[isin]]),Table17[[#This Row],[isis]])</f>
        <v>25</v>
      </c>
      <c r="W122" s="3" t="str">
        <f>IF(Table17[[#This Row],[isis]]="",IF(Table17[[#This Row],[isin]]="",Table17[[#This Row],[Column22]],Table17[[#This Row],[stnn]]),Table17[[#This Row],[stns]])</f>
        <v>LSN</v>
      </c>
      <c r="X122" s="5">
        <f>IF(Table17[[#This Row],[Column2222]]&lt;1,Table17[[#This Row],[Column23]],Table17[[#This Row],[Column23]]*Table17[[#This Row],[Column2222]])</f>
        <v>50</v>
      </c>
      <c r="Y122" s="3" t="str">
        <f>Table17[[#This Row],[Column24]]</f>
        <v>LSN</v>
      </c>
      <c r="Z122" s="5">
        <f>Table17[[#This Row],[HRG / CTN]]/Table17[[#This Row],[Column23]]</f>
        <v>65000</v>
      </c>
      <c r="AA122" s="42" t="str">
        <f>IF(INDEX(NOTA[DISC 1],Sheet1!A:A)=0,"",INDEX(NOTA[DISC 1],Sheet1!A:A))</f>
        <v/>
      </c>
      <c r="AB122" s="42" t="str">
        <f>IF(INDEX(NOTA[DISC 2],Sheet1!A:A)=0,"",INDEX(NOTA[DISC 2],Sheet1!A:A))</f>
        <v/>
      </c>
      <c r="AC12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2" s="43">
        <f>INDEX(NOTA[HARGA/ CTN_H],Sheet1!A:A)</f>
        <v>1625000</v>
      </c>
      <c r="AE122" s="43">
        <f>IF(Table17[[#This Row],[DISC 3]]="",Table17[[#This Row],[HRG / CTN]],Table17[[#This Row],[HRG / CTN]]-(Table17[[#This Row],[HRG / CTN]]*Table17[[#This Row],[DISC 3]]))</f>
        <v>1625000</v>
      </c>
      <c r="AF122" s="14">
        <f>IF(Table17[[#This Row],[Column2222]]&lt;1,Table17[[#This Row],[Column9]],Table17[[#This Row],[Column9]]*Table17[[#This Row],[Column2222]])</f>
        <v>3250000</v>
      </c>
      <c r="AG122" s="43" t="str">
        <f ca="1">IF(NOT(AL123=Table17[[#This Row],[Column6]]),SUMIF(Table17[Column6],Table17[[#This Row],[Column6]],Table17[Column7]),"")</f>
        <v/>
      </c>
      <c r="AH122" s="44">
        <f ca="1">INDEX(NOTA[TGL_H],Sheet1!A:A)</f>
        <v>45457</v>
      </c>
      <c r="AI122" s="44">
        <f ca="1">INDEX(NOTA[TGL.NOTA_H],Sheet1!A:A)</f>
        <v>45457</v>
      </c>
      <c r="AK122" t="str">
        <f>IF(INDEX(NOTA[KETERANGAN],A:A)="","",INDEX(NOTA[KETERANGAN],A:A))</f>
        <v/>
      </c>
      <c r="AL122" t="str">
        <f ca="1">INDEX(NOTA[NO.NOTA_H],Sheet1!A:A)</f>
        <v>I13.24</v>
      </c>
      <c r="AM122">
        <f>INDEX(NOTA[KETERANGAN],Sheet1!A:A)</f>
        <v>0</v>
      </c>
      <c r="AN122" t="str">
        <f ca="1">INDEX(NOTA[SUPPLIER_H],Sheet1!A:A)</f>
        <v>ETJ</v>
      </c>
      <c r="AO122" t="e">
        <f t="shared" ca="1" si="5"/>
        <v>#N/A</v>
      </c>
      <c r="AR122" s="45" t="s">
        <v>192</v>
      </c>
    </row>
    <row r="123" spans="1:44">
      <c r="A123" s="3">
        <v>154</v>
      </c>
      <c r="C123">
        <f>INDEX(NOTA[//DB],Sheet1!A:A)</f>
        <v>3454</v>
      </c>
      <c r="D123" t="e">
        <f>MATCH(Table17[[#This Row],[//db]],[3]!Table2[\\],0)</f>
        <v>#N/A</v>
      </c>
      <c r="E123" t="str">
        <f>INDEX([3]!db[NB NOTA],Table17[[#This Row],[//db]])</f>
        <v>ENTER GB 60 CM TBL</v>
      </c>
      <c r="F123" t="str">
        <f>INDEX([3]!db[NB BM],Table17[[#This Row],[//db]])</f>
        <v>GARISAN BESI 60CM ENTER TEBAL</v>
      </c>
      <c r="G123" t="str">
        <f>_xlfn.IFNA(INDEX([3]!Table2[NAMA],Table17[[#This Row],[dbconcat]]),"")</f>
        <v/>
      </c>
      <c r="H123" t="e">
        <f>INDEX([3]!Table2[KODE BARANG],Table17[[#This Row],[dbconcat]])</f>
        <v>#N/A</v>
      </c>
      <c r="I123" t="str">
        <f>IF(Table17[[#This Row],[Column3]]="",UPPER(Table17[[#This Row],[Column1]]),Table17[[#This Row],[Column3]])</f>
        <v>GARISAN BESI 60CM ENTER TEBAL</v>
      </c>
      <c r="J123">
        <f>INDEX(NOTA[C],Sheet1!A:A)</f>
        <v>1</v>
      </c>
      <c r="K123" t="str">
        <f>IF(OR(Table17[[#This Row],[Column5]]=0,Table17[[#This Row],[Column3]]=""),"",INDEX([3]!Table2[ISI2],Table17[[#This Row],[dbconcat]]))</f>
        <v/>
      </c>
      <c r="L123" t="str">
        <f>IF(Table17[[#This Row],[isis]]="","",INDEX([3]!Table2[SATUAN3],Table17[[#This Row],[dbconcat]]))</f>
        <v/>
      </c>
      <c r="M123" t="str">
        <f>IF(Table17[[#This Row],[Column5]]=0,"",IF(Table17[[#This Row],[Column3]]="",INDEX([3]!db[QTY B],Table17[[#This Row],[//db]]),""))</f>
        <v>25</v>
      </c>
      <c r="N123" t="str">
        <f>IF(Table17[[#This Row],[isin]]="","",INDEX([3]!db[STN B],Table17[[#This Row],[//db]]))</f>
        <v>LSN</v>
      </c>
      <c r="O123" t="str">
        <f>IF(AND(Table17[[#This Row],[isis]]="",Table17[[#This Row],[isin]]=""),INDEX(NOTA[QTY],Sheet1!A:A)/IF(Table17[[#This Row],[Column5]]=0,1,Table17[[#This Row],[Column5]]),"")</f>
        <v/>
      </c>
      <c r="P123" t="str">
        <f>IF(Table17[[#This Row],[Column2]]="","",INDEX(NOTA[STN],Sheet1!A:A))</f>
        <v/>
      </c>
      <c r="Q123" s="5" t="str">
        <f>INDEX([3]!db[QTY B],Table17[[#This Row],[//db]])</f>
        <v>25</v>
      </c>
      <c r="R123" t="str">
        <f>INDEX([3]!db[STN B],Table17[[#This Row],[//db]])</f>
        <v>LSN</v>
      </c>
      <c r="S123" s="40" t="str">
        <f>IF(Table17[[#This Row],[Column5]]=0,Table17[[#This Row],[Column23]]/Table17[[#This Row],[Column224]],"")</f>
        <v/>
      </c>
      <c r="T123" s="4">
        <f>IF(Table17[[#This Row],[Column222]]="",Table17[[#This Row],[Column5]],Table17[[#This Row],[Column222]])</f>
        <v>1</v>
      </c>
      <c r="U123" s="4" t="str">
        <f>IF(Table17[[#This Row],[Column223]]=Table17[[#This Row],[Column24]],"",1)</f>
        <v/>
      </c>
      <c r="V123" s="5" t="str">
        <f>IF(Table17[[#This Row],[isis]]="",IF(Table17[[#This Row],[isin]]="",Table17[[#This Row],[Column2]],Table17[[#This Row],[isin]]),Table17[[#This Row],[isis]])</f>
        <v>25</v>
      </c>
      <c r="W123" s="3" t="str">
        <f>IF(Table17[[#This Row],[isis]]="",IF(Table17[[#This Row],[isin]]="",Table17[[#This Row],[Column22]],Table17[[#This Row],[stnn]]),Table17[[#This Row],[stns]])</f>
        <v>LSN</v>
      </c>
      <c r="X123" s="5">
        <f>IF(Table17[[#This Row],[Column2222]]&lt;1,Table17[[#This Row],[Column23]],Table17[[#This Row],[Column23]]*Table17[[#This Row],[Column2222]])</f>
        <v>25</v>
      </c>
      <c r="Y123" s="3" t="str">
        <f>Table17[[#This Row],[Column24]]</f>
        <v>LSN</v>
      </c>
      <c r="Z123" s="5">
        <f>Table17[[#This Row],[HRG / CTN]]/Table17[[#This Row],[Column23]]</f>
        <v>75000</v>
      </c>
      <c r="AA123" s="42" t="str">
        <f>IF(INDEX(NOTA[DISC 1],Sheet1!A:A)=0,"",INDEX(NOTA[DISC 1],Sheet1!A:A))</f>
        <v/>
      </c>
      <c r="AB123" s="42" t="str">
        <f>IF(INDEX(NOTA[DISC 2],Sheet1!A:A)=0,"",INDEX(NOTA[DISC 2],Sheet1!A:A))</f>
        <v/>
      </c>
      <c r="AC12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3" s="43">
        <f>INDEX(NOTA[HARGA/ CTN_H],Sheet1!A:A)</f>
        <v>1875000</v>
      </c>
      <c r="AE123" s="43">
        <f>IF(Table17[[#This Row],[DISC 3]]="",Table17[[#This Row],[HRG / CTN]],Table17[[#This Row],[HRG / CTN]]-(Table17[[#This Row],[HRG / CTN]]*Table17[[#This Row],[DISC 3]]))</f>
        <v>1875000</v>
      </c>
      <c r="AF123" s="14">
        <f>IF(Table17[[#This Row],[Column2222]]&lt;1,Table17[[#This Row],[Column9]],Table17[[#This Row],[Column9]]*Table17[[#This Row],[Column2222]])</f>
        <v>1875000</v>
      </c>
      <c r="AG123" s="43" t="str">
        <f ca="1">IF(NOT(AL124=Table17[[#This Row],[Column6]]),SUMIF(Table17[Column6],Table17[[#This Row],[Column6]],Table17[Column7]),"")</f>
        <v/>
      </c>
      <c r="AH123" s="44">
        <f ca="1">INDEX(NOTA[TGL_H],Sheet1!A:A)</f>
        <v>45457</v>
      </c>
      <c r="AI123" s="44">
        <f ca="1">INDEX(NOTA[TGL.NOTA_H],Sheet1!A:A)</f>
        <v>45457</v>
      </c>
      <c r="AK123" t="str">
        <f>IF(INDEX(NOTA[KETERANGAN],A:A)="","",INDEX(NOTA[KETERANGAN],A:A))</f>
        <v/>
      </c>
      <c r="AL123" t="str">
        <f ca="1">INDEX(NOTA[NO.NOTA_H],Sheet1!A:A)</f>
        <v>I13.24</v>
      </c>
      <c r="AM123">
        <f>INDEX(NOTA[KETERANGAN],Sheet1!A:A)</f>
        <v>0</v>
      </c>
      <c r="AN123" t="str">
        <f ca="1">INDEX(NOTA[SUPPLIER_H],Sheet1!A:A)</f>
        <v>ETJ</v>
      </c>
      <c r="AO123" t="e">
        <f t="shared" ca="1" si="5"/>
        <v>#N/A</v>
      </c>
      <c r="AR123" s="45" t="s">
        <v>192</v>
      </c>
    </row>
    <row r="124" spans="1:44">
      <c r="A124" s="3">
        <v>155</v>
      </c>
      <c r="C124">
        <f>INDEX(NOTA[//DB],Sheet1!A:A)</f>
        <v>3455</v>
      </c>
      <c r="D124">
        <f>MATCH(Table17[[#This Row],[//db]],[3]!Table2[\\],0)</f>
        <v>956</v>
      </c>
      <c r="E124" t="str">
        <f>INDEX([3]!db[NB NOTA],Table17[[#This Row],[//db]])</f>
        <v>ENTER DISP BESI 505</v>
      </c>
      <c r="F124" t="str">
        <f>INDEX([3]!db[NB BM],Table17[[#This Row],[//db]])</f>
        <v>DISPENSER BESI ENTER 505</v>
      </c>
      <c r="G124" t="str">
        <f>_xlfn.IFNA(INDEX([3]!Table2[NAMA],Table17[[#This Row],[dbconcat]]),"")</f>
        <v>DISPENSER BESI ENTER 505</v>
      </c>
      <c r="H124" t="str">
        <f>INDEX([3]!Table2[KODE BARANG],Table17[[#This Row],[dbconcat]])</f>
        <v>DIS-EN11</v>
      </c>
      <c r="I124" t="str">
        <f>IF(Table17[[#This Row],[Column3]]="",UPPER(Table17[[#This Row],[Column1]]),Table17[[#This Row],[Column3]])</f>
        <v>DISPENSER BESI ENTER 505</v>
      </c>
      <c r="J124">
        <f>INDEX(NOTA[C],Sheet1!A:A)</f>
        <v>1</v>
      </c>
      <c r="K124">
        <f>IF(OR(Table17[[#This Row],[Column5]]=0,Table17[[#This Row],[Column3]]=""),"",INDEX([3]!Table2[ISI2],Table17[[#This Row],[dbconcat]]))</f>
        <v>100</v>
      </c>
      <c r="L124" t="str">
        <f>IF(Table17[[#This Row],[isis]]="","",INDEX([3]!Table2[SATUAN3],Table17[[#This Row],[dbconcat]]))</f>
        <v>PCS</v>
      </c>
      <c r="M124" t="str">
        <f>IF(Table17[[#This Row],[Column5]]=0,"",IF(Table17[[#This Row],[Column3]]="",INDEX([3]!db[QTY B],Table17[[#This Row],[//db]]),""))</f>
        <v/>
      </c>
      <c r="N124" t="str">
        <f>IF(Table17[[#This Row],[isin]]="","",INDEX([3]!db[STN B],Table17[[#This Row],[//db]]))</f>
        <v/>
      </c>
      <c r="O124" t="str">
        <f>IF(AND(Table17[[#This Row],[isis]]="",Table17[[#This Row],[isin]]=""),INDEX(NOTA[QTY],Sheet1!A:A)/IF(Table17[[#This Row],[Column5]]=0,1,Table17[[#This Row],[Column5]]),"")</f>
        <v/>
      </c>
      <c r="P124" t="str">
        <f>IF(Table17[[#This Row],[Column2]]="","",INDEX(NOTA[STN],Sheet1!A:A))</f>
        <v/>
      </c>
      <c r="Q124" s="5" t="str">
        <f>INDEX([3]!db[QTY B],Table17[[#This Row],[//db]])</f>
        <v>100</v>
      </c>
      <c r="R124" t="str">
        <f>INDEX([3]!db[STN B],Table17[[#This Row],[//db]])</f>
        <v>PCS</v>
      </c>
      <c r="S124" s="40" t="str">
        <f>IF(Table17[[#This Row],[Column5]]=0,Table17[[#This Row],[Column23]]/Table17[[#This Row],[Column224]],"")</f>
        <v/>
      </c>
      <c r="T124" s="4">
        <f>IF(Table17[[#This Row],[Column222]]="",Table17[[#This Row],[Column5]],Table17[[#This Row],[Column222]])</f>
        <v>1</v>
      </c>
      <c r="U124" s="4" t="str">
        <f>IF(Table17[[#This Row],[Column223]]=Table17[[#This Row],[Column24]],"",1)</f>
        <v/>
      </c>
      <c r="V124" s="5">
        <f>IF(Table17[[#This Row],[isis]]="",IF(Table17[[#This Row],[isin]]="",Table17[[#This Row],[Column2]],Table17[[#This Row],[isin]]),Table17[[#This Row],[isis]])</f>
        <v>100</v>
      </c>
      <c r="W124" s="3" t="str">
        <f>IF(Table17[[#This Row],[isis]]="",IF(Table17[[#This Row],[isin]]="",Table17[[#This Row],[Column22]],Table17[[#This Row],[stnn]]),Table17[[#This Row],[stns]])</f>
        <v>PCS</v>
      </c>
      <c r="X124" s="5">
        <f>IF(Table17[[#This Row],[Column2222]]&lt;1,Table17[[#This Row],[Column23]],Table17[[#This Row],[Column23]]*Table17[[#This Row],[Column2222]])</f>
        <v>100</v>
      </c>
      <c r="Y124" s="3" t="str">
        <f>Table17[[#This Row],[Column24]]</f>
        <v>PCS</v>
      </c>
      <c r="Z124" s="5">
        <f>Table17[[#This Row],[HRG / CTN]]/Table17[[#This Row],[Column23]]</f>
        <v>11500</v>
      </c>
      <c r="AA124" s="42" t="str">
        <f>IF(INDEX(NOTA[DISC 1],Sheet1!A:A)=0,"",INDEX(NOTA[DISC 1],Sheet1!A:A))</f>
        <v/>
      </c>
      <c r="AB124" s="42" t="str">
        <f>IF(INDEX(NOTA[DISC 2],Sheet1!A:A)=0,"",INDEX(NOTA[DISC 2],Sheet1!A:A))</f>
        <v/>
      </c>
      <c r="AC12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4" s="43">
        <f>INDEX(NOTA[HARGA/ CTN_H],Sheet1!A:A)</f>
        <v>1150000</v>
      </c>
      <c r="AE124" s="43">
        <f>IF(Table17[[#This Row],[DISC 3]]="",Table17[[#This Row],[HRG / CTN]],Table17[[#This Row],[HRG / CTN]]-(Table17[[#This Row],[HRG / CTN]]*Table17[[#This Row],[DISC 3]]))</f>
        <v>1150000</v>
      </c>
      <c r="AF124" s="14">
        <f>IF(Table17[[#This Row],[Column2222]]&lt;1,Table17[[#This Row],[Column9]],Table17[[#This Row],[Column9]]*Table17[[#This Row],[Column2222]])</f>
        <v>1150000</v>
      </c>
      <c r="AG124" s="43" t="str">
        <f ca="1">IF(NOT(AL125=Table17[[#This Row],[Column6]]),SUMIF(Table17[Column6],Table17[[#This Row],[Column6]],Table17[Column7]),"")</f>
        <v/>
      </c>
      <c r="AH124" s="44">
        <f ca="1">INDEX(NOTA[TGL_H],Sheet1!A:A)</f>
        <v>45457</v>
      </c>
      <c r="AI124" s="44">
        <f ca="1">INDEX(NOTA[TGL.NOTA_H],Sheet1!A:A)</f>
        <v>45457</v>
      </c>
      <c r="AK124" t="str">
        <f>IF(INDEX(NOTA[KETERANGAN],A:A)="","",INDEX(NOTA[KETERANGAN],A:A))</f>
        <v/>
      </c>
      <c r="AL124" t="str">
        <f ca="1">INDEX(NOTA[NO.NOTA_H],Sheet1!A:A)</f>
        <v>I13.24</v>
      </c>
      <c r="AM124">
        <f>INDEX(NOTA[KETERANGAN],Sheet1!A:A)</f>
        <v>0</v>
      </c>
      <c r="AN124" t="str">
        <f ca="1">INDEX(NOTA[SUPPLIER_H],Sheet1!A:A)</f>
        <v>ETJ</v>
      </c>
      <c r="AO124" t="e">
        <f t="shared" ca="1" si="5"/>
        <v>#N/A</v>
      </c>
      <c r="AR124" s="45" t="s">
        <v>192</v>
      </c>
    </row>
    <row r="125" spans="1:44">
      <c r="A125" s="3">
        <v>156</v>
      </c>
      <c r="C125">
        <f>INDEX(NOTA[//DB],Sheet1!A:A)</f>
        <v>939</v>
      </c>
      <c r="D125">
        <f>MATCH(Table17[[#This Row],[//db]],[3]!Table2[\\],0)</f>
        <v>816</v>
      </c>
      <c r="E125" t="str">
        <f>INDEX([3]!db[NB NOTA],Table17[[#This Row],[//db]])</f>
        <v>ENTER BK TABUNGAN</v>
      </c>
      <c r="F125" t="str">
        <f>INDEX([3]!db[NB BM],Table17[[#This Row],[//db]])</f>
        <v>BK TABUNGAN ENTER</v>
      </c>
      <c r="G125" t="str">
        <f>_xlfn.IFNA(INDEX([3]!Table2[NAMA],Table17[[#This Row],[dbconcat]]),"")</f>
        <v>BK TABUNGAN ENTER</v>
      </c>
      <c r="H125" t="str">
        <f>INDEX([3]!Table2[KODE BARANG],Table17[[#This Row],[dbconcat]])</f>
        <v>BUK-EN19</v>
      </c>
      <c r="I125" t="str">
        <f>IF(Table17[[#This Row],[Column3]]="",UPPER(Table17[[#This Row],[Column1]]),Table17[[#This Row],[Column3]])</f>
        <v>BK TABUNGAN ENTER</v>
      </c>
      <c r="J125">
        <f>INDEX(NOTA[C],Sheet1!A:A)</f>
        <v>2</v>
      </c>
      <c r="K125">
        <f>IF(OR(Table17[[#This Row],[Column5]]=0,Table17[[#This Row],[Column3]]=""),"",INDEX([3]!Table2[ISI2],Table17[[#This Row],[dbconcat]]))</f>
        <v>3600</v>
      </c>
      <c r="L125" t="str">
        <f>IF(Table17[[#This Row],[isis]]="","",INDEX([3]!Table2[SATUAN3],Table17[[#This Row],[dbconcat]]))</f>
        <v>PCS</v>
      </c>
      <c r="M125" t="str">
        <f>IF(Table17[[#This Row],[Column5]]=0,"",IF(Table17[[#This Row],[Column3]]="",INDEX([3]!db[QTY B],Table17[[#This Row],[//db]]),""))</f>
        <v/>
      </c>
      <c r="N125" t="str">
        <f>IF(Table17[[#This Row],[isin]]="","",INDEX([3]!db[STN B],Table17[[#This Row],[//db]]))</f>
        <v/>
      </c>
      <c r="O125" t="str">
        <f>IF(AND(Table17[[#This Row],[isis]]="",Table17[[#This Row],[isin]]=""),INDEX(NOTA[QTY],Sheet1!A:A)/IF(Table17[[#This Row],[Column5]]=0,1,Table17[[#This Row],[Column5]]),"")</f>
        <v/>
      </c>
      <c r="P125" t="str">
        <f>IF(Table17[[#This Row],[Column2]]="","",INDEX(NOTA[STN],Sheet1!A:A))</f>
        <v/>
      </c>
      <c r="Q125" s="5" t="str">
        <f>INDEX([3]!db[QTY B],Table17[[#This Row],[//db]])</f>
        <v>3600</v>
      </c>
      <c r="R125" t="str">
        <f>INDEX([3]!db[STN B],Table17[[#This Row],[//db]])</f>
        <v>PCS</v>
      </c>
      <c r="S125" s="40" t="str">
        <f>IF(Table17[[#This Row],[Column5]]=0,Table17[[#This Row],[Column23]]/Table17[[#This Row],[Column224]],"")</f>
        <v/>
      </c>
      <c r="T125" s="4">
        <f>IF(Table17[[#This Row],[Column222]]="",Table17[[#This Row],[Column5]],Table17[[#This Row],[Column222]])</f>
        <v>2</v>
      </c>
      <c r="U125" s="4" t="str">
        <f>IF(Table17[[#This Row],[Column223]]=Table17[[#This Row],[Column24]],"",1)</f>
        <v/>
      </c>
      <c r="V125" s="5">
        <f>IF(Table17[[#This Row],[isis]]="",IF(Table17[[#This Row],[isin]]="",Table17[[#This Row],[Column2]],Table17[[#This Row],[isin]]),Table17[[#This Row],[isis]])</f>
        <v>3600</v>
      </c>
      <c r="W125" s="3" t="str">
        <f>IF(Table17[[#This Row],[isis]]="",IF(Table17[[#This Row],[isin]]="",Table17[[#This Row],[Column22]],Table17[[#This Row],[stnn]]),Table17[[#This Row],[stns]])</f>
        <v>PCS</v>
      </c>
      <c r="X125" s="5">
        <f>IF(Table17[[#This Row],[Column2222]]&lt;1,Table17[[#This Row],[Column23]],Table17[[#This Row],[Column23]]*Table17[[#This Row],[Column2222]])</f>
        <v>7200</v>
      </c>
      <c r="Y125" s="3" t="str">
        <f>Table17[[#This Row],[Column24]]</f>
        <v>PCS</v>
      </c>
      <c r="Z125" s="5">
        <f>Table17[[#This Row],[HRG / CTN]]/Table17[[#This Row],[Column23]]</f>
        <v>541.66666666666663</v>
      </c>
      <c r="AA125" s="42" t="str">
        <f>IF(INDEX(NOTA[DISC 1],Sheet1!A:A)=0,"",INDEX(NOTA[DISC 1],Sheet1!A:A))</f>
        <v/>
      </c>
      <c r="AB125" s="42" t="str">
        <f>IF(INDEX(NOTA[DISC 2],Sheet1!A:A)=0,"",INDEX(NOTA[DISC 2],Sheet1!A:A))</f>
        <v/>
      </c>
      <c r="AC12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5" s="43">
        <f>INDEX(NOTA[HARGA/ CTN_H],Sheet1!A:A)</f>
        <v>1950000</v>
      </c>
      <c r="AE125" s="43">
        <f>IF(Table17[[#This Row],[DISC 3]]="",Table17[[#This Row],[HRG / CTN]],Table17[[#This Row],[HRG / CTN]]-(Table17[[#This Row],[HRG / CTN]]*Table17[[#This Row],[DISC 3]]))</f>
        <v>1950000</v>
      </c>
      <c r="AF125" s="14">
        <f>IF(Table17[[#This Row],[Column2222]]&lt;1,Table17[[#This Row],[Column9]],Table17[[#This Row],[Column9]]*Table17[[#This Row],[Column2222]])</f>
        <v>3900000</v>
      </c>
      <c r="AG125" s="43">
        <f ca="1">IF(NOT(AL126=Table17[[#This Row],[Column6]]),SUMIF(Table17[Column6],Table17[[#This Row],[Column6]],Table17[Column7]),"")</f>
        <v>64295000</v>
      </c>
      <c r="AH125" s="44">
        <f ca="1">INDEX(NOTA[TGL_H],Sheet1!A:A)</f>
        <v>45457</v>
      </c>
      <c r="AI125" s="44">
        <f ca="1">INDEX(NOTA[TGL.NOTA_H],Sheet1!A:A)</f>
        <v>45457</v>
      </c>
      <c r="AK125" t="str">
        <f>IF(INDEX(NOTA[KETERANGAN],A:A)="","",INDEX(NOTA[KETERANGAN],A:A))</f>
        <v/>
      </c>
      <c r="AL125" t="str">
        <f ca="1">INDEX(NOTA[NO.NOTA_H],Sheet1!A:A)</f>
        <v>I13.24</v>
      </c>
      <c r="AM125">
        <f>INDEX(NOTA[KETERANGAN],Sheet1!A:A)</f>
        <v>0</v>
      </c>
      <c r="AN125" t="str">
        <f ca="1">INDEX(NOTA[SUPPLIER_H],Sheet1!A:A)</f>
        <v>ETJ</v>
      </c>
      <c r="AO125" t="e">
        <f t="shared" ca="1" si="5"/>
        <v>#N/A</v>
      </c>
      <c r="AR125" s="45" t="s">
        <v>192</v>
      </c>
    </row>
    <row r="126" spans="1:44">
      <c r="A126" s="3">
        <v>158</v>
      </c>
      <c r="C126">
        <f>INDEX(NOTA[//DB],Sheet1!A:A)</f>
        <v>2319</v>
      </c>
      <c r="D126">
        <f>MATCH(Table17[[#This Row],[//db]],[3]!Table2[\\],0)</f>
        <v>2676</v>
      </c>
      <c r="E126" t="str">
        <f>INDEX([3]!db[NB NOTA],Table17[[#This Row],[//db]])</f>
        <v>P WARNA KAYAGI 24W KY-CP0724</v>
      </c>
      <c r="F126" t="str">
        <f>INDEX([3]!db[NB BM],Table17[[#This Row],[//db]])</f>
        <v>PW 24W Kayagi KY-CP 0724</v>
      </c>
      <c r="G126" t="str">
        <f>_xlfn.IFNA(INDEX([3]!Table2[NAMA],Table17[[#This Row],[dbconcat]]),"")</f>
        <v>PW 24W KAYAGI KY-CP 0724</v>
      </c>
      <c r="H126" t="str">
        <f>INDEX([3]!Table2[KODE BARANG],Table17[[#This Row],[dbconcat]])</f>
        <v>PWA-KY8</v>
      </c>
      <c r="I126" t="str">
        <f>IF(Table17[[#This Row],[Column3]]="",UPPER(Table17[[#This Row],[Column1]]),Table17[[#This Row],[Column3]])</f>
        <v>PW 24W KAYAGI KY-CP 0724</v>
      </c>
      <c r="J126">
        <f>INDEX(NOTA[C],Sheet1!A:A)</f>
        <v>1</v>
      </c>
      <c r="K126">
        <f>IF(OR(Table17[[#This Row],[Column5]]=0,Table17[[#This Row],[Column3]]=""),"",INDEX([3]!Table2[ISI2],Table17[[#This Row],[dbconcat]]))</f>
        <v>144</v>
      </c>
      <c r="L126" t="str">
        <f>IF(Table17[[#This Row],[isis]]="","",INDEX([3]!Table2[SATUAN3],Table17[[#This Row],[dbconcat]]))</f>
        <v>PCS</v>
      </c>
      <c r="M126" t="str">
        <f>IF(Table17[[#This Row],[Column5]]=0,"",IF(Table17[[#This Row],[Column3]]="",INDEX([3]!db[QTY B],Table17[[#This Row],[//db]]),""))</f>
        <v/>
      </c>
      <c r="N126" t="str">
        <f>IF(Table17[[#This Row],[isin]]="","",INDEX([3]!db[STN B],Table17[[#This Row],[//db]]))</f>
        <v/>
      </c>
      <c r="O126" t="str">
        <f>IF(AND(Table17[[#This Row],[isis]]="",Table17[[#This Row],[isin]]=""),INDEX(NOTA[QTY],Sheet1!A:A)/IF(Table17[[#This Row],[Column5]]=0,1,Table17[[#This Row],[Column5]]),"")</f>
        <v/>
      </c>
      <c r="P126" t="str">
        <f>IF(Table17[[#This Row],[Column2]]="","",INDEX(NOTA[STN],Sheet1!A:A))</f>
        <v/>
      </c>
      <c r="Q126" s="5" t="str">
        <f>INDEX([3]!db[QTY B],Table17[[#This Row],[//db]])</f>
        <v>144</v>
      </c>
      <c r="R126" t="str">
        <f>INDEX([3]!db[STN B],Table17[[#This Row],[//db]])</f>
        <v>SET</v>
      </c>
      <c r="S126" s="40" t="str">
        <f>IF(Table17[[#This Row],[Column5]]=0,Table17[[#This Row],[Column23]]/Table17[[#This Row],[Column224]],"")</f>
        <v/>
      </c>
      <c r="T126" s="4">
        <f>IF(Table17[[#This Row],[Column222]]="",Table17[[#This Row],[Column5]],Table17[[#This Row],[Column222]])</f>
        <v>1</v>
      </c>
      <c r="U126" s="4">
        <f>IF(Table17[[#This Row],[Column223]]=Table17[[#This Row],[Column24]],"",1)</f>
        <v>1</v>
      </c>
      <c r="V126" s="5">
        <f>IF(Table17[[#This Row],[isis]]="",IF(Table17[[#This Row],[isin]]="",Table17[[#This Row],[Column2]],Table17[[#This Row],[isin]]),Table17[[#This Row],[isis]])</f>
        <v>144</v>
      </c>
      <c r="W126" s="3" t="str">
        <f>IF(Table17[[#This Row],[isis]]="",IF(Table17[[#This Row],[isin]]="",Table17[[#This Row],[Column22]],Table17[[#This Row],[stnn]]),Table17[[#This Row],[stns]])</f>
        <v>PCS</v>
      </c>
      <c r="X126" s="5">
        <f>IF(Table17[[#This Row],[Column2222]]&lt;1,Table17[[#This Row],[Column23]],Table17[[#This Row],[Column23]]*Table17[[#This Row],[Column2222]])</f>
        <v>144</v>
      </c>
      <c r="Y126" s="3" t="str">
        <f>Table17[[#This Row],[Column24]]</f>
        <v>PCS</v>
      </c>
      <c r="Z126" s="5">
        <f>Table17[[#This Row],[HRG / CTN]]/Table17[[#This Row],[Column23]]</f>
        <v>18500</v>
      </c>
      <c r="AA126" s="42" t="str">
        <f>IF(INDEX(NOTA[DISC 1],Sheet1!A:A)=0,"",INDEX(NOTA[DISC 1],Sheet1!A:A))</f>
        <v/>
      </c>
      <c r="AB126" s="42" t="str">
        <f>IF(INDEX(NOTA[DISC 2],Sheet1!A:A)=0,"",INDEX(NOTA[DISC 2],Sheet1!A:A))</f>
        <v/>
      </c>
      <c r="AC12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6" s="43">
        <f>INDEX(NOTA[HARGA/ CTN_H],Sheet1!A:A)</f>
        <v>2664000</v>
      </c>
      <c r="AE126" s="43">
        <f>IF(Table17[[#This Row],[DISC 3]]="",Table17[[#This Row],[HRG / CTN]],Table17[[#This Row],[HRG / CTN]]-(Table17[[#This Row],[HRG / CTN]]*Table17[[#This Row],[DISC 3]]))</f>
        <v>2664000</v>
      </c>
      <c r="AF126" s="14">
        <f>IF(Table17[[#This Row],[Column2222]]&lt;1,Table17[[#This Row],[Column9]],Table17[[#This Row],[Column9]]*Table17[[#This Row],[Column2222]])</f>
        <v>2664000</v>
      </c>
      <c r="AG126" s="43" t="str">
        <f ca="1">IF(NOT(AL127=Table17[[#This Row],[Column6]]),SUMIF(Table17[Column6],Table17[[#This Row],[Column6]],Table17[Column7]),"")</f>
        <v/>
      </c>
      <c r="AH126" s="44">
        <f ca="1">INDEX(NOTA[TGL_H],Sheet1!A:A)</f>
        <v>45461</v>
      </c>
      <c r="AI126" s="44">
        <f ca="1">INDEX(NOTA[TGL.NOTA_H],Sheet1!A:A)</f>
        <v>45456</v>
      </c>
      <c r="AK126" t="str">
        <f>IF(INDEX(NOTA[KETERANGAN],A:A)="","",INDEX(NOTA[KETERANGAN],A:A))</f>
        <v/>
      </c>
      <c r="AL126" t="str">
        <f ca="1">INDEX(NOTA[NO.NOTA_H],Sheet1!A:A)</f>
        <v>JUF310/24</v>
      </c>
      <c r="AM126">
        <f>INDEX(NOTA[KETERANGAN],Sheet1!A:A)</f>
        <v>0</v>
      </c>
      <c r="AN126" t="str">
        <f ca="1">INDEX(NOTA[SUPPLIER_H],Sheet1!A:A)</f>
        <v>DB STATIONERY</v>
      </c>
      <c r="AO126" t="e">
        <f t="shared" ca="1" si="5"/>
        <v>#N/A</v>
      </c>
      <c r="AR126" s="45" t="s">
        <v>192</v>
      </c>
    </row>
    <row r="127" spans="1:44">
      <c r="A127" s="3">
        <v>159</v>
      </c>
      <c r="C127">
        <f>INDEX(NOTA[//DB],Sheet1!A:A)</f>
        <v>1495</v>
      </c>
      <c r="D127">
        <f>MATCH(Table17[[#This Row],[//db]],[3]!Table2[\\],0)</f>
        <v>1445</v>
      </c>
      <c r="E127" t="str">
        <f>INDEX([3]!db[NB NOTA],Table17[[#This Row],[//db]])</f>
        <v>ISI PENSIL 2B 2.0 DB-IMP062</v>
      </c>
      <c r="F127" t="str">
        <f>INDEX([3]!db[NB BM],Table17[[#This Row],[//db]])</f>
        <v>Isi pensil 2B 2.0 DB-IMP062</v>
      </c>
      <c r="G127" t="str">
        <f>_xlfn.IFNA(INDEX([3]!Table2[NAMA],Table17[[#This Row],[dbconcat]]),"")</f>
        <v>ISI PENSIL 2B 2.0 DB-IMP062</v>
      </c>
      <c r="H127" t="str">
        <f>INDEX([3]!Table2[KODE BARANG],Table17[[#This Row],[dbconcat]])</f>
        <v>IPE-NB1</v>
      </c>
      <c r="I127" t="str">
        <f>IF(Table17[[#This Row],[Column3]]="",UPPER(Table17[[#This Row],[Column1]]),Table17[[#This Row],[Column3]])</f>
        <v>ISI PENSIL 2B 2.0 DB-IMP062</v>
      </c>
      <c r="J127">
        <f>INDEX(NOTA[C],Sheet1!A:A)</f>
        <v>1</v>
      </c>
      <c r="K127">
        <f>IF(OR(Table17[[#This Row],[Column5]]=0,Table17[[#This Row],[Column3]]=""),"",INDEX([3]!Table2[ISI2],Table17[[#This Row],[dbconcat]]))</f>
        <v>120</v>
      </c>
      <c r="L127" t="str">
        <f>IF(Table17[[#This Row],[isis]]="","",INDEX([3]!Table2[SATUAN3],Table17[[#This Row],[dbconcat]]))</f>
        <v>LSN</v>
      </c>
      <c r="M127" t="str">
        <f>IF(Table17[[#This Row],[Column5]]=0,"",IF(Table17[[#This Row],[Column3]]="",INDEX([3]!db[QTY B],Table17[[#This Row],[//db]]),""))</f>
        <v/>
      </c>
      <c r="N127" t="str">
        <f>IF(Table17[[#This Row],[isin]]="","",INDEX([3]!db[STN B],Table17[[#This Row],[//db]]))</f>
        <v/>
      </c>
      <c r="O127" t="str">
        <f>IF(AND(Table17[[#This Row],[isis]]="",Table17[[#This Row],[isin]]=""),INDEX(NOTA[QTY],Sheet1!A:A)/IF(Table17[[#This Row],[Column5]]=0,1,Table17[[#This Row],[Column5]]),"")</f>
        <v/>
      </c>
      <c r="P127" t="str">
        <f>IF(Table17[[#This Row],[Column2]]="","",INDEX(NOTA[STN],Sheet1!A:A))</f>
        <v/>
      </c>
      <c r="Q127" s="5" t="str">
        <f>INDEX([3]!db[QTY B],Table17[[#This Row],[//db]])</f>
        <v>120</v>
      </c>
      <c r="R127" t="str">
        <f>INDEX([3]!db[STN B],Table17[[#This Row],[//db]])</f>
        <v>LSN</v>
      </c>
      <c r="S127" s="40" t="str">
        <f>IF(Table17[[#This Row],[Column5]]=0,Table17[[#This Row],[Column23]]/Table17[[#This Row],[Column224]],"")</f>
        <v/>
      </c>
      <c r="T127" s="4">
        <f>IF(Table17[[#This Row],[Column222]]="",Table17[[#This Row],[Column5]],Table17[[#This Row],[Column222]])</f>
        <v>1</v>
      </c>
      <c r="U127" s="4" t="str">
        <f>IF(Table17[[#This Row],[Column223]]=Table17[[#This Row],[Column24]],"",1)</f>
        <v/>
      </c>
      <c r="V127" s="5">
        <f>IF(Table17[[#This Row],[isis]]="",IF(Table17[[#This Row],[isin]]="",Table17[[#This Row],[Column2]],Table17[[#This Row],[isin]]),Table17[[#This Row],[isis]])</f>
        <v>120</v>
      </c>
      <c r="W127" s="3" t="str">
        <f>IF(Table17[[#This Row],[isis]]="",IF(Table17[[#This Row],[isin]]="",Table17[[#This Row],[Column22]],Table17[[#This Row],[stnn]]),Table17[[#This Row],[stns]])</f>
        <v>LSN</v>
      </c>
      <c r="X127" s="5">
        <f>IF(Table17[[#This Row],[Column2222]]&lt;1,Table17[[#This Row],[Column23]],Table17[[#This Row],[Column23]]*Table17[[#This Row],[Column2222]])</f>
        <v>120</v>
      </c>
      <c r="Y127" s="3" t="str">
        <f>Table17[[#This Row],[Column24]]</f>
        <v>LSN</v>
      </c>
      <c r="Z127" s="5">
        <f>Table17[[#This Row],[HRG / CTN]]/Table17[[#This Row],[Column23]]</f>
        <v>12500</v>
      </c>
      <c r="AA127" s="42" t="str">
        <f>IF(INDEX(NOTA[DISC 1],Sheet1!A:A)=0,"",INDEX(NOTA[DISC 1],Sheet1!A:A))</f>
        <v/>
      </c>
      <c r="AB127" s="42" t="str">
        <f>IF(INDEX(NOTA[DISC 2],Sheet1!A:A)=0,"",INDEX(NOTA[DISC 2],Sheet1!A:A))</f>
        <v/>
      </c>
      <c r="AC12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7" s="43">
        <f>INDEX(NOTA[HARGA/ CTN_H],Sheet1!A:A)</f>
        <v>1500000</v>
      </c>
      <c r="AE127" s="43">
        <f>IF(Table17[[#This Row],[DISC 3]]="",Table17[[#This Row],[HRG / CTN]],Table17[[#This Row],[HRG / CTN]]-(Table17[[#This Row],[HRG / CTN]]*Table17[[#This Row],[DISC 3]]))</f>
        <v>1500000</v>
      </c>
      <c r="AF127" s="14">
        <f>IF(Table17[[#This Row],[Column2222]]&lt;1,Table17[[#This Row],[Column9]],Table17[[#This Row],[Column9]]*Table17[[#This Row],[Column2222]])</f>
        <v>1500000</v>
      </c>
      <c r="AG127" s="43" t="str">
        <f ca="1">IF(NOT(AL128=Table17[[#This Row],[Column6]]),SUMIF(Table17[Column6],Table17[[#This Row],[Column6]],Table17[Column7]),"")</f>
        <v/>
      </c>
      <c r="AH127" s="44">
        <f ca="1">INDEX(NOTA[TGL_H],Sheet1!A:A)</f>
        <v>45461</v>
      </c>
      <c r="AI127" s="44">
        <f ca="1">INDEX(NOTA[TGL.NOTA_H],Sheet1!A:A)</f>
        <v>45456</v>
      </c>
      <c r="AK127" t="str">
        <f>IF(INDEX(NOTA[KETERANGAN],A:A)="","",INDEX(NOTA[KETERANGAN],A:A))</f>
        <v/>
      </c>
      <c r="AL127" t="str">
        <f ca="1">INDEX(NOTA[NO.NOTA_H],Sheet1!A:A)</f>
        <v>JUF310/24</v>
      </c>
      <c r="AM127">
        <f>INDEX(NOTA[KETERANGAN],Sheet1!A:A)</f>
        <v>0</v>
      </c>
      <c r="AN127" t="str">
        <f ca="1">INDEX(NOTA[SUPPLIER_H],Sheet1!A:A)</f>
        <v>DB STATIONERY</v>
      </c>
      <c r="AO127" t="e">
        <f t="shared" ca="1" si="5"/>
        <v>#N/A</v>
      </c>
      <c r="AR127" s="45" t="s">
        <v>193</v>
      </c>
    </row>
    <row r="128" spans="1:44">
      <c r="A128" s="3">
        <v>160</v>
      </c>
      <c r="C128">
        <f>INDEX(NOTA[//DB],Sheet1!A:A)</f>
        <v>3456</v>
      </c>
      <c r="D128">
        <f>MATCH(Table17[[#This Row],[//db]],[3]!Table2[\\],0)</f>
        <v>211</v>
      </c>
      <c r="E128" t="str">
        <f>INDEX([3]!db[NB NOTA],Table17[[#This Row],[//db]])</f>
        <v>R BOTOL SUSU 20PCS R-5833</v>
      </c>
      <c r="F128" t="str">
        <f>INDEX([3]!db[NB BM],Table17[[#This Row],[//db]])</f>
        <v>ASAHAN TOPLES R-5833 BOTOL SUSU (20PCS)</v>
      </c>
      <c r="G128" t="str">
        <f>_xlfn.IFNA(INDEX([3]!Table2[NAMA],Table17[[#This Row],[dbconcat]]),"")</f>
        <v>ASAHAN TOPLES R-5833 BOTOL SUSU (20PCS)</v>
      </c>
      <c r="H128" t="str">
        <f>INDEX([3]!Table2[KODE BARANG],Table17[[#This Row],[dbconcat]])</f>
        <v>ASA-NB165</v>
      </c>
      <c r="I128" t="str">
        <f>IF(Table17[[#This Row],[Column3]]="",UPPER(Table17[[#This Row],[Column1]]),Table17[[#This Row],[Column3]])</f>
        <v>ASAHAN TOPLES R-5833 BOTOL SUSU (20PCS)</v>
      </c>
      <c r="J128">
        <f>INDEX(NOTA[C],Sheet1!A:A)</f>
        <v>1</v>
      </c>
      <c r="K128">
        <f>IF(OR(Table17[[#This Row],[Column5]]=0,Table17[[#This Row],[Column3]]=""),"",INDEX([3]!Table2[ISI2],Table17[[#This Row],[dbconcat]]))</f>
        <v>24</v>
      </c>
      <c r="L128" t="str">
        <f>IF(Table17[[#This Row],[isis]]="","",INDEX([3]!Table2[SATUAN3],Table17[[#This Row],[dbconcat]]))</f>
        <v>TOP</v>
      </c>
      <c r="M128" t="str">
        <f>IF(Table17[[#This Row],[Column5]]=0,"",IF(Table17[[#This Row],[Column3]]="",INDEX([3]!db[QTY B],Table17[[#This Row],[//db]]),""))</f>
        <v/>
      </c>
      <c r="N128" t="str">
        <f>IF(Table17[[#This Row],[isin]]="","",INDEX([3]!db[STN B],Table17[[#This Row],[//db]]))</f>
        <v/>
      </c>
      <c r="O128" t="str">
        <f>IF(AND(Table17[[#This Row],[isis]]="",Table17[[#This Row],[isin]]=""),INDEX(NOTA[QTY],Sheet1!A:A)/IF(Table17[[#This Row],[Column5]]=0,1,Table17[[#This Row],[Column5]]),"")</f>
        <v/>
      </c>
      <c r="P128" t="str">
        <f>IF(Table17[[#This Row],[Column2]]="","",INDEX(NOTA[STN],Sheet1!A:A))</f>
        <v/>
      </c>
      <c r="Q128" s="5" t="str">
        <f>INDEX([3]!db[QTY B],Table17[[#This Row],[//db]])</f>
        <v>24</v>
      </c>
      <c r="R128" t="str">
        <f>INDEX([3]!db[STN B],Table17[[#This Row],[//db]])</f>
        <v>TOP</v>
      </c>
      <c r="S128" s="40" t="str">
        <f>IF(Table17[[#This Row],[Column5]]=0,Table17[[#This Row],[Column23]]/Table17[[#This Row],[Column224]],"")</f>
        <v/>
      </c>
      <c r="T128" s="4">
        <f>IF(Table17[[#This Row],[Column222]]="",Table17[[#This Row],[Column5]],Table17[[#This Row],[Column222]])</f>
        <v>1</v>
      </c>
      <c r="U128" s="4" t="str">
        <f>IF(Table17[[#This Row],[Column223]]=Table17[[#This Row],[Column24]],"",1)</f>
        <v/>
      </c>
      <c r="V128" s="5">
        <f>IF(Table17[[#This Row],[isis]]="",IF(Table17[[#This Row],[isin]]="",Table17[[#This Row],[Column2]],Table17[[#This Row],[isin]]),Table17[[#This Row],[isis]])</f>
        <v>24</v>
      </c>
      <c r="W128" s="3" t="str">
        <f>IF(Table17[[#This Row],[isis]]="",IF(Table17[[#This Row],[isin]]="",Table17[[#This Row],[Column22]],Table17[[#This Row],[stnn]]),Table17[[#This Row],[stns]])</f>
        <v>TOP</v>
      </c>
      <c r="X128" s="5">
        <f>IF(Table17[[#This Row],[Column2222]]&lt;1,Table17[[#This Row],[Column23]],Table17[[#This Row],[Column23]]*Table17[[#This Row],[Column2222]])</f>
        <v>24</v>
      </c>
      <c r="Y128" s="3" t="str">
        <f>Table17[[#This Row],[Column24]]</f>
        <v>TOP</v>
      </c>
      <c r="Z128" s="5">
        <f>Table17[[#This Row],[HRG / CTN]]/Table17[[#This Row],[Column23]]</f>
        <v>46700</v>
      </c>
      <c r="AA128" s="42" t="str">
        <f>IF(INDEX(NOTA[DISC 1],Sheet1!A:A)=0,"",INDEX(NOTA[DISC 1],Sheet1!A:A))</f>
        <v/>
      </c>
      <c r="AB128" s="42" t="str">
        <f>IF(INDEX(NOTA[DISC 2],Sheet1!A:A)=0,"",INDEX(NOTA[DISC 2],Sheet1!A:A))</f>
        <v/>
      </c>
      <c r="AC12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8" s="43">
        <f>INDEX(NOTA[HARGA/ CTN_H],Sheet1!A:A)</f>
        <v>1120800</v>
      </c>
      <c r="AE128" s="43">
        <f>IF(Table17[[#This Row],[DISC 3]]="",Table17[[#This Row],[HRG / CTN]],Table17[[#This Row],[HRG / CTN]]-(Table17[[#This Row],[HRG / CTN]]*Table17[[#This Row],[DISC 3]]))</f>
        <v>1120800</v>
      </c>
      <c r="AF128" s="14">
        <f>IF(Table17[[#This Row],[Column2222]]&lt;1,Table17[[#This Row],[Column9]],Table17[[#This Row],[Column9]]*Table17[[#This Row],[Column2222]])</f>
        <v>1120800</v>
      </c>
      <c r="AG128" s="43" t="str">
        <f ca="1">IF(NOT(AL129=Table17[[#This Row],[Column6]]),SUMIF(Table17[Column6],Table17[[#This Row],[Column6]],Table17[Column7]),"")</f>
        <v/>
      </c>
      <c r="AH128" s="44">
        <f ca="1">INDEX(NOTA[TGL_H],Sheet1!A:A)</f>
        <v>45461</v>
      </c>
      <c r="AI128" s="44">
        <f ca="1">INDEX(NOTA[TGL.NOTA_H],Sheet1!A:A)</f>
        <v>45456</v>
      </c>
      <c r="AK128" t="str">
        <f>IF(INDEX(NOTA[KETERANGAN],A:A)="","",INDEX(NOTA[KETERANGAN],A:A))</f>
        <v/>
      </c>
      <c r="AL128" t="str">
        <f ca="1">INDEX(NOTA[NO.NOTA_H],Sheet1!A:A)</f>
        <v>JUF310/24</v>
      </c>
      <c r="AM128">
        <f>INDEX(NOTA[KETERANGAN],Sheet1!A:A)</f>
        <v>0</v>
      </c>
      <c r="AN128" t="str">
        <f ca="1">INDEX(NOTA[SUPPLIER_H],Sheet1!A:A)</f>
        <v>DB STATIONERY</v>
      </c>
      <c r="AO128" t="e">
        <f t="shared" ca="1" si="5"/>
        <v>#N/A</v>
      </c>
      <c r="AR128" s="45" t="s">
        <v>193</v>
      </c>
    </row>
    <row r="129" spans="1:44">
      <c r="A129" s="3">
        <v>161</v>
      </c>
      <c r="C129">
        <f>INDEX(NOTA[//DB],Sheet1!A:A)</f>
        <v>3457</v>
      </c>
      <c r="D129">
        <f>MATCH(Table17[[#This Row],[//db]],[3]!Table2[\\],0)</f>
        <v>212</v>
      </c>
      <c r="E129" t="str">
        <f>INDEX([3]!db[NB NOTA],Table17[[#This Row],[//db]])</f>
        <v>R TOPLES XLG 17PCS R-5857</v>
      </c>
      <c r="F129" t="str">
        <f>INDEX([3]!db[NB BM],Table17[[#This Row],[//db]])</f>
        <v>ASAHAN TOPLES R-5857 (17PCS)</v>
      </c>
      <c r="G129" t="str">
        <f>_xlfn.IFNA(INDEX([3]!Table2[NAMA],Table17[[#This Row],[dbconcat]]),"")</f>
        <v>ASAHAN TOPLES R-5857 (17PCS)</v>
      </c>
      <c r="H129" t="str">
        <f>INDEX([3]!Table2[KODE BARANG],Table17[[#This Row],[dbconcat]])</f>
        <v>ASA-NB166</v>
      </c>
      <c r="I129" t="str">
        <f>IF(Table17[[#This Row],[Column3]]="",UPPER(Table17[[#This Row],[Column1]]),Table17[[#This Row],[Column3]])</f>
        <v>ASAHAN TOPLES R-5857 (17PCS)</v>
      </c>
      <c r="J129">
        <f>INDEX(NOTA[C],Sheet1!A:A)</f>
        <v>1</v>
      </c>
      <c r="K129">
        <f>IF(OR(Table17[[#This Row],[Column5]]=0,Table17[[#This Row],[Column3]]=""),"",INDEX([3]!Table2[ISI2],Table17[[#This Row],[dbconcat]]))</f>
        <v>24</v>
      </c>
      <c r="L129" t="str">
        <f>IF(Table17[[#This Row],[isis]]="","",INDEX([3]!Table2[SATUAN3],Table17[[#This Row],[dbconcat]]))</f>
        <v>TOP</v>
      </c>
      <c r="M129" t="str">
        <f>IF(Table17[[#This Row],[Column5]]=0,"",IF(Table17[[#This Row],[Column3]]="",INDEX([3]!db[QTY B],Table17[[#This Row],[//db]]),""))</f>
        <v/>
      </c>
      <c r="N129" t="str">
        <f>IF(Table17[[#This Row],[isin]]="","",INDEX([3]!db[STN B],Table17[[#This Row],[//db]]))</f>
        <v/>
      </c>
      <c r="O129" t="str">
        <f>IF(AND(Table17[[#This Row],[isis]]="",Table17[[#This Row],[isin]]=""),INDEX(NOTA[QTY],Sheet1!A:A)/IF(Table17[[#This Row],[Column5]]=0,1,Table17[[#This Row],[Column5]]),"")</f>
        <v/>
      </c>
      <c r="P129" t="str">
        <f>IF(Table17[[#This Row],[Column2]]="","",INDEX(NOTA[STN],Sheet1!A:A))</f>
        <v/>
      </c>
      <c r="Q129" s="5" t="str">
        <f>INDEX([3]!db[QTY B],Table17[[#This Row],[//db]])</f>
        <v>24</v>
      </c>
      <c r="R129" t="str">
        <f>INDEX([3]!db[STN B],Table17[[#This Row],[//db]])</f>
        <v>TOP</v>
      </c>
      <c r="S129" s="40" t="str">
        <f>IF(Table17[[#This Row],[Column5]]=0,Table17[[#This Row],[Column23]]/Table17[[#This Row],[Column224]],"")</f>
        <v/>
      </c>
      <c r="T129" s="4">
        <f>IF(Table17[[#This Row],[Column222]]="",Table17[[#This Row],[Column5]],Table17[[#This Row],[Column222]])</f>
        <v>1</v>
      </c>
      <c r="U129" s="4" t="str">
        <f>IF(Table17[[#This Row],[Column223]]=Table17[[#This Row],[Column24]],"",1)</f>
        <v/>
      </c>
      <c r="V129" s="5">
        <f>IF(Table17[[#This Row],[isis]]="",IF(Table17[[#This Row],[isin]]="",Table17[[#This Row],[Column2]],Table17[[#This Row],[isin]]),Table17[[#This Row],[isis]])</f>
        <v>24</v>
      </c>
      <c r="W129" s="3" t="str">
        <f>IF(Table17[[#This Row],[isis]]="",IF(Table17[[#This Row],[isin]]="",Table17[[#This Row],[Column22]],Table17[[#This Row],[stnn]]),Table17[[#This Row],[stns]])</f>
        <v>TOP</v>
      </c>
      <c r="X129" s="5">
        <f>IF(Table17[[#This Row],[Column2222]]&lt;1,Table17[[#This Row],[Column23]],Table17[[#This Row],[Column23]]*Table17[[#This Row],[Column2222]])</f>
        <v>24</v>
      </c>
      <c r="Y129" s="3" t="str">
        <f>Table17[[#This Row],[Column24]]</f>
        <v>TOP</v>
      </c>
      <c r="Z129" s="5">
        <f>Table17[[#This Row],[HRG / CTN]]/Table17[[#This Row],[Column23]]</f>
        <v>63800</v>
      </c>
      <c r="AA129" s="42" t="str">
        <f>IF(INDEX(NOTA[DISC 1],Sheet1!A:A)=0,"",INDEX(NOTA[DISC 1],Sheet1!A:A))</f>
        <v/>
      </c>
      <c r="AB129" s="42" t="str">
        <f>IF(INDEX(NOTA[DISC 2],Sheet1!A:A)=0,"",INDEX(NOTA[DISC 2],Sheet1!A:A))</f>
        <v/>
      </c>
      <c r="AC12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9" s="43">
        <f>INDEX(NOTA[HARGA/ CTN_H],Sheet1!A:A)</f>
        <v>1531200</v>
      </c>
      <c r="AE129" s="43">
        <f>IF(Table17[[#This Row],[DISC 3]]="",Table17[[#This Row],[HRG / CTN]],Table17[[#This Row],[HRG / CTN]]-(Table17[[#This Row],[HRG / CTN]]*Table17[[#This Row],[DISC 3]]))</f>
        <v>1531200</v>
      </c>
      <c r="AF129" s="14">
        <f>IF(Table17[[#This Row],[Column2222]]&lt;1,Table17[[#This Row],[Column9]],Table17[[#This Row],[Column9]]*Table17[[#This Row],[Column2222]])</f>
        <v>1531200</v>
      </c>
      <c r="AG129" s="43" t="str">
        <f ca="1">IF(NOT(AL130=Table17[[#This Row],[Column6]]),SUMIF(Table17[Column6],Table17[[#This Row],[Column6]],Table17[Column7]),"")</f>
        <v/>
      </c>
      <c r="AH129" s="44">
        <f ca="1">INDEX(NOTA[TGL_H],Sheet1!A:A)</f>
        <v>45461</v>
      </c>
      <c r="AI129" s="44">
        <f ca="1">INDEX(NOTA[TGL.NOTA_H],Sheet1!A:A)</f>
        <v>45456</v>
      </c>
      <c r="AK129" t="str">
        <f>IF(INDEX(NOTA[KETERANGAN],A:A)="","",INDEX(NOTA[KETERANGAN],A:A))</f>
        <v/>
      </c>
      <c r="AL129" t="str">
        <f ca="1">INDEX(NOTA[NO.NOTA_H],Sheet1!A:A)</f>
        <v>JUF310/24</v>
      </c>
      <c r="AM129">
        <f>INDEX(NOTA[KETERANGAN],Sheet1!A:A)</f>
        <v>0</v>
      </c>
      <c r="AN129" t="str">
        <f ca="1">INDEX(NOTA[SUPPLIER_H],Sheet1!A:A)</f>
        <v>DB STATIONERY</v>
      </c>
      <c r="AO129" t="e">
        <f t="shared" ca="1" si="5"/>
        <v>#N/A</v>
      </c>
      <c r="AR129" s="45" t="s">
        <v>193</v>
      </c>
    </row>
    <row r="130" spans="1:44">
      <c r="A130" s="3">
        <v>162</v>
      </c>
      <c r="C130">
        <f>INDEX(NOTA[//DB],Sheet1!A:A)</f>
        <v>2791</v>
      </c>
      <c r="D130">
        <f>MATCH(Table17[[#This Row],[//db]],[3]!Table2[\\],0)</f>
        <v>195</v>
      </c>
      <c r="E130" t="str">
        <f>INDEX([3]!db[NB NOTA],Table17[[#This Row],[//db]])</f>
        <v>RAUTAN KITTY TOPLES R-5842</v>
      </c>
      <c r="F130" t="str">
        <f>INDEX([3]!db[NB BM],Table17[[#This Row],[//db]])</f>
        <v>ASAHAN TOPLES KITTY R-5842</v>
      </c>
      <c r="G130" t="str">
        <f>_xlfn.IFNA(INDEX([3]!Table2[NAMA],Table17[[#This Row],[dbconcat]]),"")</f>
        <v>ASAHAN TOPLES KITTY R-5842</v>
      </c>
      <c r="H130" t="str">
        <f>INDEX([3]!Table2[KODE BARANG],Table17[[#This Row],[dbconcat]])</f>
        <v>ASA-NB151</v>
      </c>
      <c r="I130" t="str">
        <f>IF(Table17[[#This Row],[Column3]]="",UPPER(Table17[[#This Row],[Column1]]),Table17[[#This Row],[Column3]])</f>
        <v>ASAHAN TOPLES KITTY R-5842</v>
      </c>
      <c r="J130">
        <f>INDEX(NOTA[C],Sheet1!A:A)</f>
        <v>2</v>
      </c>
      <c r="K130">
        <f>IF(OR(Table17[[#This Row],[Column5]]=0,Table17[[#This Row],[Column3]]=""),"",INDEX([3]!Table2[ISI2],Table17[[#This Row],[dbconcat]]))</f>
        <v>24</v>
      </c>
      <c r="L130" t="str">
        <f>IF(Table17[[#This Row],[isis]]="","",INDEX([3]!Table2[SATUAN3],Table17[[#This Row],[dbconcat]]))</f>
        <v>TOP</v>
      </c>
      <c r="M130" t="str">
        <f>IF(Table17[[#This Row],[Column5]]=0,"",IF(Table17[[#This Row],[Column3]]="",INDEX([3]!db[QTY B],Table17[[#This Row],[//db]]),""))</f>
        <v/>
      </c>
      <c r="N130" t="str">
        <f>IF(Table17[[#This Row],[isin]]="","",INDEX([3]!db[STN B],Table17[[#This Row],[//db]]))</f>
        <v/>
      </c>
      <c r="O130" t="str">
        <f>IF(AND(Table17[[#This Row],[isis]]="",Table17[[#This Row],[isin]]=""),INDEX(NOTA[QTY],Sheet1!A:A)/IF(Table17[[#This Row],[Column5]]=0,1,Table17[[#This Row],[Column5]]),"")</f>
        <v/>
      </c>
      <c r="P130" t="str">
        <f>IF(Table17[[#This Row],[Column2]]="","",INDEX(NOTA[STN],Sheet1!A:A))</f>
        <v/>
      </c>
      <c r="Q130" s="5" t="str">
        <f>INDEX([3]!db[QTY B],Table17[[#This Row],[//db]])</f>
        <v>24</v>
      </c>
      <c r="R130" t="str">
        <f>INDEX([3]!db[STN B],Table17[[#This Row],[//db]])</f>
        <v>TOP</v>
      </c>
      <c r="S130" s="40" t="str">
        <f>IF(Table17[[#This Row],[Column5]]=0,Table17[[#This Row],[Column23]]/Table17[[#This Row],[Column224]],"")</f>
        <v/>
      </c>
      <c r="T130" s="4">
        <f>IF(Table17[[#This Row],[Column222]]="",Table17[[#This Row],[Column5]],Table17[[#This Row],[Column222]])</f>
        <v>2</v>
      </c>
      <c r="U130" s="4" t="str">
        <f>IF(Table17[[#This Row],[Column223]]=Table17[[#This Row],[Column24]],"",1)</f>
        <v/>
      </c>
      <c r="V130" s="5">
        <f>IF(Table17[[#This Row],[isis]]="",IF(Table17[[#This Row],[isin]]="",Table17[[#This Row],[Column2]],Table17[[#This Row],[isin]]),Table17[[#This Row],[isis]])</f>
        <v>24</v>
      </c>
      <c r="W130" s="3" t="str">
        <f>IF(Table17[[#This Row],[isis]]="",IF(Table17[[#This Row],[isin]]="",Table17[[#This Row],[Column22]],Table17[[#This Row],[stnn]]),Table17[[#This Row],[stns]])</f>
        <v>TOP</v>
      </c>
      <c r="X130" s="5">
        <f>IF(Table17[[#This Row],[Column2222]]&lt;1,Table17[[#This Row],[Column23]],Table17[[#This Row],[Column23]]*Table17[[#This Row],[Column2222]])</f>
        <v>48</v>
      </c>
      <c r="Y130" s="3" t="str">
        <f>Table17[[#This Row],[Column24]]</f>
        <v>TOP</v>
      </c>
      <c r="Z130" s="5">
        <f>Table17[[#This Row],[HRG / CTN]]/Table17[[#This Row],[Column23]]</f>
        <v>60000</v>
      </c>
      <c r="AA130" s="42" t="str">
        <f>IF(INDEX(NOTA[DISC 1],Sheet1!A:A)=0,"",INDEX(NOTA[DISC 1],Sheet1!A:A))</f>
        <v/>
      </c>
      <c r="AB130" s="42" t="str">
        <f>IF(INDEX(NOTA[DISC 2],Sheet1!A:A)=0,"",INDEX(NOTA[DISC 2],Sheet1!A:A))</f>
        <v/>
      </c>
      <c r="AC13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0" s="43">
        <f>INDEX(NOTA[HARGA/ CTN_H],Sheet1!A:A)</f>
        <v>1440000</v>
      </c>
      <c r="AE130" s="43">
        <f>IF(Table17[[#This Row],[DISC 3]]="",Table17[[#This Row],[HRG / CTN]],Table17[[#This Row],[HRG / CTN]]-(Table17[[#This Row],[HRG / CTN]]*Table17[[#This Row],[DISC 3]]))</f>
        <v>1440000</v>
      </c>
      <c r="AF130" s="14">
        <f>IF(Table17[[#This Row],[Column2222]]&lt;1,Table17[[#This Row],[Column9]],Table17[[#This Row],[Column9]]*Table17[[#This Row],[Column2222]])</f>
        <v>2880000</v>
      </c>
      <c r="AG130" s="43" t="str">
        <f ca="1">IF(NOT(AL131=Table17[[#This Row],[Column6]]),SUMIF(Table17[Column6],Table17[[#This Row],[Column6]],Table17[Column7]),"")</f>
        <v/>
      </c>
      <c r="AH130" s="44">
        <f ca="1">INDEX(NOTA[TGL_H],Sheet1!A:A)</f>
        <v>45461</v>
      </c>
      <c r="AI130" s="44">
        <f ca="1">INDEX(NOTA[TGL.NOTA_H],Sheet1!A:A)</f>
        <v>45456</v>
      </c>
      <c r="AK130" t="str">
        <f>IF(INDEX(NOTA[KETERANGAN],A:A)="","",INDEX(NOTA[KETERANGAN],A:A))</f>
        <v/>
      </c>
      <c r="AL130" t="str">
        <f ca="1">INDEX(NOTA[NO.NOTA_H],Sheet1!A:A)</f>
        <v>JUF310/24</v>
      </c>
      <c r="AM130">
        <f>INDEX(NOTA[KETERANGAN],Sheet1!A:A)</f>
        <v>0</v>
      </c>
      <c r="AN130" t="str">
        <f ca="1">INDEX(NOTA[SUPPLIER_H],Sheet1!A:A)</f>
        <v>DB STATIONERY</v>
      </c>
      <c r="AO130" t="e">
        <f t="shared" ca="1" si="5"/>
        <v>#N/A</v>
      </c>
      <c r="AR130" s="45" t="s">
        <v>193</v>
      </c>
    </row>
    <row r="131" spans="1:44">
      <c r="A131" s="3">
        <v>163</v>
      </c>
      <c r="C131">
        <f>INDEX(NOTA[//DB],Sheet1!A:A)</f>
        <v>3458</v>
      </c>
      <c r="D131">
        <f>MATCH(Table17[[#This Row],[//db]],[3]!Table2[\\],0)</f>
        <v>213</v>
      </c>
      <c r="E131" t="str">
        <f>INDEX([3]!db[NB NOTA],Table17[[#This Row],[//db]])</f>
        <v>RAUTAN MEJA BONEKA SX-0065 L</v>
      </c>
      <c r="F131" t="str">
        <f>INDEX([3]!db[NB BM],Table17[[#This Row],[//db]])</f>
        <v>ASAHAN MEJA SX-0065L BONEKA</v>
      </c>
      <c r="G131" t="str">
        <f>_xlfn.IFNA(INDEX([3]!Table2[NAMA],Table17[[#This Row],[dbconcat]]),"")</f>
        <v>ASAHAN MEJA SX-0065L BONEKA</v>
      </c>
      <c r="H131" t="str">
        <f>INDEX([3]!Table2[KODE BARANG],Table17[[#This Row],[dbconcat]])</f>
        <v>ASA-NB167</v>
      </c>
      <c r="I131" t="str">
        <f>IF(Table17[[#This Row],[Column3]]="",UPPER(Table17[[#This Row],[Column1]]),Table17[[#This Row],[Column3]])</f>
        <v>ASAHAN MEJA SX-0065L BONEKA</v>
      </c>
      <c r="J131">
        <f>INDEX(NOTA[C],Sheet1!A:A)</f>
        <v>1</v>
      </c>
      <c r="K131" t="str">
        <f>IF(OR(Table17[[#This Row],[Column5]]=0,Table17[[#This Row],[Column3]]=""),"",INDEX([3]!Table2[ISI2],Table17[[#This Row],[dbconcat]]))</f>
        <v>?</v>
      </c>
      <c r="L131" t="str">
        <f>IF(Table17[[#This Row],[isis]]="","",INDEX([3]!Table2[SATUAN3],Table17[[#This Row],[dbconcat]]))</f>
        <v>PCS</v>
      </c>
      <c r="M131" t="str">
        <f>IF(Table17[[#This Row],[Column5]]=0,"",IF(Table17[[#This Row],[Column3]]="",INDEX([3]!db[QTY B],Table17[[#This Row],[//db]]),""))</f>
        <v/>
      </c>
      <c r="N131" t="str">
        <f>IF(Table17[[#This Row],[isin]]="","",INDEX([3]!db[STN B],Table17[[#This Row],[//db]]))</f>
        <v/>
      </c>
      <c r="O131" t="str">
        <f>IF(AND(Table17[[#This Row],[isis]]="",Table17[[#This Row],[isin]]=""),INDEX(NOTA[QTY],Sheet1!A:A)/IF(Table17[[#This Row],[Column5]]=0,1,Table17[[#This Row],[Column5]]),"")</f>
        <v/>
      </c>
      <c r="P131" t="str">
        <f>IF(Table17[[#This Row],[Column2]]="","",INDEX(NOTA[STN],Sheet1!A:A))</f>
        <v/>
      </c>
      <c r="Q131" s="5" t="str">
        <f>INDEX([3]!db[QTY B],Table17[[#This Row],[//db]])</f>
        <v>15</v>
      </c>
      <c r="R131" t="str">
        <f>INDEX([3]!db[STN B],Table17[[#This Row],[//db]])</f>
        <v>PCS</v>
      </c>
      <c r="S131" s="40" t="str">
        <f>IF(Table17[[#This Row],[Column5]]=0,Table17[[#This Row],[Column23]]/Table17[[#This Row],[Column224]],"")</f>
        <v/>
      </c>
      <c r="T131" s="4">
        <f>IF(Table17[[#This Row],[Column222]]="",Table17[[#This Row],[Column5]],Table17[[#This Row],[Column222]])</f>
        <v>1</v>
      </c>
      <c r="U131" s="4" t="str">
        <f>IF(Table17[[#This Row],[Column223]]=Table17[[#This Row],[Column24]],"",1)</f>
        <v/>
      </c>
      <c r="V131" s="5" t="str">
        <f>IF(Table17[[#This Row],[isis]]="",IF(Table17[[#This Row],[isin]]="",Table17[[#This Row],[Column2]],Table17[[#This Row],[isin]]),Table17[[#This Row],[isis]])</f>
        <v>?</v>
      </c>
      <c r="W131" s="3" t="str">
        <f>IF(Table17[[#This Row],[isis]]="",IF(Table17[[#This Row],[isin]]="",Table17[[#This Row],[Column22]],Table17[[#This Row],[stnn]]),Table17[[#This Row],[stns]])</f>
        <v>PCS</v>
      </c>
      <c r="X131" s="5" t="e">
        <f>IF(Table17[[#This Row],[Column2222]]&lt;1,Table17[[#This Row],[Column23]],Table17[[#This Row],[Column23]]*Table17[[#This Row],[Column2222]])</f>
        <v>#VALUE!</v>
      </c>
      <c r="Y131" s="3" t="str">
        <f>Table17[[#This Row],[Column24]]</f>
        <v>PCS</v>
      </c>
      <c r="Z131" s="5" t="e">
        <f>Table17[[#This Row],[HRG / CTN]]/Table17[[#This Row],[Column23]]</f>
        <v>#VALUE!</v>
      </c>
      <c r="AA131" s="42" t="str">
        <f>IF(INDEX(NOTA[DISC 1],Sheet1!A:A)=0,"",INDEX(NOTA[DISC 1],Sheet1!A:A))</f>
        <v/>
      </c>
      <c r="AB131" s="42" t="str">
        <f>IF(INDEX(NOTA[DISC 2],Sheet1!A:A)=0,"",INDEX(NOTA[DISC 2],Sheet1!A:A))</f>
        <v/>
      </c>
      <c r="AC13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1" s="43">
        <f>INDEX(NOTA[HARGA/ CTN_H],Sheet1!A:A)</f>
        <v>0</v>
      </c>
      <c r="AE131" s="43">
        <f>IF(Table17[[#This Row],[DISC 3]]="",Table17[[#This Row],[HRG / CTN]],Table17[[#This Row],[HRG / CTN]]-(Table17[[#This Row],[HRG / CTN]]*Table17[[#This Row],[DISC 3]]))</f>
        <v>0</v>
      </c>
      <c r="AF131" s="14">
        <f>IF(Table17[[#This Row],[Column2222]]&lt;1,Table17[[#This Row],[Column9]],Table17[[#This Row],[Column9]]*Table17[[#This Row],[Column2222]])</f>
        <v>0</v>
      </c>
      <c r="AG131" s="43" t="str">
        <f ca="1">IF(NOT(AL132=Table17[[#This Row],[Column6]]),SUMIF(Table17[Column6],Table17[[#This Row],[Column6]],Table17[Column7]),"")</f>
        <v/>
      </c>
      <c r="AH131" s="44">
        <f ca="1">INDEX(NOTA[TGL_H],Sheet1!A:A)</f>
        <v>45461</v>
      </c>
      <c r="AI131" s="44">
        <f ca="1">INDEX(NOTA[TGL.NOTA_H],Sheet1!A:A)</f>
        <v>45456</v>
      </c>
      <c r="AK131" t="str">
        <f>IF(INDEX(NOTA[KETERANGAN],A:A)="","",INDEX(NOTA[KETERANGAN],A:A))</f>
        <v>BONUS</v>
      </c>
      <c r="AL131" t="str">
        <f ca="1">INDEX(NOTA[NO.NOTA_H],Sheet1!A:A)</f>
        <v>JUF310/24</v>
      </c>
      <c r="AM131" t="str">
        <f>INDEX(NOTA[KETERANGAN],Sheet1!A:A)</f>
        <v>BONUS</v>
      </c>
      <c r="AN131" t="str">
        <f ca="1">INDEX(NOTA[SUPPLIER_H],Sheet1!A:A)</f>
        <v>DB STATIONERY</v>
      </c>
      <c r="AO131" t="e">
        <f t="shared" ca="1" si="5"/>
        <v>#N/A</v>
      </c>
      <c r="AR131" s="45" t="s">
        <v>193</v>
      </c>
    </row>
    <row r="132" spans="1:44">
      <c r="A132" s="3">
        <v>164</v>
      </c>
      <c r="C132">
        <f>INDEX(NOTA[//DB],Sheet1!A:A)</f>
        <v>1154</v>
      </c>
      <c r="D132">
        <f>MATCH(Table17[[#This Row],[//db]],[3]!Table2[\\],0)</f>
        <v>758</v>
      </c>
      <c r="E132" t="str">
        <f>INDEX([3]!db[NB NOTA],Table17[[#This Row],[//db]])</f>
        <v>GEL TIZO FANCY S3 TG30801-F</v>
      </c>
      <c r="F132" t="str">
        <f>INDEX([3]!db[NB BM],Table17[[#This Row],[//db]])</f>
        <v>BP GEL TIZO 30801F S3 FANCY</v>
      </c>
      <c r="G132" t="str">
        <f>_xlfn.IFNA(INDEX([3]!Table2[NAMA],Table17[[#This Row],[dbconcat]]),"")</f>
        <v>BP GEL TIZO 30801F S3 FANCY</v>
      </c>
      <c r="H132" t="str">
        <f>INDEX([3]!Table2[KODE BARANG],Table17[[#This Row],[dbconcat]])</f>
        <v>BOL-TZ385</v>
      </c>
      <c r="I132" t="str">
        <f>IF(Table17[[#This Row],[Column3]]="",UPPER(Table17[[#This Row],[Column1]]),Table17[[#This Row],[Column3]])</f>
        <v>BP GEL TIZO 30801F S3 FANCY</v>
      </c>
      <c r="J132">
        <f>INDEX(NOTA[C],Sheet1!A:A)</f>
        <v>2</v>
      </c>
      <c r="K132">
        <f>IF(OR(Table17[[#This Row],[Column5]]=0,Table17[[#This Row],[Column3]]=""),"",INDEX([3]!Table2[ISI2],Table17[[#This Row],[dbconcat]]))</f>
        <v>144</v>
      </c>
      <c r="L132" t="str">
        <f>IF(Table17[[#This Row],[isis]]="","",INDEX([3]!Table2[SATUAN3],Table17[[#This Row],[dbconcat]]))</f>
        <v>LSN</v>
      </c>
      <c r="M132" t="str">
        <f>IF(Table17[[#This Row],[Column5]]=0,"",IF(Table17[[#This Row],[Column3]]="",INDEX([3]!db[QTY B],Table17[[#This Row],[//db]]),""))</f>
        <v/>
      </c>
      <c r="N132" t="str">
        <f>IF(Table17[[#This Row],[isin]]="","",INDEX([3]!db[STN B],Table17[[#This Row],[//db]]))</f>
        <v/>
      </c>
      <c r="O132" t="str">
        <f>IF(AND(Table17[[#This Row],[isis]]="",Table17[[#This Row],[isin]]=""),INDEX(NOTA[QTY],Sheet1!A:A)/IF(Table17[[#This Row],[Column5]]=0,1,Table17[[#This Row],[Column5]]),"")</f>
        <v/>
      </c>
      <c r="P132" t="str">
        <f>IF(Table17[[#This Row],[Column2]]="","",INDEX(NOTA[STN],Sheet1!A:A))</f>
        <v/>
      </c>
      <c r="Q132" s="5" t="str">
        <f>INDEX([3]!db[QTY B],Table17[[#This Row],[//db]])</f>
        <v>144</v>
      </c>
      <c r="R132" t="str">
        <f>INDEX([3]!db[STN B],Table17[[#This Row],[//db]])</f>
        <v>LSN</v>
      </c>
      <c r="S132" s="40" t="str">
        <f>IF(Table17[[#This Row],[Column5]]=0,Table17[[#This Row],[Column23]]/Table17[[#This Row],[Column224]],"")</f>
        <v/>
      </c>
      <c r="T132" s="4">
        <f>IF(Table17[[#This Row],[Column222]]="",Table17[[#This Row],[Column5]],Table17[[#This Row],[Column222]])</f>
        <v>2</v>
      </c>
      <c r="U132" s="4" t="str">
        <f>IF(Table17[[#This Row],[Column223]]=Table17[[#This Row],[Column24]],"",1)</f>
        <v/>
      </c>
      <c r="V132" s="5">
        <f>IF(Table17[[#This Row],[isis]]="",IF(Table17[[#This Row],[isin]]="",Table17[[#This Row],[Column2]],Table17[[#This Row],[isin]]),Table17[[#This Row],[isis]])</f>
        <v>144</v>
      </c>
      <c r="W132" s="3" t="str">
        <f>IF(Table17[[#This Row],[isis]]="",IF(Table17[[#This Row],[isin]]="",Table17[[#This Row],[Column22]],Table17[[#This Row],[stnn]]),Table17[[#This Row],[stns]])</f>
        <v>LSN</v>
      </c>
      <c r="X132" s="5">
        <f>IF(Table17[[#This Row],[Column2222]]&lt;1,Table17[[#This Row],[Column23]],Table17[[#This Row],[Column23]]*Table17[[#This Row],[Column2222]])</f>
        <v>288</v>
      </c>
      <c r="Y132" s="3" t="str">
        <f>Table17[[#This Row],[Column24]]</f>
        <v>LSN</v>
      </c>
      <c r="Z132" s="5">
        <f>Table17[[#This Row],[HRG / CTN]]/Table17[[#This Row],[Column23]]</f>
        <v>18250</v>
      </c>
      <c r="AA132" s="42" t="str">
        <f>IF(INDEX(NOTA[DISC 1],Sheet1!A:A)=0,"",INDEX(NOTA[DISC 1],Sheet1!A:A))</f>
        <v/>
      </c>
      <c r="AB132" s="42" t="str">
        <f>IF(INDEX(NOTA[DISC 2],Sheet1!A:A)=0,"",INDEX(NOTA[DISC 2],Sheet1!A:A))</f>
        <v/>
      </c>
      <c r="AC13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2" s="43">
        <f>INDEX(NOTA[HARGA/ CTN_H],Sheet1!A:A)</f>
        <v>2628000</v>
      </c>
      <c r="AE132" s="43">
        <f>IF(Table17[[#This Row],[DISC 3]]="",Table17[[#This Row],[HRG / CTN]],Table17[[#This Row],[HRG / CTN]]-(Table17[[#This Row],[HRG / CTN]]*Table17[[#This Row],[DISC 3]]))</f>
        <v>2628000</v>
      </c>
      <c r="AF132" s="14">
        <f>IF(Table17[[#This Row],[Column2222]]&lt;1,Table17[[#This Row],[Column9]],Table17[[#This Row],[Column9]]*Table17[[#This Row],[Column2222]])</f>
        <v>5256000</v>
      </c>
      <c r="AG132" s="43" t="str">
        <f ca="1">IF(NOT(AL133=Table17[[#This Row],[Column6]]),SUMIF(Table17[Column6],Table17[[#This Row],[Column6]],Table17[Column7]),"")</f>
        <v/>
      </c>
      <c r="AH132" s="44">
        <f ca="1">INDEX(NOTA[TGL_H],Sheet1!A:A)</f>
        <v>45461</v>
      </c>
      <c r="AI132" s="44">
        <f ca="1">INDEX(NOTA[TGL.NOTA_H],Sheet1!A:A)</f>
        <v>45456</v>
      </c>
      <c r="AK132" t="str">
        <f>IF(INDEX(NOTA[KETERANGAN],A:A)="","",INDEX(NOTA[KETERANGAN],A:A))</f>
        <v/>
      </c>
      <c r="AL132" t="str">
        <f ca="1">INDEX(NOTA[NO.NOTA_H],Sheet1!A:A)</f>
        <v>JUF310/24</v>
      </c>
      <c r="AM132">
        <f>INDEX(NOTA[KETERANGAN],Sheet1!A:A)</f>
        <v>0</v>
      </c>
      <c r="AN132" t="str">
        <f ca="1">INDEX(NOTA[SUPPLIER_H],Sheet1!A:A)</f>
        <v>DB STATIONERY</v>
      </c>
      <c r="AO132" t="e">
        <f t="shared" ca="1" si="5"/>
        <v>#N/A</v>
      </c>
      <c r="AR132" s="45" t="s">
        <v>193</v>
      </c>
    </row>
    <row r="133" spans="1:44">
      <c r="A133" s="3">
        <v>165</v>
      </c>
      <c r="C133">
        <f>INDEX(NOTA[//DB],Sheet1!A:A)</f>
        <v>1173</v>
      </c>
      <c r="D133">
        <f>MATCH(Table17[[#This Row],[//db]],[3]!Table2[\\],0)</f>
        <v>764</v>
      </c>
      <c r="E133" t="str">
        <f>INDEX([3]!db[NB NOTA],Table17[[#This Row],[//db]])</f>
        <v>GEL TIZO FANCY S-3 TG 30802-F</v>
      </c>
      <c r="F133" t="str">
        <f>INDEX([3]!db[NB BM],Table17[[#This Row],[//db]])</f>
        <v>BP TIZO TG 30802F S3 FANCY</v>
      </c>
      <c r="G133" t="str">
        <f>_xlfn.IFNA(INDEX([3]!Table2[NAMA],Table17[[#This Row],[dbconcat]]),"")</f>
        <v>BP TIZO TG 30802F S3 FANCY</v>
      </c>
      <c r="H133" t="str">
        <f>INDEX([3]!Table2[KODE BARANG],Table17[[#This Row],[dbconcat]])</f>
        <v>BOL-TZ391</v>
      </c>
      <c r="I133" t="str">
        <f>IF(Table17[[#This Row],[Column3]]="",UPPER(Table17[[#This Row],[Column1]]),Table17[[#This Row],[Column3]])</f>
        <v>BP TIZO TG 30802F S3 FANCY</v>
      </c>
      <c r="J133">
        <f>INDEX(NOTA[C],Sheet1!A:A)</f>
        <v>2</v>
      </c>
      <c r="K133">
        <f>IF(OR(Table17[[#This Row],[Column5]]=0,Table17[[#This Row],[Column3]]=""),"",INDEX([3]!Table2[ISI2],Table17[[#This Row],[dbconcat]]))</f>
        <v>144</v>
      </c>
      <c r="L133" t="str">
        <f>IF(Table17[[#This Row],[isis]]="","",INDEX([3]!Table2[SATUAN3],Table17[[#This Row],[dbconcat]]))</f>
        <v>LSN</v>
      </c>
      <c r="M133" t="str">
        <f>IF(Table17[[#This Row],[Column5]]=0,"",IF(Table17[[#This Row],[Column3]]="",INDEX([3]!db[QTY B],Table17[[#This Row],[//db]]),""))</f>
        <v/>
      </c>
      <c r="N133" t="str">
        <f>IF(Table17[[#This Row],[isin]]="","",INDEX([3]!db[STN B],Table17[[#This Row],[//db]]))</f>
        <v/>
      </c>
      <c r="O133" t="str">
        <f>IF(AND(Table17[[#This Row],[isis]]="",Table17[[#This Row],[isin]]=""),INDEX(NOTA[QTY],Sheet1!A:A)/IF(Table17[[#This Row],[Column5]]=0,1,Table17[[#This Row],[Column5]]),"")</f>
        <v/>
      </c>
      <c r="P133" t="str">
        <f>IF(Table17[[#This Row],[Column2]]="","",INDEX(NOTA[STN],Sheet1!A:A))</f>
        <v/>
      </c>
      <c r="Q133" s="5" t="str">
        <f>INDEX([3]!db[QTY B],Table17[[#This Row],[//db]])</f>
        <v>144</v>
      </c>
      <c r="R133" t="str">
        <f>INDEX([3]!db[STN B],Table17[[#This Row],[//db]])</f>
        <v>LSN</v>
      </c>
      <c r="S133" s="40" t="str">
        <f>IF(Table17[[#This Row],[Column5]]=0,Table17[[#This Row],[Column23]]/Table17[[#This Row],[Column224]],"")</f>
        <v/>
      </c>
      <c r="T133" s="4">
        <f>IF(Table17[[#This Row],[Column222]]="",Table17[[#This Row],[Column5]],Table17[[#This Row],[Column222]])</f>
        <v>2</v>
      </c>
      <c r="U133" s="4" t="str">
        <f>IF(Table17[[#This Row],[Column223]]=Table17[[#This Row],[Column24]],"",1)</f>
        <v/>
      </c>
      <c r="V133" s="5">
        <f>IF(Table17[[#This Row],[isis]]="",IF(Table17[[#This Row],[isin]]="",Table17[[#This Row],[Column2]],Table17[[#This Row],[isin]]),Table17[[#This Row],[isis]])</f>
        <v>144</v>
      </c>
      <c r="W133" s="3" t="str">
        <f>IF(Table17[[#This Row],[isis]]="",IF(Table17[[#This Row],[isin]]="",Table17[[#This Row],[Column22]],Table17[[#This Row],[stnn]]),Table17[[#This Row],[stns]])</f>
        <v>LSN</v>
      </c>
      <c r="X133" s="5">
        <f>IF(Table17[[#This Row],[Column2222]]&lt;1,Table17[[#This Row],[Column23]],Table17[[#This Row],[Column23]]*Table17[[#This Row],[Column2222]])</f>
        <v>288</v>
      </c>
      <c r="Y133" s="3" t="str">
        <f>Table17[[#This Row],[Column24]]</f>
        <v>LSN</v>
      </c>
      <c r="Z133" s="5">
        <f>Table17[[#This Row],[HRG / CTN]]/Table17[[#This Row],[Column23]]</f>
        <v>18250</v>
      </c>
      <c r="AA133" s="42" t="str">
        <f>IF(INDEX(NOTA[DISC 1],Sheet1!A:A)=0,"",INDEX(NOTA[DISC 1],Sheet1!A:A))</f>
        <v/>
      </c>
      <c r="AB133" s="42" t="str">
        <f>IF(INDEX(NOTA[DISC 2],Sheet1!A:A)=0,"",INDEX(NOTA[DISC 2],Sheet1!A:A))</f>
        <v/>
      </c>
      <c r="AC13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3" s="43">
        <f>INDEX(NOTA[HARGA/ CTN_H],Sheet1!A:A)</f>
        <v>2628000</v>
      </c>
      <c r="AE133" s="43">
        <f>IF(Table17[[#This Row],[DISC 3]]="",Table17[[#This Row],[HRG / CTN]],Table17[[#This Row],[HRG / CTN]]-(Table17[[#This Row],[HRG / CTN]]*Table17[[#This Row],[DISC 3]]))</f>
        <v>2628000</v>
      </c>
      <c r="AF133" s="14">
        <f>IF(Table17[[#This Row],[Column2222]]&lt;1,Table17[[#This Row],[Column9]],Table17[[#This Row],[Column9]]*Table17[[#This Row],[Column2222]])</f>
        <v>5256000</v>
      </c>
      <c r="AG133" s="43" t="str">
        <f ca="1">IF(NOT(AL134=Table17[[#This Row],[Column6]]),SUMIF(Table17[Column6],Table17[[#This Row],[Column6]],Table17[Column7]),"")</f>
        <v/>
      </c>
      <c r="AH133" s="44">
        <f ca="1">INDEX(NOTA[TGL_H],Sheet1!A:A)</f>
        <v>45461</v>
      </c>
      <c r="AI133" s="44">
        <f ca="1">INDEX(NOTA[TGL.NOTA_H],Sheet1!A:A)</f>
        <v>45456</v>
      </c>
      <c r="AK133" t="str">
        <f>IF(INDEX(NOTA[KETERANGAN],A:A)="","",INDEX(NOTA[KETERANGAN],A:A))</f>
        <v/>
      </c>
      <c r="AL133" t="str">
        <f ca="1">INDEX(NOTA[NO.NOTA_H],Sheet1!A:A)</f>
        <v>JUF310/24</v>
      </c>
      <c r="AM133">
        <f>INDEX(NOTA[KETERANGAN],Sheet1!A:A)</f>
        <v>0</v>
      </c>
      <c r="AN133" t="str">
        <f ca="1">INDEX(NOTA[SUPPLIER_H],Sheet1!A:A)</f>
        <v>DB STATIONERY</v>
      </c>
      <c r="AO133" t="e">
        <f t="shared" ca="1" si="5"/>
        <v>#N/A</v>
      </c>
      <c r="AR133" s="45" t="s">
        <v>193</v>
      </c>
    </row>
    <row r="134" spans="1:44">
      <c r="A134" s="3">
        <v>166</v>
      </c>
      <c r="C134">
        <f>INDEX(NOTA[//DB],Sheet1!A:A)</f>
        <v>1183</v>
      </c>
      <c r="D134">
        <f>MATCH(Table17[[#This Row],[//db]],[3]!Table2[\\],0)</f>
        <v>760</v>
      </c>
      <c r="E134" t="str">
        <f>INDEX([3]!db[NB NOTA],Table17[[#This Row],[//db]])</f>
        <v>GEL TIZO FANCY TG31475-F</v>
      </c>
      <c r="F134" t="str">
        <f>INDEX([3]!db[NB BM],Table17[[#This Row],[//db]])</f>
        <v>BP TIZO TG 31475F FANCY</v>
      </c>
      <c r="G134" t="str">
        <f>_xlfn.IFNA(INDEX([3]!Table2[NAMA],Table17[[#This Row],[dbconcat]]),"")</f>
        <v>BP TIZO TG 31475F FANCY</v>
      </c>
      <c r="H134" t="str">
        <f>INDEX([3]!Table2[KODE BARANG],Table17[[#This Row],[dbconcat]])</f>
        <v>BOL-TZ387</v>
      </c>
      <c r="I134" t="str">
        <f>IF(Table17[[#This Row],[Column3]]="",UPPER(Table17[[#This Row],[Column1]]),Table17[[#This Row],[Column3]])</f>
        <v>BP TIZO TG 31475F FANCY</v>
      </c>
      <c r="J134">
        <f>INDEX(NOTA[C],Sheet1!A:A)</f>
        <v>2</v>
      </c>
      <c r="K134">
        <f>IF(OR(Table17[[#This Row],[Column5]]=0,Table17[[#This Row],[Column3]]=""),"",INDEX([3]!Table2[ISI2],Table17[[#This Row],[dbconcat]]))</f>
        <v>144</v>
      </c>
      <c r="L134" t="str">
        <f>IF(Table17[[#This Row],[isis]]="","",INDEX([3]!Table2[SATUAN3],Table17[[#This Row],[dbconcat]]))</f>
        <v>LSN</v>
      </c>
      <c r="M134" t="str">
        <f>IF(Table17[[#This Row],[Column5]]=0,"",IF(Table17[[#This Row],[Column3]]="",INDEX([3]!db[QTY B],Table17[[#This Row],[//db]]),""))</f>
        <v/>
      </c>
      <c r="N134" t="str">
        <f>IF(Table17[[#This Row],[isin]]="","",INDEX([3]!db[STN B],Table17[[#This Row],[//db]]))</f>
        <v/>
      </c>
      <c r="O134" t="str">
        <f>IF(AND(Table17[[#This Row],[isis]]="",Table17[[#This Row],[isin]]=""),INDEX(NOTA[QTY],Sheet1!A:A)/IF(Table17[[#This Row],[Column5]]=0,1,Table17[[#This Row],[Column5]]),"")</f>
        <v/>
      </c>
      <c r="P134" t="str">
        <f>IF(Table17[[#This Row],[Column2]]="","",INDEX(NOTA[STN],Sheet1!A:A))</f>
        <v/>
      </c>
      <c r="Q134" s="5" t="str">
        <f>INDEX([3]!db[QTY B],Table17[[#This Row],[//db]])</f>
        <v>144</v>
      </c>
      <c r="R134" t="str">
        <f>INDEX([3]!db[STN B],Table17[[#This Row],[//db]])</f>
        <v>LSN</v>
      </c>
      <c r="S134" s="40" t="str">
        <f>IF(Table17[[#This Row],[Column5]]=0,Table17[[#This Row],[Column23]]/Table17[[#This Row],[Column224]],"")</f>
        <v/>
      </c>
      <c r="T134" s="4">
        <f>IF(Table17[[#This Row],[Column222]]="",Table17[[#This Row],[Column5]],Table17[[#This Row],[Column222]])</f>
        <v>2</v>
      </c>
      <c r="U134" s="4" t="str">
        <f>IF(Table17[[#This Row],[Column223]]=Table17[[#This Row],[Column24]],"",1)</f>
        <v/>
      </c>
      <c r="V134" s="5">
        <f>IF(Table17[[#This Row],[isis]]="",IF(Table17[[#This Row],[isin]]="",Table17[[#This Row],[Column2]],Table17[[#This Row],[isin]]),Table17[[#This Row],[isis]])</f>
        <v>144</v>
      </c>
      <c r="W134" s="3" t="str">
        <f>IF(Table17[[#This Row],[isis]]="",IF(Table17[[#This Row],[isin]]="",Table17[[#This Row],[Column22]],Table17[[#This Row],[stnn]]),Table17[[#This Row],[stns]])</f>
        <v>LSN</v>
      </c>
      <c r="X134" s="5">
        <f>IF(Table17[[#This Row],[Column2222]]&lt;1,Table17[[#This Row],[Column23]],Table17[[#This Row],[Column23]]*Table17[[#This Row],[Column2222]])</f>
        <v>288</v>
      </c>
      <c r="Y134" s="3" t="str">
        <f>Table17[[#This Row],[Column24]]</f>
        <v>LSN</v>
      </c>
      <c r="Z134" s="5">
        <f>Table17[[#This Row],[HRG / CTN]]/Table17[[#This Row],[Column23]]</f>
        <v>18250</v>
      </c>
      <c r="AA134" s="42" t="str">
        <f>IF(INDEX(NOTA[DISC 1],Sheet1!A:A)=0,"",INDEX(NOTA[DISC 1],Sheet1!A:A))</f>
        <v/>
      </c>
      <c r="AB134" s="42" t="str">
        <f>IF(INDEX(NOTA[DISC 2],Sheet1!A:A)=0,"",INDEX(NOTA[DISC 2],Sheet1!A:A))</f>
        <v/>
      </c>
      <c r="AC13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4" s="43">
        <f>INDEX(NOTA[HARGA/ CTN_H],Sheet1!A:A)</f>
        <v>2628000</v>
      </c>
      <c r="AE134" s="43">
        <f>IF(Table17[[#This Row],[DISC 3]]="",Table17[[#This Row],[HRG / CTN]],Table17[[#This Row],[HRG / CTN]]-(Table17[[#This Row],[HRG / CTN]]*Table17[[#This Row],[DISC 3]]))</f>
        <v>2628000</v>
      </c>
      <c r="AF134" s="14">
        <f>IF(Table17[[#This Row],[Column2222]]&lt;1,Table17[[#This Row],[Column9]],Table17[[#This Row],[Column9]]*Table17[[#This Row],[Column2222]])</f>
        <v>5256000</v>
      </c>
      <c r="AG134" s="43" t="str">
        <f ca="1">IF(NOT(AL135=Table17[[#This Row],[Column6]]),SUMIF(Table17[Column6],Table17[[#This Row],[Column6]],Table17[Column7]),"")</f>
        <v/>
      </c>
      <c r="AH134" s="44">
        <f ca="1">INDEX(NOTA[TGL_H],Sheet1!A:A)</f>
        <v>45461</v>
      </c>
      <c r="AI134" s="44">
        <f ca="1">INDEX(NOTA[TGL.NOTA_H],Sheet1!A:A)</f>
        <v>45456</v>
      </c>
      <c r="AK134" t="str">
        <f>IF(INDEX(NOTA[KETERANGAN],A:A)="","",INDEX(NOTA[KETERANGAN],A:A))</f>
        <v/>
      </c>
      <c r="AL134" t="str">
        <f ca="1">INDEX(NOTA[NO.NOTA_H],Sheet1!A:A)</f>
        <v>JUF310/24</v>
      </c>
      <c r="AM134">
        <f>INDEX(NOTA[KETERANGAN],Sheet1!A:A)</f>
        <v>0</v>
      </c>
      <c r="AN134" t="str">
        <f ca="1">INDEX(NOTA[SUPPLIER_H],Sheet1!A:A)</f>
        <v>DB STATIONERY</v>
      </c>
      <c r="AO134" t="e">
        <f t="shared" ca="1" si="5"/>
        <v>#N/A</v>
      </c>
      <c r="AR134" s="45" t="s">
        <v>193</v>
      </c>
    </row>
    <row r="135" spans="1:44">
      <c r="A135" s="3">
        <v>167</v>
      </c>
      <c r="C135">
        <f>INDEX(NOTA[//DB],Sheet1!A:A)</f>
        <v>1160</v>
      </c>
      <c r="D135">
        <f>MATCH(Table17[[#This Row],[//db]],[3]!Table2[\\],0)</f>
        <v>761</v>
      </c>
      <c r="E135" t="str">
        <f>INDEX([3]!db[NB NOTA],Table17[[#This Row],[//db]])</f>
        <v>GEL TIZO FANCY TG30541-F</v>
      </c>
      <c r="F135" t="str">
        <f>INDEX([3]!db[NB BM],Table17[[#This Row],[//db]])</f>
        <v>BP TIZO TG 30541F FANCY</v>
      </c>
      <c r="G135" t="str">
        <f>_xlfn.IFNA(INDEX([3]!Table2[NAMA],Table17[[#This Row],[dbconcat]]),"")</f>
        <v>BP TIZO TG 30541F FANCY</v>
      </c>
      <c r="H135" t="str">
        <f>INDEX([3]!Table2[KODE BARANG],Table17[[#This Row],[dbconcat]])</f>
        <v>BOL-TZ388</v>
      </c>
      <c r="I135" t="str">
        <f>IF(Table17[[#This Row],[Column3]]="",UPPER(Table17[[#This Row],[Column1]]),Table17[[#This Row],[Column3]])</f>
        <v>BP TIZO TG 30541F FANCY</v>
      </c>
      <c r="J135">
        <f>INDEX(NOTA[C],Sheet1!A:A)</f>
        <v>2</v>
      </c>
      <c r="K135">
        <f>IF(OR(Table17[[#This Row],[Column5]]=0,Table17[[#This Row],[Column3]]=""),"",INDEX([3]!Table2[ISI2],Table17[[#This Row],[dbconcat]]))</f>
        <v>144</v>
      </c>
      <c r="L135" t="str">
        <f>IF(Table17[[#This Row],[isis]]="","",INDEX([3]!Table2[SATUAN3],Table17[[#This Row],[dbconcat]]))</f>
        <v>LSN</v>
      </c>
      <c r="M135" t="str">
        <f>IF(Table17[[#This Row],[Column5]]=0,"",IF(Table17[[#This Row],[Column3]]="",INDEX([3]!db[QTY B],Table17[[#This Row],[//db]]),""))</f>
        <v/>
      </c>
      <c r="N135" t="str">
        <f>IF(Table17[[#This Row],[isin]]="","",INDEX([3]!db[STN B],Table17[[#This Row],[//db]]))</f>
        <v/>
      </c>
      <c r="O135" t="str">
        <f>IF(AND(Table17[[#This Row],[isis]]="",Table17[[#This Row],[isin]]=""),INDEX(NOTA[QTY],Sheet1!A:A)/IF(Table17[[#This Row],[Column5]]=0,1,Table17[[#This Row],[Column5]]),"")</f>
        <v/>
      </c>
      <c r="P135" t="str">
        <f>IF(Table17[[#This Row],[Column2]]="","",INDEX(NOTA[STN],Sheet1!A:A))</f>
        <v/>
      </c>
      <c r="Q135" s="5" t="str">
        <f>INDEX([3]!db[QTY B],Table17[[#This Row],[//db]])</f>
        <v>144</v>
      </c>
      <c r="R135" t="str">
        <f>INDEX([3]!db[STN B],Table17[[#This Row],[//db]])</f>
        <v>LSN</v>
      </c>
      <c r="S135" s="40" t="str">
        <f>IF(Table17[[#This Row],[Column5]]=0,Table17[[#This Row],[Column23]]/Table17[[#This Row],[Column224]],"")</f>
        <v/>
      </c>
      <c r="T135" s="4">
        <f>IF(Table17[[#This Row],[Column222]]="",Table17[[#This Row],[Column5]],Table17[[#This Row],[Column222]])</f>
        <v>2</v>
      </c>
      <c r="U135" s="4" t="str">
        <f>IF(Table17[[#This Row],[Column223]]=Table17[[#This Row],[Column24]],"",1)</f>
        <v/>
      </c>
      <c r="V135" s="5">
        <f>IF(Table17[[#This Row],[isis]]="",IF(Table17[[#This Row],[isin]]="",Table17[[#This Row],[Column2]],Table17[[#This Row],[isin]]),Table17[[#This Row],[isis]])</f>
        <v>144</v>
      </c>
      <c r="W135" s="3" t="str">
        <f>IF(Table17[[#This Row],[isis]]="",IF(Table17[[#This Row],[isin]]="",Table17[[#This Row],[Column22]],Table17[[#This Row],[stnn]]),Table17[[#This Row],[stns]])</f>
        <v>LSN</v>
      </c>
      <c r="X135" s="5">
        <f>IF(Table17[[#This Row],[Column2222]]&lt;1,Table17[[#This Row],[Column23]],Table17[[#This Row],[Column23]]*Table17[[#This Row],[Column2222]])</f>
        <v>288</v>
      </c>
      <c r="Y135" s="3" t="str">
        <f>Table17[[#This Row],[Column24]]</f>
        <v>LSN</v>
      </c>
      <c r="Z135" s="5">
        <f>Table17[[#This Row],[HRG / CTN]]/Table17[[#This Row],[Column23]]</f>
        <v>18250</v>
      </c>
      <c r="AA135" s="42" t="str">
        <f>IF(INDEX(NOTA[DISC 1],Sheet1!A:A)=0,"",INDEX(NOTA[DISC 1],Sheet1!A:A))</f>
        <v/>
      </c>
      <c r="AB135" s="42" t="str">
        <f>IF(INDEX(NOTA[DISC 2],Sheet1!A:A)=0,"",INDEX(NOTA[DISC 2],Sheet1!A:A))</f>
        <v/>
      </c>
      <c r="AC13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5" s="43">
        <f>INDEX(NOTA[HARGA/ CTN_H],Sheet1!A:A)</f>
        <v>2628000</v>
      </c>
      <c r="AE135" s="43">
        <f>IF(Table17[[#This Row],[DISC 3]]="",Table17[[#This Row],[HRG / CTN]],Table17[[#This Row],[HRG / CTN]]-(Table17[[#This Row],[HRG / CTN]]*Table17[[#This Row],[DISC 3]]))</f>
        <v>2628000</v>
      </c>
      <c r="AF135" s="14">
        <f>IF(Table17[[#This Row],[Column2222]]&lt;1,Table17[[#This Row],[Column9]],Table17[[#This Row],[Column9]]*Table17[[#This Row],[Column2222]])</f>
        <v>5256000</v>
      </c>
      <c r="AG135" s="43" t="str">
        <f ca="1">IF(NOT(AL136=Table17[[#This Row],[Column6]]),SUMIF(Table17[Column6],Table17[[#This Row],[Column6]],Table17[Column7]),"")</f>
        <v/>
      </c>
      <c r="AH135" s="44">
        <f ca="1">INDEX(NOTA[TGL_H],Sheet1!A:A)</f>
        <v>45461</v>
      </c>
      <c r="AI135" s="44">
        <f ca="1">INDEX(NOTA[TGL.NOTA_H],Sheet1!A:A)</f>
        <v>45456</v>
      </c>
      <c r="AK135" t="str">
        <f>IF(INDEX(NOTA[KETERANGAN],A:A)="","",INDEX(NOTA[KETERANGAN],A:A))</f>
        <v/>
      </c>
      <c r="AL135" t="str">
        <f ca="1">INDEX(NOTA[NO.NOTA_H],Sheet1!A:A)</f>
        <v>JUF310/24</v>
      </c>
      <c r="AM135">
        <f>INDEX(NOTA[KETERANGAN],Sheet1!A:A)</f>
        <v>0</v>
      </c>
      <c r="AN135" t="str">
        <f ca="1">INDEX(NOTA[SUPPLIER_H],Sheet1!A:A)</f>
        <v>DB STATIONERY</v>
      </c>
      <c r="AO135" t="e">
        <f t="shared" ca="1" si="5"/>
        <v>#N/A</v>
      </c>
      <c r="AR135" s="45" t="s">
        <v>193</v>
      </c>
    </row>
    <row r="136" spans="1:44">
      <c r="A136" s="3">
        <v>168</v>
      </c>
      <c r="C136">
        <f>INDEX(NOTA[//DB],Sheet1!A:A)</f>
        <v>1178</v>
      </c>
      <c r="D136" t="e">
        <f>MATCH(Table17[[#This Row],[//db]],[3]!Table2[\\],0)</f>
        <v>#N/A</v>
      </c>
      <c r="E136" t="str">
        <f>INDEX([3]!db[NB NOTA],Table17[[#This Row],[//db]])</f>
        <v>GEL TIZO FANCY TG 31035-F</v>
      </c>
      <c r="F136" t="str">
        <f>INDEX([3]!db[NB BM],Table17[[#This Row],[//db]])</f>
        <v>BP TIZO TG 31035F FANCY</v>
      </c>
      <c r="G136" t="str">
        <f>_xlfn.IFNA(INDEX([3]!Table2[NAMA],Table17[[#This Row],[dbconcat]]),"")</f>
        <v/>
      </c>
      <c r="H136" t="e">
        <f>INDEX([3]!Table2[KODE BARANG],Table17[[#This Row],[dbconcat]])</f>
        <v>#N/A</v>
      </c>
      <c r="I136" t="str">
        <f>IF(Table17[[#This Row],[Column3]]="",UPPER(Table17[[#This Row],[Column1]]),Table17[[#This Row],[Column3]])</f>
        <v>BP TIZO TG 31035F FANCY</v>
      </c>
      <c r="J136">
        <f>INDEX(NOTA[C],Sheet1!A:A)</f>
        <v>2</v>
      </c>
      <c r="K136" t="str">
        <f>IF(OR(Table17[[#This Row],[Column5]]=0,Table17[[#This Row],[Column3]]=""),"",INDEX([3]!Table2[ISI2],Table17[[#This Row],[dbconcat]]))</f>
        <v/>
      </c>
      <c r="L136" t="str">
        <f>IF(Table17[[#This Row],[isis]]="","",INDEX([3]!Table2[SATUAN3],Table17[[#This Row],[dbconcat]]))</f>
        <v/>
      </c>
      <c r="M136" t="str">
        <f>IF(Table17[[#This Row],[Column5]]=0,"",IF(Table17[[#This Row],[Column3]]="",INDEX([3]!db[QTY B],Table17[[#This Row],[//db]]),""))</f>
        <v>144</v>
      </c>
      <c r="N136" t="str">
        <f>IF(Table17[[#This Row],[isin]]="","",INDEX([3]!db[STN B],Table17[[#This Row],[//db]]))</f>
        <v>LSN</v>
      </c>
      <c r="O136" t="str">
        <f>IF(AND(Table17[[#This Row],[isis]]="",Table17[[#This Row],[isin]]=""),INDEX(NOTA[QTY],Sheet1!A:A)/IF(Table17[[#This Row],[Column5]]=0,1,Table17[[#This Row],[Column5]]),"")</f>
        <v/>
      </c>
      <c r="P136" t="str">
        <f>IF(Table17[[#This Row],[Column2]]="","",INDEX(NOTA[STN],Sheet1!A:A))</f>
        <v/>
      </c>
      <c r="Q136" s="5" t="str">
        <f>INDEX([3]!db[QTY B],Table17[[#This Row],[//db]])</f>
        <v>144</v>
      </c>
      <c r="R136" t="str">
        <f>INDEX([3]!db[STN B],Table17[[#This Row],[//db]])</f>
        <v>LSN</v>
      </c>
      <c r="S136" s="40" t="str">
        <f>IF(Table17[[#This Row],[Column5]]=0,Table17[[#This Row],[Column23]]/Table17[[#This Row],[Column224]],"")</f>
        <v/>
      </c>
      <c r="T136" s="4">
        <f>IF(Table17[[#This Row],[Column222]]="",Table17[[#This Row],[Column5]],Table17[[#This Row],[Column222]])</f>
        <v>2</v>
      </c>
      <c r="U136" s="4" t="str">
        <f>IF(Table17[[#This Row],[Column223]]=Table17[[#This Row],[Column24]],"",1)</f>
        <v/>
      </c>
      <c r="V136" s="5" t="str">
        <f>IF(Table17[[#This Row],[isis]]="",IF(Table17[[#This Row],[isin]]="",Table17[[#This Row],[Column2]],Table17[[#This Row],[isin]]),Table17[[#This Row],[isis]])</f>
        <v>144</v>
      </c>
      <c r="W136" s="3" t="str">
        <f>IF(Table17[[#This Row],[isis]]="",IF(Table17[[#This Row],[isin]]="",Table17[[#This Row],[Column22]],Table17[[#This Row],[stnn]]),Table17[[#This Row],[stns]])</f>
        <v>LSN</v>
      </c>
      <c r="X136" s="5">
        <f>IF(Table17[[#This Row],[Column2222]]&lt;1,Table17[[#This Row],[Column23]],Table17[[#This Row],[Column23]]*Table17[[#This Row],[Column2222]])</f>
        <v>288</v>
      </c>
      <c r="Y136" s="3" t="str">
        <f>Table17[[#This Row],[Column24]]</f>
        <v>LSN</v>
      </c>
      <c r="Z136" s="5">
        <f>Table17[[#This Row],[HRG / CTN]]/Table17[[#This Row],[Column23]]</f>
        <v>18250</v>
      </c>
      <c r="AA136" s="42" t="str">
        <f>IF(INDEX(NOTA[DISC 1],Sheet1!A:A)=0,"",INDEX(NOTA[DISC 1],Sheet1!A:A))</f>
        <v/>
      </c>
      <c r="AB136" s="42" t="str">
        <f>IF(INDEX(NOTA[DISC 2],Sheet1!A:A)=0,"",INDEX(NOTA[DISC 2],Sheet1!A:A))</f>
        <v/>
      </c>
      <c r="AC13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6" s="43">
        <f>INDEX(NOTA[HARGA/ CTN_H],Sheet1!A:A)</f>
        <v>2628000</v>
      </c>
      <c r="AE136" s="43">
        <f>IF(Table17[[#This Row],[DISC 3]]="",Table17[[#This Row],[HRG / CTN]],Table17[[#This Row],[HRG / CTN]]-(Table17[[#This Row],[HRG / CTN]]*Table17[[#This Row],[DISC 3]]))</f>
        <v>2628000</v>
      </c>
      <c r="AF136" s="14">
        <f>IF(Table17[[#This Row],[Column2222]]&lt;1,Table17[[#This Row],[Column9]],Table17[[#This Row],[Column9]]*Table17[[#This Row],[Column2222]])</f>
        <v>5256000</v>
      </c>
      <c r="AG136" s="43" t="str">
        <f ca="1">IF(NOT(AL137=Table17[[#This Row],[Column6]]),SUMIF(Table17[Column6],Table17[[#This Row],[Column6]],Table17[Column7]),"")</f>
        <v/>
      </c>
      <c r="AH136" s="44">
        <f ca="1">INDEX(NOTA[TGL_H],Sheet1!A:A)</f>
        <v>45461</v>
      </c>
      <c r="AI136" s="44">
        <f ca="1">INDEX(NOTA[TGL.NOTA_H],Sheet1!A:A)</f>
        <v>45456</v>
      </c>
      <c r="AK136" t="str">
        <f>IF(INDEX(NOTA[KETERANGAN],A:A)="","",INDEX(NOTA[KETERANGAN],A:A))</f>
        <v/>
      </c>
      <c r="AL136" t="str">
        <f ca="1">INDEX(NOTA[NO.NOTA_H],Sheet1!A:A)</f>
        <v>JUF310/24</v>
      </c>
      <c r="AM136">
        <f>INDEX(NOTA[KETERANGAN],Sheet1!A:A)</f>
        <v>0</v>
      </c>
      <c r="AN136" t="str">
        <f ca="1">INDEX(NOTA[SUPPLIER_H],Sheet1!A:A)</f>
        <v>DB STATIONERY</v>
      </c>
      <c r="AO136" t="e">
        <f t="shared" ca="1" si="5"/>
        <v>#N/A</v>
      </c>
      <c r="AR136" s="45" t="s">
        <v>193</v>
      </c>
    </row>
    <row r="137" spans="1:44">
      <c r="A137" s="3">
        <v>169</v>
      </c>
      <c r="C137">
        <f>INDEX(NOTA[//DB],Sheet1!A:A)</f>
        <v>1205</v>
      </c>
      <c r="D137">
        <f>MATCH(Table17[[#This Row],[//db]],[3]!Table2[\\],0)</f>
        <v>769</v>
      </c>
      <c r="E137" t="str">
        <f>INDEX([3]!db[NB NOTA],Table17[[#This Row],[//db]])</f>
        <v>GEL TIZO FANCY TG348-F</v>
      </c>
      <c r="F137" t="str">
        <f>INDEX([3]!db[NB BM],Table17[[#This Row],[//db]])</f>
        <v>BP GEL TIZO TG 348F FANCY</v>
      </c>
      <c r="G137" t="str">
        <f>_xlfn.IFNA(INDEX([3]!Table2[NAMA],Table17[[#This Row],[dbconcat]]),"")</f>
        <v>BP GEL TIZO TG 348F FANCY</v>
      </c>
      <c r="H137" t="str">
        <f>INDEX([3]!Table2[KODE BARANG],Table17[[#This Row],[dbconcat]])</f>
        <v>BOL-TZ397</v>
      </c>
      <c r="I137" t="str">
        <f>IF(Table17[[#This Row],[Column3]]="",UPPER(Table17[[#This Row],[Column1]]),Table17[[#This Row],[Column3]])</f>
        <v>BP GEL TIZO TG 348F FANCY</v>
      </c>
      <c r="J137">
        <f>INDEX(NOTA[C],Sheet1!A:A)</f>
        <v>2</v>
      </c>
      <c r="K137">
        <f>IF(OR(Table17[[#This Row],[Column5]]=0,Table17[[#This Row],[Column3]]=""),"",INDEX([3]!Table2[ISI2],Table17[[#This Row],[dbconcat]]))</f>
        <v>144</v>
      </c>
      <c r="L137" t="str">
        <f>IF(Table17[[#This Row],[isis]]="","",INDEX([3]!Table2[SATUAN3],Table17[[#This Row],[dbconcat]]))</f>
        <v>LSN</v>
      </c>
      <c r="M137" t="str">
        <f>IF(Table17[[#This Row],[Column5]]=0,"",IF(Table17[[#This Row],[Column3]]="",INDEX([3]!db[QTY B],Table17[[#This Row],[//db]]),""))</f>
        <v/>
      </c>
      <c r="N137" t="str">
        <f>IF(Table17[[#This Row],[isin]]="","",INDEX([3]!db[STN B],Table17[[#This Row],[//db]]))</f>
        <v/>
      </c>
      <c r="O137" t="str">
        <f>IF(AND(Table17[[#This Row],[isis]]="",Table17[[#This Row],[isin]]=""),INDEX(NOTA[QTY],Sheet1!A:A)/IF(Table17[[#This Row],[Column5]]=0,1,Table17[[#This Row],[Column5]]),"")</f>
        <v/>
      </c>
      <c r="P137" t="str">
        <f>IF(Table17[[#This Row],[Column2]]="","",INDEX(NOTA[STN],Sheet1!A:A))</f>
        <v/>
      </c>
      <c r="Q137" s="5" t="str">
        <f>INDEX([3]!db[QTY B],Table17[[#This Row],[//db]])</f>
        <v>144</v>
      </c>
      <c r="R137" t="str">
        <f>INDEX([3]!db[STN B],Table17[[#This Row],[//db]])</f>
        <v>LSN</v>
      </c>
      <c r="S137" s="40" t="str">
        <f>IF(Table17[[#This Row],[Column5]]=0,Table17[[#This Row],[Column23]]/Table17[[#This Row],[Column224]],"")</f>
        <v/>
      </c>
      <c r="T137" s="4">
        <f>IF(Table17[[#This Row],[Column222]]="",Table17[[#This Row],[Column5]],Table17[[#This Row],[Column222]])</f>
        <v>2</v>
      </c>
      <c r="U137" s="4" t="str">
        <f>IF(Table17[[#This Row],[Column223]]=Table17[[#This Row],[Column24]],"",1)</f>
        <v/>
      </c>
      <c r="V137" s="5">
        <f>IF(Table17[[#This Row],[isis]]="",IF(Table17[[#This Row],[isin]]="",Table17[[#This Row],[Column2]],Table17[[#This Row],[isin]]),Table17[[#This Row],[isis]])</f>
        <v>144</v>
      </c>
      <c r="W137" s="3" t="str">
        <f>IF(Table17[[#This Row],[isis]]="",IF(Table17[[#This Row],[isin]]="",Table17[[#This Row],[Column22]],Table17[[#This Row],[stnn]]),Table17[[#This Row],[stns]])</f>
        <v>LSN</v>
      </c>
      <c r="X137" s="5">
        <f>IF(Table17[[#This Row],[Column2222]]&lt;1,Table17[[#This Row],[Column23]],Table17[[#This Row],[Column23]]*Table17[[#This Row],[Column2222]])</f>
        <v>288</v>
      </c>
      <c r="Y137" s="3" t="str">
        <f>Table17[[#This Row],[Column24]]</f>
        <v>LSN</v>
      </c>
      <c r="Z137" s="5">
        <f>Table17[[#This Row],[HRG / CTN]]/Table17[[#This Row],[Column23]]</f>
        <v>18250</v>
      </c>
      <c r="AA137" s="42" t="str">
        <f>IF(INDEX(NOTA[DISC 1],Sheet1!A:A)=0,"",INDEX(NOTA[DISC 1],Sheet1!A:A))</f>
        <v/>
      </c>
      <c r="AB137" s="42" t="str">
        <f>IF(INDEX(NOTA[DISC 2],Sheet1!A:A)=0,"",INDEX(NOTA[DISC 2],Sheet1!A:A))</f>
        <v/>
      </c>
      <c r="AC13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7" s="43">
        <f>INDEX(NOTA[HARGA/ CTN_H],Sheet1!A:A)</f>
        <v>2628000</v>
      </c>
      <c r="AE137" s="43">
        <f>IF(Table17[[#This Row],[DISC 3]]="",Table17[[#This Row],[HRG / CTN]],Table17[[#This Row],[HRG / CTN]]-(Table17[[#This Row],[HRG / CTN]]*Table17[[#This Row],[DISC 3]]))</f>
        <v>2628000</v>
      </c>
      <c r="AF137" s="14">
        <f>IF(Table17[[#This Row],[Column2222]]&lt;1,Table17[[#This Row],[Column9]],Table17[[#This Row],[Column9]]*Table17[[#This Row],[Column2222]])</f>
        <v>5256000</v>
      </c>
      <c r="AG137" s="43" t="str">
        <f ca="1">IF(NOT(AL138=Table17[[#This Row],[Column6]]),SUMIF(Table17[Column6],Table17[[#This Row],[Column6]],Table17[Column7]),"")</f>
        <v/>
      </c>
      <c r="AH137" s="44">
        <f ca="1">INDEX(NOTA[TGL_H],Sheet1!A:A)</f>
        <v>45461</v>
      </c>
      <c r="AI137" s="44">
        <f ca="1">INDEX(NOTA[TGL.NOTA_H],Sheet1!A:A)</f>
        <v>45456</v>
      </c>
      <c r="AK137" t="str">
        <f>IF(INDEX(NOTA[KETERANGAN],A:A)="","",INDEX(NOTA[KETERANGAN],A:A))</f>
        <v/>
      </c>
      <c r="AL137" t="str">
        <f ca="1">INDEX(NOTA[NO.NOTA_H],Sheet1!A:A)</f>
        <v>JUF310/24</v>
      </c>
      <c r="AM137">
        <f>INDEX(NOTA[KETERANGAN],Sheet1!A:A)</f>
        <v>0</v>
      </c>
      <c r="AN137" t="str">
        <f ca="1">INDEX(NOTA[SUPPLIER_H],Sheet1!A:A)</f>
        <v>DB STATIONERY</v>
      </c>
      <c r="AO137" t="e">
        <f t="shared" ca="1" si="5"/>
        <v>#N/A</v>
      </c>
      <c r="AR137" s="45" t="s">
        <v>193</v>
      </c>
    </row>
    <row r="138" spans="1:44">
      <c r="A138" s="3">
        <v>170</v>
      </c>
      <c r="C138">
        <f>INDEX(NOTA[//DB],Sheet1!A:A)</f>
        <v>1186</v>
      </c>
      <c r="D138">
        <f>MATCH(Table17[[#This Row],[//db]],[3]!Table2[\\],0)</f>
        <v>765</v>
      </c>
      <c r="E138" t="str">
        <f>INDEX([3]!db[NB NOTA],Table17[[#This Row],[//db]])</f>
        <v>GEL TIZO FANCY TG 31590-F</v>
      </c>
      <c r="F138" t="str">
        <f>INDEX([3]!db[NB BM],Table17[[#This Row],[//db]])</f>
        <v>BP TIZO TG 31590F FANCY</v>
      </c>
      <c r="G138" t="str">
        <f>_xlfn.IFNA(INDEX([3]!Table2[NAMA],Table17[[#This Row],[dbconcat]]),"")</f>
        <v>BP TIZO TG 31590F FANCY</v>
      </c>
      <c r="H138" t="str">
        <f>INDEX([3]!Table2[KODE BARANG],Table17[[#This Row],[dbconcat]])</f>
        <v>BOL-TZ392</v>
      </c>
      <c r="I138" t="str">
        <f>IF(Table17[[#This Row],[Column3]]="",UPPER(Table17[[#This Row],[Column1]]),Table17[[#This Row],[Column3]])</f>
        <v>BP TIZO TG 31590F FANCY</v>
      </c>
      <c r="J138">
        <f>INDEX(NOTA[C],Sheet1!A:A)</f>
        <v>1</v>
      </c>
      <c r="K138">
        <f>IF(OR(Table17[[#This Row],[Column5]]=0,Table17[[#This Row],[Column3]]=""),"",INDEX([3]!Table2[ISI2],Table17[[#This Row],[dbconcat]]))</f>
        <v>144</v>
      </c>
      <c r="L138" t="str">
        <f>IF(Table17[[#This Row],[isis]]="","",INDEX([3]!Table2[SATUAN3],Table17[[#This Row],[dbconcat]]))</f>
        <v>LSN</v>
      </c>
      <c r="M138" t="str">
        <f>IF(Table17[[#This Row],[Column5]]=0,"",IF(Table17[[#This Row],[Column3]]="",INDEX([3]!db[QTY B],Table17[[#This Row],[//db]]),""))</f>
        <v/>
      </c>
      <c r="N138" t="str">
        <f>IF(Table17[[#This Row],[isin]]="","",INDEX([3]!db[STN B],Table17[[#This Row],[//db]]))</f>
        <v/>
      </c>
      <c r="O138" t="str">
        <f>IF(AND(Table17[[#This Row],[isis]]="",Table17[[#This Row],[isin]]=""),INDEX(NOTA[QTY],Sheet1!A:A)/IF(Table17[[#This Row],[Column5]]=0,1,Table17[[#This Row],[Column5]]),"")</f>
        <v/>
      </c>
      <c r="P138" t="str">
        <f>IF(Table17[[#This Row],[Column2]]="","",INDEX(NOTA[STN],Sheet1!A:A))</f>
        <v/>
      </c>
      <c r="Q138" s="5" t="str">
        <f>INDEX([3]!db[QTY B],Table17[[#This Row],[//db]])</f>
        <v>144</v>
      </c>
      <c r="R138" t="str">
        <f>INDEX([3]!db[STN B],Table17[[#This Row],[//db]])</f>
        <v>LSN</v>
      </c>
      <c r="S138" s="40" t="str">
        <f>IF(Table17[[#This Row],[Column5]]=0,Table17[[#This Row],[Column23]]/Table17[[#This Row],[Column224]],"")</f>
        <v/>
      </c>
      <c r="T138" s="4">
        <f>IF(Table17[[#This Row],[Column222]]="",Table17[[#This Row],[Column5]],Table17[[#This Row],[Column222]])</f>
        <v>1</v>
      </c>
      <c r="U138" s="4" t="str">
        <f>IF(Table17[[#This Row],[Column223]]=Table17[[#This Row],[Column24]],"",1)</f>
        <v/>
      </c>
      <c r="V138" s="5">
        <f>IF(Table17[[#This Row],[isis]]="",IF(Table17[[#This Row],[isin]]="",Table17[[#This Row],[Column2]],Table17[[#This Row],[isin]]),Table17[[#This Row],[isis]])</f>
        <v>144</v>
      </c>
      <c r="W138" s="3" t="str">
        <f>IF(Table17[[#This Row],[isis]]="",IF(Table17[[#This Row],[isin]]="",Table17[[#This Row],[Column22]],Table17[[#This Row],[stnn]]),Table17[[#This Row],[stns]])</f>
        <v>LSN</v>
      </c>
      <c r="X138" s="5">
        <f>IF(Table17[[#This Row],[Column2222]]&lt;1,Table17[[#This Row],[Column23]],Table17[[#This Row],[Column23]]*Table17[[#This Row],[Column2222]])</f>
        <v>144</v>
      </c>
      <c r="Y138" s="3" t="str">
        <f>Table17[[#This Row],[Column24]]</f>
        <v>LSN</v>
      </c>
      <c r="Z138" s="5">
        <f>Table17[[#This Row],[HRG / CTN]]/Table17[[#This Row],[Column23]]</f>
        <v>18250</v>
      </c>
      <c r="AA138" s="42" t="str">
        <f>IF(INDEX(NOTA[DISC 1],Sheet1!A:A)=0,"",INDEX(NOTA[DISC 1],Sheet1!A:A))</f>
        <v/>
      </c>
      <c r="AB138" s="42" t="str">
        <f>IF(INDEX(NOTA[DISC 2],Sheet1!A:A)=0,"",INDEX(NOTA[DISC 2],Sheet1!A:A))</f>
        <v/>
      </c>
      <c r="AC13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8" s="43">
        <f>INDEX(NOTA[HARGA/ CTN_H],Sheet1!A:A)</f>
        <v>2628000</v>
      </c>
      <c r="AE138" s="43">
        <f>IF(Table17[[#This Row],[DISC 3]]="",Table17[[#This Row],[HRG / CTN]],Table17[[#This Row],[HRG / CTN]]-(Table17[[#This Row],[HRG / CTN]]*Table17[[#This Row],[DISC 3]]))</f>
        <v>2628000</v>
      </c>
      <c r="AF138" s="14">
        <f>IF(Table17[[#This Row],[Column2222]]&lt;1,Table17[[#This Row],[Column9]],Table17[[#This Row],[Column9]]*Table17[[#This Row],[Column2222]])</f>
        <v>2628000</v>
      </c>
      <c r="AG138" s="43" t="str">
        <f ca="1">IF(NOT(AL139=Table17[[#This Row],[Column6]]),SUMIF(Table17[Column6],Table17[[#This Row],[Column6]],Table17[Column7]),"")</f>
        <v/>
      </c>
      <c r="AH138" s="44">
        <f ca="1">INDEX(NOTA[TGL_H],Sheet1!A:A)</f>
        <v>45461</v>
      </c>
      <c r="AI138" s="44">
        <f ca="1">INDEX(NOTA[TGL.NOTA_H],Sheet1!A:A)</f>
        <v>45456</v>
      </c>
      <c r="AK138" t="str">
        <f>IF(INDEX(NOTA[KETERANGAN],A:A)="","",INDEX(NOTA[KETERANGAN],A:A))</f>
        <v/>
      </c>
      <c r="AL138" t="str">
        <f ca="1">INDEX(NOTA[NO.NOTA_H],Sheet1!A:A)</f>
        <v>JUF310/24</v>
      </c>
      <c r="AM138">
        <f>INDEX(NOTA[KETERANGAN],Sheet1!A:A)</f>
        <v>0</v>
      </c>
      <c r="AN138" t="str">
        <f ca="1">INDEX(NOTA[SUPPLIER_H],Sheet1!A:A)</f>
        <v>DB STATIONERY</v>
      </c>
      <c r="AO138" t="e">
        <f t="shared" ca="1" si="5"/>
        <v>#N/A</v>
      </c>
      <c r="AR138" s="45" t="s">
        <v>193</v>
      </c>
    </row>
    <row r="139" spans="1:44">
      <c r="A139" s="3">
        <v>171</v>
      </c>
      <c r="C139">
        <f>INDEX(NOTA[//DB],Sheet1!A:A)</f>
        <v>1236</v>
      </c>
      <c r="D139">
        <f>MATCH(Table17[[#This Row],[//db]],[3]!Table2[\\],0)</f>
        <v>728</v>
      </c>
      <c r="E139" t="str">
        <f>INDEX([3]!db[NB NOTA],Table17[[#This Row],[//db]])</f>
        <v>GEL TIZO FANCY TG31763-F</v>
      </c>
      <c r="F139" t="str">
        <f>INDEX([3]!db[NB BM],Table17[[#This Row],[//db]])</f>
        <v>BP GEL TIZO 31763F FANCY</v>
      </c>
      <c r="G139" t="str">
        <f>_xlfn.IFNA(INDEX([3]!Table2[NAMA],Table17[[#This Row],[dbconcat]]),"")</f>
        <v>BP GEL TIZO 31763F FANCY</v>
      </c>
      <c r="H139" t="str">
        <f>INDEX([3]!Table2[KODE BARANG],Table17[[#This Row],[dbconcat]])</f>
        <v>BOL-TZ354</v>
      </c>
      <c r="I139" t="str">
        <f>IF(Table17[[#This Row],[Column3]]="",UPPER(Table17[[#This Row],[Column1]]),Table17[[#This Row],[Column3]])</f>
        <v>BP GEL TIZO 31763F FANCY</v>
      </c>
      <c r="J139">
        <f>INDEX(NOTA[C],Sheet1!A:A)</f>
        <v>1</v>
      </c>
      <c r="K139">
        <f>IF(OR(Table17[[#This Row],[Column5]]=0,Table17[[#This Row],[Column3]]=""),"",INDEX([3]!Table2[ISI2],Table17[[#This Row],[dbconcat]]))</f>
        <v>144</v>
      </c>
      <c r="L139" t="str">
        <f>IF(Table17[[#This Row],[isis]]="","",INDEX([3]!Table2[SATUAN3],Table17[[#This Row],[dbconcat]]))</f>
        <v>LSN</v>
      </c>
      <c r="M139" t="str">
        <f>IF(Table17[[#This Row],[Column5]]=0,"",IF(Table17[[#This Row],[Column3]]="",INDEX([3]!db[QTY B],Table17[[#This Row],[//db]]),""))</f>
        <v/>
      </c>
      <c r="N139" t="str">
        <f>IF(Table17[[#This Row],[isin]]="","",INDEX([3]!db[STN B],Table17[[#This Row],[//db]]))</f>
        <v/>
      </c>
      <c r="O139" t="str">
        <f>IF(AND(Table17[[#This Row],[isis]]="",Table17[[#This Row],[isin]]=""),INDEX(NOTA[QTY],Sheet1!A:A)/IF(Table17[[#This Row],[Column5]]=0,1,Table17[[#This Row],[Column5]]),"")</f>
        <v/>
      </c>
      <c r="P139" t="str">
        <f>IF(Table17[[#This Row],[Column2]]="","",INDEX(NOTA[STN],Sheet1!A:A))</f>
        <v/>
      </c>
      <c r="Q139" s="5" t="str">
        <f>INDEX([3]!db[QTY B],Table17[[#This Row],[//db]])</f>
        <v>144</v>
      </c>
      <c r="R139" t="str">
        <f>INDEX([3]!db[STN B],Table17[[#This Row],[//db]])</f>
        <v>LSN</v>
      </c>
      <c r="S139" s="40" t="str">
        <f>IF(Table17[[#This Row],[Column5]]=0,Table17[[#This Row],[Column23]]/Table17[[#This Row],[Column224]],"")</f>
        <v/>
      </c>
      <c r="T139" s="4">
        <f>IF(Table17[[#This Row],[Column222]]="",Table17[[#This Row],[Column5]],Table17[[#This Row],[Column222]])</f>
        <v>1</v>
      </c>
      <c r="U139" s="4" t="str">
        <f>IF(Table17[[#This Row],[Column223]]=Table17[[#This Row],[Column24]],"",1)</f>
        <v/>
      </c>
      <c r="V139" s="5">
        <f>IF(Table17[[#This Row],[isis]]="",IF(Table17[[#This Row],[isin]]="",Table17[[#This Row],[Column2]],Table17[[#This Row],[isin]]),Table17[[#This Row],[isis]])</f>
        <v>144</v>
      </c>
      <c r="W139" s="3" t="str">
        <f>IF(Table17[[#This Row],[isis]]="",IF(Table17[[#This Row],[isin]]="",Table17[[#This Row],[Column22]],Table17[[#This Row],[stnn]]),Table17[[#This Row],[stns]])</f>
        <v>LSN</v>
      </c>
      <c r="X139" s="5">
        <f>IF(Table17[[#This Row],[Column2222]]&lt;1,Table17[[#This Row],[Column23]],Table17[[#This Row],[Column23]]*Table17[[#This Row],[Column2222]])</f>
        <v>144</v>
      </c>
      <c r="Y139" s="3" t="str">
        <f>Table17[[#This Row],[Column24]]</f>
        <v>LSN</v>
      </c>
      <c r="Z139" s="5">
        <f>Table17[[#This Row],[HRG / CTN]]/Table17[[#This Row],[Column23]]</f>
        <v>18250</v>
      </c>
      <c r="AA139" s="42" t="str">
        <f>IF(INDEX(NOTA[DISC 1],Sheet1!A:A)=0,"",INDEX(NOTA[DISC 1],Sheet1!A:A))</f>
        <v/>
      </c>
      <c r="AB139" s="42" t="str">
        <f>IF(INDEX(NOTA[DISC 2],Sheet1!A:A)=0,"",INDEX(NOTA[DISC 2],Sheet1!A:A))</f>
        <v/>
      </c>
      <c r="AC13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9" s="43">
        <f>INDEX(NOTA[HARGA/ CTN_H],Sheet1!A:A)</f>
        <v>2628000</v>
      </c>
      <c r="AE139" s="43">
        <f>IF(Table17[[#This Row],[DISC 3]]="",Table17[[#This Row],[HRG / CTN]],Table17[[#This Row],[HRG / CTN]]-(Table17[[#This Row],[HRG / CTN]]*Table17[[#This Row],[DISC 3]]))</f>
        <v>2628000</v>
      </c>
      <c r="AF139" s="14">
        <f>IF(Table17[[#This Row],[Column2222]]&lt;1,Table17[[#This Row],[Column9]],Table17[[#This Row],[Column9]]*Table17[[#This Row],[Column2222]])</f>
        <v>2628000</v>
      </c>
      <c r="AG139" s="43" t="str">
        <f ca="1">IF(NOT(AL140=Table17[[#This Row],[Column6]]),SUMIF(Table17[Column6],Table17[[#This Row],[Column6]],Table17[Column7]),"")</f>
        <v/>
      </c>
      <c r="AH139" s="44">
        <f ca="1">INDEX(NOTA[TGL_H],Sheet1!A:A)</f>
        <v>45461</v>
      </c>
      <c r="AI139" s="44">
        <f ca="1">INDEX(NOTA[TGL.NOTA_H],Sheet1!A:A)</f>
        <v>45456</v>
      </c>
      <c r="AK139" t="str">
        <f>IF(INDEX(NOTA[KETERANGAN],A:A)="","",INDEX(NOTA[KETERANGAN],A:A))</f>
        <v/>
      </c>
      <c r="AL139" t="str">
        <f ca="1">INDEX(NOTA[NO.NOTA_H],Sheet1!A:A)</f>
        <v>JUF310/24</v>
      </c>
      <c r="AM139">
        <f>INDEX(NOTA[KETERANGAN],Sheet1!A:A)</f>
        <v>0</v>
      </c>
      <c r="AN139" t="str">
        <f ca="1">INDEX(NOTA[SUPPLIER_H],Sheet1!A:A)</f>
        <v>DB STATIONERY</v>
      </c>
      <c r="AO139" t="e">
        <f t="shared" ca="1" si="5"/>
        <v>#N/A</v>
      </c>
      <c r="AR139" s="45" t="s">
        <v>193</v>
      </c>
    </row>
    <row r="140" spans="1:44">
      <c r="A140" s="3">
        <v>172</v>
      </c>
      <c r="C140">
        <f>INDEX(NOTA[//DB],Sheet1!A:A)</f>
        <v>1201</v>
      </c>
      <c r="D140">
        <f>MATCH(Table17[[#This Row],[//db]],[3]!Table2[\\],0)</f>
        <v>766</v>
      </c>
      <c r="E140" t="str">
        <f>INDEX([3]!db[NB NOTA],Table17[[#This Row],[//db]])</f>
        <v>GEL TIZO FANCY TG 31975-F</v>
      </c>
      <c r="F140" t="str">
        <f>INDEX([3]!db[NB BM],Table17[[#This Row],[//db]])</f>
        <v>BP TIZO TG 31975F FANCY</v>
      </c>
      <c r="G140" t="str">
        <f>_xlfn.IFNA(INDEX([3]!Table2[NAMA],Table17[[#This Row],[dbconcat]]),"")</f>
        <v>BP TIZO TG 31975F FANCY</v>
      </c>
      <c r="H140" t="str">
        <f>INDEX([3]!Table2[KODE BARANG],Table17[[#This Row],[dbconcat]])</f>
        <v>BOL-TZ394</v>
      </c>
      <c r="I140" t="str">
        <f>IF(Table17[[#This Row],[Column3]]="",UPPER(Table17[[#This Row],[Column1]]),Table17[[#This Row],[Column3]])</f>
        <v>BP TIZO TG 31975F FANCY</v>
      </c>
      <c r="J140">
        <f>INDEX(NOTA[C],Sheet1!A:A)</f>
        <v>1</v>
      </c>
      <c r="K140">
        <f>IF(OR(Table17[[#This Row],[Column5]]=0,Table17[[#This Row],[Column3]]=""),"",INDEX([3]!Table2[ISI2],Table17[[#This Row],[dbconcat]]))</f>
        <v>144</v>
      </c>
      <c r="L140" t="str">
        <f>IF(Table17[[#This Row],[isis]]="","",INDEX([3]!Table2[SATUAN3],Table17[[#This Row],[dbconcat]]))</f>
        <v>LSN</v>
      </c>
      <c r="M140" t="str">
        <f>IF(Table17[[#This Row],[Column5]]=0,"",IF(Table17[[#This Row],[Column3]]="",INDEX([3]!db[QTY B],Table17[[#This Row],[//db]]),""))</f>
        <v/>
      </c>
      <c r="N140" t="str">
        <f>IF(Table17[[#This Row],[isin]]="","",INDEX([3]!db[STN B],Table17[[#This Row],[//db]]))</f>
        <v/>
      </c>
      <c r="O140" t="str">
        <f>IF(AND(Table17[[#This Row],[isis]]="",Table17[[#This Row],[isin]]=""),INDEX(NOTA[QTY],Sheet1!A:A)/IF(Table17[[#This Row],[Column5]]=0,1,Table17[[#This Row],[Column5]]),"")</f>
        <v/>
      </c>
      <c r="P140" t="str">
        <f>IF(Table17[[#This Row],[Column2]]="","",INDEX(NOTA[STN],Sheet1!A:A))</f>
        <v/>
      </c>
      <c r="Q140" s="5" t="str">
        <f>INDEX([3]!db[QTY B],Table17[[#This Row],[//db]])</f>
        <v>144</v>
      </c>
      <c r="R140" t="str">
        <f>INDEX([3]!db[STN B],Table17[[#This Row],[//db]])</f>
        <v>LSN</v>
      </c>
      <c r="S140" s="40" t="str">
        <f>IF(Table17[[#This Row],[Column5]]=0,Table17[[#This Row],[Column23]]/Table17[[#This Row],[Column224]],"")</f>
        <v/>
      </c>
      <c r="T140" s="4">
        <f>IF(Table17[[#This Row],[Column222]]="",Table17[[#This Row],[Column5]],Table17[[#This Row],[Column222]])</f>
        <v>1</v>
      </c>
      <c r="U140" s="4" t="str">
        <f>IF(Table17[[#This Row],[Column223]]=Table17[[#This Row],[Column24]],"",1)</f>
        <v/>
      </c>
      <c r="V140" s="5">
        <f>IF(Table17[[#This Row],[isis]]="",IF(Table17[[#This Row],[isin]]="",Table17[[#This Row],[Column2]],Table17[[#This Row],[isin]]),Table17[[#This Row],[isis]])</f>
        <v>144</v>
      </c>
      <c r="W140" s="3" t="str">
        <f>IF(Table17[[#This Row],[isis]]="",IF(Table17[[#This Row],[isin]]="",Table17[[#This Row],[Column22]],Table17[[#This Row],[stnn]]),Table17[[#This Row],[stns]])</f>
        <v>LSN</v>
      </c>
      <c r="X140" s="5">
        <f>IF(Table17[[#This Row],[Column2222]]&lt;1,Table17[[#This Row],[Column23]],Table17[[#This Row],[Column23]]*Table17[[#This Row],[Column2222]])</f>
        <v>144</v>
      </c>
      <c r="Y140" s="3" t="str">
        <f>Table17[[#This Row],[Column24]]</f>
        <v>LSN</v>
      </c>
      <c r="Z140" s="5">
        <f>Table17[[#This Row],[HRG / CTN]]/Table17[[#This Row],[Column23]]</f>
        <v>18250</v>
      </c>
      <c r="AA140" s="42" t="str">
        <f>IF(INDEX(NOTA[DISC 1],Sheet1!A:A)=0,"",INDEX(NOTA[DISC 1],Sheet1!A:A))</f>
        <v/>
      </c>
      <c r="AB140" s="42" t="str">
        <f>IF(INDEX(NOTA[DISC 2],Sheet1!A:A)=0,"",INDEX(NOTA[DISC 2],Sheet1!A:A))</f>
        <v/>
      </c>
      <c r="AC14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0" s="43">
        <f>INDEX(NOTA[HARGA/ CTN_H],Sheet1!A:A)</f>
        <v>2628000</v>
      </c>
      <c r="AE140" s="43">
        <f>IF(Table17[[#This Row],[DISC 3]]="",Table17[[#This Row],[HRG / CTN]],Table17[[#This Row],[HRG / CTN]]-(Table17[[#This Row],[HRG / CTN]]*Table17[[#This Row],[DISC 3]]))</f>
        <v>2628000</v>
      </c>
      <c r="AF140" s="14">
        <f>IF(Table17[[#This Row],[Column2222]]&lt;1,Table17[[#This Row],[Column9]],Table17[[#This Row],[Column9]]*Table17[[#This Row],[Column2222]])</f>
        <v>2628000</v>
      </c>
      <c r="AG140" s="43">
        <f ca="1">IF(NOT(AL141=Table17[[#This Row],[Column6]]),SUMIF(Table17[Column6],Table17[[#This Row],[Column6]],Table17[Column7]),"")</f>
        <v>49116000</v>
      </c>
      <c r="AH140" s="44">
        <f ca="1">INDEX(NOTA[TGL_H],Sheet1!A:A)</f>
        <v>45461</v>
      </c>
      <c r="AI140" s="44">
        <f ca="1">INDEX(NOTA[TGL.NOTA_H],Sheet1!A:A)</f>
        <v>45456</v>
      </c>
      <c r="AK140" t="str">
        <f>IF(INDEX(NOTA[KETERANGAN],A:A)="","",INDEX(NOTA[KETERANGAN],A:A))</f>
        <v/>
      </c>
      <c r="AL140" t="str">
        <f ca="1">INDEX(NOTA[NO.NOTA_H],Sheet1!A:A)</f>
        <v>JUF310/24</v>
      </c>
      <c r="AM140">
        <f>INDEX(NOTA[KETERANGAN],Sheet1!A:A)</f>
        <v>0</v>
      </c>
      <c r="AN140" t="str">
        <f ca="1">INDEX(NOTA[SUPPLIER_H],Sheet1!A:A)</f>
        <v>DB STATIONERY</v>
      </c>
      <c r="AO140" t="e">
        <f t="shared" ca="1" si="5"/>
        <v>#N/A</v>
      </c>
      <c r="AR140" s="45" t="s">
        <v>193</v>
      </c>
    </row>
    <row r="141" spans="1:44">
      <c r="A141" s="3">
        <v>174</v>
      </c>
      <c r="C141">
        <f>INDEX(NOTA[//DB],Sheet1!A:A)</f>
        <v>2173</v>
      </c>
      <c r="D141">
        <f>MATCH(Table17[[#This Row],[//db]],[3]!Table2[\\],0)</f>
        <v>2049</v>
      </c>
      <c r="E141" t="str">
        <f>INDEX([3]!db[NB NOTA],Table17[[#This Row],[//db]])</f>
        <v>MEK PENSIL TIZO G-9001A</v>
      </c>
      <c r="F141" t="str">
        <f>INDEX([3]!db[NB BM],Table17[[#This Row],[//db]])</f>
        <v>Mechpen Tizo G-9001 A</v>
      </c>
      <c r="G141" t="str">
        <f>_xlfn.IFNA(INDEX([3]!Table2[NAMA],Table17[[#This Row],[dbconcat]]),"")</f>
        <v>MECHPEN TIZO G 9001 A</v>
      </c>
      <c r="H141" t="str">
        <f>INDEX([3]!Table2[KODE BARANG],Table17[[#This Row],[dbconcat]])</f>
        <v>MEC-TZ7</v>
      </c>
      <c r="I141" t="str">
        <f>IF(Table17[[#This Row],[Column3]]="",UPPER(Table17[[#This Row],[Column1]]),Table17[[#This Row],[Column3]])</f>
        <v>MECHPEN TIZO G 9001 A</v>
      </c>
      <c r="J141">
        <f>INDEX(NOTA[C],Sheet1!A:A)</f>
        <v>2</v>
      </c>
      <c r="K141">
        <f>IF(OR(Table17[[#This Row],[Column5]]=0,Table17[[#This Row],[Column3]]=""),"",INDEX([3]!Table2[ISI2],Table17[[#This Row],[dbconcat]]))</f>
        <v>144</v>
      </c>
      <c r="L141" t="str">
        <f>IF(Table17[[#This Row],[isis]]="","",INDEX([3]!Table2[SATUAN3],Table17[[#This Row],[dbconcat]]))</f>
        <v>LSN</v>
      </c>
      <c r="M141" t="str">
        <f>IF(Table17[[#This Row],[Column5]]=0,"",IF(Table17[[#This Row],[Column3]]="",INDEX([3]!db[QTY B],Table17[[#This Row],[//db]]),""))</f>
        <v/>
      </c>
      <c r="N141" t="str">
        <f>IF(Table17[[#This Row],[isin]]="","",INDEX([3]!db[STN B],Table17[[#This Row],[//db]]))</f>
        <v/>
      </c>
      <c r="O141" t="str">
        <f>IF(AND(Table17[[#This Row],[isis]]="",Table17[[#This Row],[isin]]=""),INDEX(NOTA[QTY],Sheet1!A:A)/IF(Table17[[#This Row],[Column5]]=0,1,Table17[[#This Row],[Column5]]),"")</f>
        <v/>
      </c>
      <c r="P141" t="str">
        <f>IF(Table17[[#This Row],[Column2]]="","",INDEX(NOTA[STN],Sheet1!A:A))</f>
        <v/>
      </c>
      <c r="Q141" s="5" t="str">
        <f>INDEX([3]!db[QTY B],Table17[[#This Row],[//db]])</f>
        <v>144</v>
      </c>
      <c r="R141" t="str">
        <f>INDEX([3]!db[STN B],Table17[[#This Row],[//db]])</f>
        <v>LSN</v>
      </c>
      <c r="S141" s="40" t="str">
        <f>IF(Table17[[#This Row],[Column5]]=0,Table17[[#This Row],[Column23]]/Table17[[#This Row],[Column224]],"")</f>
        <v/>
      </c>
      <c r="T141" s="4">
        <f>IF(Table17[[#This Row],[Column222]]="",Table17[[#This Row],[Column5]],Table17[[#This Row],[Column222]])</f>
        <v>2</v>
      </c>
      <c r="U141" s="4" t="str">
        <f>IF(Table17[[#This Row],[Column223]]=Table17[[#This Row],[Column24]],"",1)</f>
        <v/>
      </c>
      <c r="V141" s="5">
        <f>IF(Table17[[#This Row],[isis]]="",IF(Table17[[#This Row],[isin]]="",Table17[[#This Row],[Column2]],Table17[[#This Row],[isin]]),Table17[[#This Row],[isis]])</f>
        <v>144</v>
      </c>
      <c r="W141" s="3" t="str">
        <f>IF(Table17[[#This Row],[isis]]="",IF(Table17[[#This Row],[isin]]="",Table17[[#This Row],[Column22]],Table17[[#This Row],[stnn]]),Table17[[#This Row],[stns]])</f>
        <v>LSN</v>
      </c>
      <c r="X141" s="5">
        <f>IF(Table17[[#This Row],[Column2222]]&lt;1,Table17[[#This Row],[Column23]],Table17[[#This Row],[Column23]]*Table17[[#This Row],[Column2222]])</f>
        <v>288</v>
      </c>
      <c r="Y141" s="3" t="str">
        <f>Table17[[#This Row],[Column24]]</f>
        <v>LSN</v>
      </c>
      <c r="Z141" s="5">
        <f>Table17[[#This Row],[HRG / CTN]]/Table17[[#This Row],[Column23]]</f>
        <v>13250</v>
      </c>
      <c r="AA141" s="42" t="str">
        <f>IF(INDEX(NOTA[DISC 1],Sheet1!A:A)=0,"",INDEX(NOTA[DISC 1],Sheet1!A:A))</f>
        <v/>
      </c>
      <c r="AB141" s="42" t="str">
        <f>IF(INDEX(NOTA[DISC 2],Sheet1!A:A)=0,"",INDEX(NOTA[DISC 2],Sheet1!A:A))</f>
        <v/>
      </c>
      <c r="AC14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1" s="43">
        <f>INDEX(NOTA[HARGA/ CTN_H],Sheet1!A:A)</f>
        <v>1908000</v>
      </c>
      <c r="AE141" s="43">
        <f>IF(Table17[[#This Row],[DISC 3]]="",Table17[[#This Row],[HRG / CTN]],Table17[[#This Row],[HRG / CTN]]-(Table17[[#This Row],[HRG / CTN]]*Table17[[#This Row],[DISC 3]]))</f>
        <v>1908000</v>
      </c>
      <c r="AF141" s="14">
        <f>IF(Table17[[#This Row],[Column2222]]&lt;1,Table17[[#This Row],[Column9]],Table17[[#This Row],[Column9]]*Table17[[#This Row],[Column2222]])</f>
        <v>3816000</v>
      </c>
      <c r="AG141" s="43" t="str">
        <f ca="1">IF(NOT(AL142=Table17[[#This Row],[Column6]]),SUMIF(Table17[Column6],Table17[[#This Row],[Column6]],Table17[Column7]),"")</f>
        <v/>
      </c>
      <c r="AH141" s="44">
        <f ca="1">INDEX(NOTA[TGL_H],Sheet1!A:A)</f>
        <v>45461</v>
      </c>
      <c r="AI141" s="44">
        <f ca="1">INDEX(NOTA[TGL.NOTA_H],Sheet1!A:A)</f>
        <v>45456</v>
      </c>
      <c r="AK141" t="str">
        <f>IF(INDEX(NOTA[KETERANGAN],A:A)="","",INDEX(NOTA[KETERANGAN],A:A))</f>
        <v/>
      </c>
      <c r="AL141" t="str">
        <f ca="1">INDEX(NOTA[NO.NOTA_H],Sheet1!A:A)</f>
        <v>JUF309/24</v>
      </c>
      <c r="AM141">
        <f>INDEX(NOTA[KETERANGAN],Sheet1!A:A)</f>
        <v>0</v>
      </c>
      <c r="AN141" t="str">
        <f ca="1">INDEX(NOTA[SUPPLIER_H],Sheet1!A:A)</f>
        <v>DB STATIONERY</v>
      </c>
      <c r="AO141" t="e">
        <f t="shared" ca="1" si="5"/>
        <v>#N/A</v>
      </c>
      <c r="AR141" s="45" t="s">
        <v>193</v>
      </c>
    </row>
    <row r="142" spans="1:44">
      <c r="A142" s="3">
        <v>175</v>
      </c>
      <c r="C142">
        <f>INDEX(NOTA[//DB],Sheet1!A:A)</f>
        <v>3388</v>
      </c>
      <c r="D142">
        <f>MATCH(Table17[[#This Row],[//db]],[3]!Table2[\\],0)</f>
        <v>2052</v>
      </c>
      <c r="E142" t="str">
        <f>INDEX([3]!db[NB NOTA],Table17[[#This Row],[//db]])</f>
        <v>MEK TIZO G-9005A</v>
      </c>
      <c r="F142" t="str">
        <f>INDEX([3]!db[NB BM],Table17[[#This Row],[//db]])</f>
        <v>MECHPEN TIZO G 9005 A</v>
      </c>
      <c r="G142" t="str">
        <f>_xlfn.IFNA(INDEX([3]!Table2[NAMA],Table17[[#This Row],[dbconcat]]),"")</f>
        <v>MECHPEN TIZO G 9005 A</v>
      </c>
      <c r="H142" t="str">
        <f>INDEX([3]!Table2[KODE BARANG],Table17[[#This Row],[dbconcat]])</f>
        <v>MEC-TZ11</v>
      </c>
      <c r="I142" t="str">
        <f>IF(Table17[[#This Row],[Column3]]="",UPPER(Table17[[#This Row],[Column1]]),Table17[[#This Row],[Column3]])</f>
        <v>MECHPEN TIZO G 9005 A</v>
      </c>
      <c r="J142">
        <f>INDEX(NOTA[C],Sheet1!A:A)</f>
        <v>2</v>
      </c>
      <c r="K142">
        <f>IF(OR(Table17[[#This Row],[Column5]]=0,Table17[[#This Row],[Column3]]=""),"",INDEX([3]!Table2[ISI2],Table17[[#This Row],[dbconcat]]))</f>
        <v>144</v>
      </c>
      <c r="L142" t="str">
        <f>IF(Table17[[#This Row],[isis]]="","",INDEX([3]!Table2[SATUAN3],Table17[[#This Row],[dbconcat]]))</f>
        <v>LSN</v>
      </c>
      <c r="M142" t="str">
        <f>IF(Table17[[#This Row],[Column5]]=0,"",IF(Table17[[#This Row],[Column3]]="",INDEX([3]!db[QTY B],Table17[[#This Row],[//db]]),""))</f>
        <v/>
      </c>
      <c r="N142" t="str">
        <f>IF(Table17[[#This Row],[isin]]="","",INDEX([3]!db[STN B],Table17[[#This Row],[//db]]))</f>
        <v/>
      </c>
      <c r="O142" t="str">
        <f>IF(AND(Table17[[#This Row],[isis]]="",Table17[[#This Row],[isin]]=""),INDEX(NOTA[QTY],Sheet1!A:A)/IF(Table17[[#This Row],[Column5]]=0,1,Table17[[#This Row],[Column5]]),"")</f>
        <v/>
      </c>
      <c r="P142" t="str">
        <f>IF(Table17[[#This Row],[Column2]]="","",INDEX(NOTA[STN],Sheet1!A:A))</f>
        <v/>
      </c>
      <c r="Q142" s="5" t="str">
        <f>INDEX([3]!db[QTY B],Table17[[#This Row],[//db]])</f>
        <v>144</v>
      </c>
      <c r="R142" t="str">
        <f>INDEX([3]!db[STN B],Table17[[#This Row],[//db]])</f>
        <v>LSN</v>
      </c>
      <c r="S142" s="40" t="str">
        <f>IF(Table17[[#This Row],[Column5]]=0,Table17[[#This Row],[Column23]]/Table17[[#This Row],[Column224]],"")</f>
        <v/>
      </c>
      <c r="T142" s="4">
        <f>IF(Table17[[#This Row],[Column222]]="",Table17[[#This Row],[Column5]],Table17[[#This Row],[Column222]])</f>
        <v>2</v>
      </c>
      <c r="U142" s="4" t="str">
        <f>IF(Table17[[#This Row],[Column223]]=Table17[[#This Row],[Column24]],"",1)</f>
        <v/>
      </c>
      <c r="V142" s="5">
        <f>IF(Table17[[#This Row],[isis]]="",IF(Table17[[#This Row],[isin]]="",Table17[[#This Row],[Column2]],Table17[[#This Row],[isin]]),Table17[[#This Row],[isis]])</f>
        <v>144</v>
      </c>
      <c r="W142" s="3" t="str">
        <f>IF(Table17[[#This Row],[isis]]="",IF(Table17[[#This Row],[isin]]="",Table17[[#This Row],[Column22]],Table17[[#This Row],[stnn]]),Table17[[#This Row],[stns]])</f>
        <v>LSN</v>
      </c>
      <c r="X142" s="5">
        <f>IF(Table17[[#This Row],[Column2222]]&lt;1,Table17[[#This Row],[Column23]],Table17[[#This Row],[Column23]]*Table17[[#This Row],[Column2222]])</f>
        <v>288</v>
      </c>
      <c r="Y142" s="3" t="str">
        <f>Table17[[#This Row],[Column24]]</f>
        <v>LSN</v>
      </c>
      <c r="Z142" s="5">
        <f>Table17[[#This Row],[HRG / CTN]]/Table17[[#This Row],[Column23]]</f>
        <v>13250</v>
      </c>
      <c r="AA142" s="42" t="str">
        <f>IF(INDEX(NOTA[DISC 1],Sheet1!A:A)=0,"",INDEX(NOTA[DISC 1],Sheet1!A:A))</f>
        <v/>
      </c>
      <c r="AB142" s="42" t="str">
        <f>IF(INDEX(NOTA[DISC 2],Sheet1!A:A)=0,"",INDEX(NOTA[DISC 2],Sheet1!A:A))</f>
        <v/>
      </c>
      <c r="AC14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2" s="43">
        <f>INDEX(NOTA[HARGA/ CTN_H],Sheet1!A:A)</f>
        <v>1908000</v>
      </c>
      <c r="AE142" s="43">
        <f>IF(Table17[[#This Row],[DISC 3]]="",Table17[[#This Row],[HRG / CTN]],Table17[[#This Row],[HRG / CTN]]-(Table17[[#This Row],[HRG / CTN]]*Table17[[#This Row],[DISC 3]]))</f>
        <v>1908000</v>
      </c>
      <c r="AF142" s="14">
        <f>IF(Table17[[#This Row],[Column2222]]&lt;1,Table17[[#This Row],[Column9]],Table17[[#This Row],[Column9]]*Table17[[#This Row],[Column2222]])</f>
        <v>3816000</v>
      </c>
      <c r="AG142" s="43" t="str">
        <f ca="1">IF(NOT(AL143=Table17[[#This Row],[Column6]]),SUMIF(Table17[Column6],Table17[[#This Row],[Column6]],Table17[Column7]),"")</f>
        <v/>
      </c>
      <c r="AH142" s="44">
        <f ca="1">INDEX(NOTA[TGL_H],Sheet1!A:A)</f>
        <v>45461</v>
      </c>
      <c r="AI142" s="44">
        <f ca="1">INDEX(NOTA[TGL.NOTA_H],Sheet1!A:A)</f>
        <v>45456</v>
      </c>
      <c r="AK142" t="str">
        <f>IF(INDEX(NOTA[KETERANGAN],A:A)="","",INDEX(NOTA[KETERANGAN],A:A))</f>
        <v/>
      </c>
      <c r="AL142" t="str">
        <f ca="1">INDEX(NOTA[NO.NOTA_H],Sheet1!A:A)</f>
        <v>JUF309/24</v>
      </c>
      <c r="AM142">
        <f>INDEX(NOTA[KETERANGAN],Sheet1!A:A)</f>
        <v>0</v>
      </c>
      <c r="AN142" t="str">
        <f ca="1">INDEX(NOTA[SUPPLIER_H],Sheet1!A:A)</f>
        <v>DB STATIONERY</v>
      </c>
      <c r="AO142" t="e">
        <f t="shared" ca="1" si="5"/>
        <v>#N/A</v>
      </c>
      <c r="AR142" s="45" t="s">
        <v>193</v>
      </c>
    </row>
    <row r="143" spans="1:44">
      <c r="A143" s="3">
        <v>176</v>
      </c>
      <c r="C143">
        <f>INDEX(NOTA[//DB],Sheet1!A:A)</f>
        <v>3389</v>
      </c>
      <c r="D143">
        <f>MATCH(Table17[[#This Row],[//db]],[3]!Table2[\\],0)</f>
        <v>2055</v>
      </c>
      <c r="E143" t="str">
        <f>INDEX([3]!db[NB NOTA],Table17[[#This Row],[//db]])</f>
        <v>MEK PENSIL TIZO G-9006A</v>
      </c>
      <c r="F143" t="str">
        <f>INDEX([3]!db[NB BM],Table17[[#This Row],[//db]])</f>
        <v>MECHPEN TIZO G 9006 A</v>
      </c>
      <c r="G143" t="str">
        <f>_xlfn.IFNA(INDEX([3]!Table2[NAMA],Table17[[#This Row],[dbconcat]]),"")</f>
        <v>MECHPEN TIZO G 9006 A</v>
      </c>
      <c r="H143" t="str">
        <f>INDEX([3]!Table2[KODE BARANG],Table17[[#This Row],[dbconcat]])</f>
        <v>MEC-TZ14</v>
      </c>
      <c r="I143" t="str">
        <f>IF(Table17[[#This Row],[Column3]]="",UPPER(Table17[[#This Row],[Column1]]),Table17[[#This Row],[Column3]])</f>
        <v>MECHPEN TIZO G 9006 A</v>
      </c>
      <c r="J143">
        <f>INDEX(NOTA[C],Sheet1!A:A)</f>
        <v>2</v>
      </c>
      <c r="K143">
        <f>IF(OR(Table17[[#This Row],[Column5]]=0,Table17[[#This Row],[Column3]]=""),"",INDEX([3]!Table2[ISI2],Table17[[#This Row],[dbconcat]]))</f>
        <v>144</v>
      </c>
      <c r="L143" t="str">
        <f>IF(Table17[[#This Row],[isis]]="","",INDEX([3]!Table2[SATUAN3],Table17[[#This Row],[dbconcat]]))</f>
        <v>LSN</v>
      </c>
      <c r="M143" t="str">
        <f>IF(Table17[[#This Row],[Column5]]=0,"",IF(Table17[[#This Row],[Column3]]="",INDEX([3]!db[QTY B],Table17[[#This Row],[//db]]),""))</f>
        <v/>
      </c>
      <c r="N143" t="str">
        <f>IF(Table17[[#This Row],[isin]]="","",INDEX([3]!db[STN B],Table17[[#This Row],[//db]]))</f>
        <v/>
      </c>
      <c r="O143" t="str">
        <f>IF(AND(Table17[[#This Row],[isis]]="",Table17[[#This Row],[isin]]=""),INDEX(NOTA[QTY],Sheet1!A:A)/IF(Table17[[#This Row],[Column5]]=0,1,Table17[[#This Row],[Column5]]),"")</f>
        <v/>
      </c>
      <c r="P143" t="str">
        <f>IF(Table17[[#This Row],[Column2]]="","",INDEX(NOTA[STN],Sheet1!A:A))</f>
        <v/>
      </c>
      <c r="Q143" s="5" t="str">
        <f>INDEX([3]!db[QTY B],Table17[[#This Row],[//db]])</f>
        <v>144</v>
      </c>
      <c r="R143" t="str">
        <f>INDEX([3]!db[STN B],Table17[[#This Row],[//db]])</f>
        <v>LSN</v>
      </c>
      <c r="S143" s="40" t="str">
        <f>IF(Table17[[#This Row],[Column5]]=0,Table17[[#This Row],[Column23]]/Table17[[#This Row],[Column224]],"")</f>
        <v/>
      </c>
      <c r="T143" s="4">
        <f>IF(Table17[[#This Row],[Column222]]="",Table17[[#This Row],[Column5]],Table17[[#This Row],[Column222]])</f>
        <v>2</v>
      </c>
      <c r="U143" s="4" t="str">
        <f>IF(Table17[[#This Row],[Column223]]=Table17[[#This Row],[Column24]],"",1)</f>
        <v/>
      </c>
      <c r="V143" s="5">
        <f>IF(Table17[[#This Row],[isis]]="",IF(Table17[[#This Row],[isin]]="",Table17[[#This Row],[Column2]],Table17[[#This Row],[isin]]),Table17[[#This Row],[isis]])</f>
        <v>144</v>
      </c>
      <c r="W143" s="3" t="str">
        <f>IF(Table17[[#This Row],[isis]]="",IF(Table17[[#This Row],[isin]]="",Table17[[#This Row],[Column22]],Table17[[#This Row],[stnn]]),Table17[[#This Row],[stns]])</f>
        <v>LSN</v>
      </c>
      <c r="X143" s="5">
        <f>IF(Table17[[#This Row],[Column2222]]&lt;1,Table17[[#This Row],[Column23]],Table17[[#This Row],[Column23]]*Table17[[#This Row],[Column2222]])</f>
        <v>288</v>
      </c>
      <c r="Y143" s="3" t="str">
        <f>Table17[[#This Row],[Column24]]</f>
        <v>LSN</v>
      </c>
      <c r="Z143" s="5">
        <f>Table17[[#This Row],[HRG / CTN]]/Table17[[#This Row],[Column23]]</f>
        <v>13250</v>
      </c>
      <c r="AA143" s="42" t="str">
        <f>IF(INDEX(NOTA[DISC 1],Sheet1!A:A)=0,"",INDEX(NOTA[DISC 1],Sheet1!A:A))</f>
        <v/>
      </c>
      <c r="AB143" s="42" t="str">
        <f>IF(INDEX(NOTA[DISC 2],Sheet1!A:A)=0,"",INDEX(NOTA[DISC 2],Sheet1!A:A))</f>
        <v/>
      </c>
      <c r="AC14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3" s="43">
        <f>INDEX(NOTA[HARGA/ CTN_H],Sheet1!A:A)</f>
        <v>1908000</v>
      </c>
      <c r="AE143" s="43">
        <f>IF(Table17[[#This Row],[DISC 3]]="",Table17[[#This Row],[HRG / CTN]],Table17[[#This Row],[HRG / CTN]]-(Table17[[#This Row],[HRG / CTN]]*Table17[[#This Row],[DISC 3]]))</f>
        <v>1908000</v>
      </c>
      <c r="AF143" s="14">
        <f>IF(Table17[[#This Row],[Column2222]]&lt;1,Table17[[#This Row],[Column9]],Table17[[#This Row],[Column9]]*Table17[[#This Row],[Column2222]])</f>
        <v>3816000</v>
      </c>
      <c r="AG143" s="43" t="str">
        <f ca="1">IF(NOT(AL144=Table17[[#This Row],[Column6]]),SUMIF(Table17[Column6],Table17[[#This Row],[Column6]],Table17[Column7]),"")</f>
        <v/>
      </c>
      <c r="AH143" s="44">
        <f ca="1">INDEX(NOTA[TGL_H],Sheet1!A:A)</f>
        <v>45461</v>
      </c>
      <c r="AI143" s="44">
        <f ca="1">INDEX(NOTA[TGL.NOTA_H],Sheet1!A:A)</f>
        <v>45456</v>
      </c>
      <c r="AK143" t="str">
        <f>IF(INDEX(NOTA[KETERANGAN],A:A)="","",INDEX(NOTA[KETERANGAN],A:A))</f>
        <v/>
      </c>
      <c r="AL143" t="str">
        <f ca="1">INDEX(NOTA[NO.NOTA_H],Sheet1!A:A)</f>
        <v>JUF309/24</v>
      </c>
      <c r="AM143">
        <f>INDEX(NOTA[KETERANGAN],Sheet1!A:A)</f>
        <v>0</v>
      </c>
      <c r="AN143" t="str">
        <f ca="1">INDEX(NOTA[SUPPLIER_H],Sheet1!A:A)</f>
        <v>DB STATIONERY</v>
      </c>
      <c r="AO143" t="e">
        <f t="shared" ca="1" si="5"/>
        <v>#N/A</v>
      </c>
      <c r="AR143" s="45" t="s">
        <v>193</v>
      </c>
    </row>
    <row r="144" spans="1:44">
      <c r="A144" s="3">
        <v>177</v>
      </c>
      <c r="C144">
        <f>INDEX(NOTA[//DB],Sheet1!A:A)</f>
        <v>3390</v>
      </c>
      <c r="D144">
        <f>MATCH(Table17[[#This Row],[//db]],[3]!Table2[\\],0)</f>
        <v>2062</v>
      </c>
      <c r="E144" t="str">
        <f>INDEX([3]!db[NB NOTA],Table17[[#This Row],[//db]])</f>
        <v>MEK PENSIL TIZO G9007A</v>
      </c>
      <c r="F144" t="str">
        <f>INDEX([3]!db[NB BM],Table17[[#This Row],[//db]])</f>
        <v>MECHPEN TIZO G 9007 A</v>
      </c>
      <c r="G144" t="str">
        <f>_xlfn.IFNA(INDEX([3]!Table2[NAMA],Table17[[#This Row],[dbconcat]]),"")</f>
        <v>MECHPEN TIZO G 9007 A</v>
      </c>
      <c r="H144" t="str">
        <f>INDEX([3]!Table2[KODE BARANG],Table17[[#This Row],[dbconcat]])</f>
        <v>MEC-TZ24</v>
      </c>
      <c r="I144" t="str">
        <f>IF(Table17[[#This Row],[Column3]]="",UPPER(Table17[[#This Row],[Column1]]),Table17[[#This Row],[Column3]])</f>
        <v>MECHPEN TIZO G 9007 A</v>
      </c>
      <c r="J144">
        <f>INDEX(NOTA[C],Sheet1!A:A)</f>
        <v>2</v>
      </c>
      <c r="K144">
        <f>IF(OR(Table17[[#This Row],[Column5]]=0,Table17[[#This Row],[Column3]]=""),"",INDEX([3]!Table2[ISI2],Table17[[#This Row],[dbconcat]]))</f>
        <v>144</v>
      </c>
      <c r="L144" t="str">
        <f>IF(Table17[[#This Row],[isis]]="","",INDEX([3]!Table2[SATUAN3],Table17[[#This Row],[dbconcat]]))</f>
        <v>LSN</v>
      </c>
      <c r="M144" t="str">
        <f>IF(Table17[[#This Row],[Column5]]=0,"",IF(Table17[[#This Row],[Column3]]="",INDEX([3]!db[QTY B],Table17[[#This Row],[//db]]),""))</f>
        <v/>
      </c>
      <c r="N144" t="str">
        <f>IF(Table17[[#This Row],[isin]]="","",INDEX([3]!db[STN B],Table17[[#This Row],[//db]]))</f>
        <v/>
      </c>
      <c r="O144" t="str">
        <f>IF(AND(Table17[[#This Row],[isis]]="",Table17[[#This Row],[isin]]=""),INDEX(NOTA[QTY],Sheet1!A:A)/IF(Table17[[#This Row],[Column5]]=0,1,Table17[[#This Row],[Column5]]),"")</f>
        <v/>
      </c>
      <c r="P144" t="str">
        <f>IF(Table17[[#This Row],[Column2]]="","",INDEX(NOTA[STN],Sheet1!A:A))</f>
        <v/>
      </c>
      <c r="Q144" s="5" t="str">
        <f>INDEX([3]!db[QTY B],Table17[[#This Row],[//db]])</f>
        <v>144</v>
      </c>
      <c r="R144" t="str">
        <f>INDEX([3]!db[STN B],Table17[[#This Row],[//db]])</f>
        <v>LSN</v>
      </c>
      <c r="S144" s="40" t="str">
        <f>IF(Table17[[#This Row],[Column5]]=0,Table17[[#This Row],[Column23]]/Table17[[#This Row],[Column224]],"")</f>
        <v/>
      </c>
      <c r="T144" s="4">
        <f>IF(Table17[[#This Row],[Column222]]="",Table17[[#This Row],[Column5]],Table17[[#This Row],[Column222]])</f>
        <v>2</v>
      </c>
      <c r="U144" s="4" t="str">
        <f>IF(Table17[[#This Row],[Column223]]=Table17[[#This Row],[Column24]],"",1)</f>
        <v/>
      </c>
      <c r="V144" s="5">
        <f>IF(Table17[[#This Row],[isis]]="",IF(Table17[[#This Row],[isin]]="",Table17[[#This Row],[Column2]],Table17[[#This Row],[isin]]),Table17[[#This Row],[isis]])</f>
        <v>144</v>
      </c>
      <c r="W144" s="3" t="str">
        <f>IF(Table17[[#This Row],[isis]]="",IF(Table17[[#This Row],[isin]]="",Table17[[#This Row],[Column22]],Table17[[#This Row],[stnn]]),Table17[[#This Row],[stns]])</f>
        <v>LSN</v>
      </c>
      <c r="X144" s="5">
        <f>IF(Table17[[#This Row],[Column2222]]&lt;1,Table17[[#This Row],[Column23]],Table17[[#This Row],[Column23]]*Table17[[#This Row],[Column2222]])</f>
        <v>288</v>
      </c>
      <c r="Y144" s="3" t="str">
        <f>Table17[[#This Row],[Column24]]</f>
        <v>LSN</v>
      </c>
      <c r="Z144" s="5">
        <f>Table17[[#This Row],[HRG / CTN]]/Table17[[#This Row],[Column23]]</f>
        <v>13250</v>
      </c>
      <c r="AA144" s="42" t="str">
        <f>IF(INDEX(NOTA[DISC 1],Sheet1!A:A)=0,"",INDEX(NOTA[DISC 1],Sheet1!A:A))</f>
        <v/>
      </c>
      <c r="AB144" s="42" t="str">
        <f>IF(INDEX(NOTA[DISC 2],Sheet1!A:A)=0,"",INDEX(NOTA[DISC 2],Sheet1!A:A))</f>
        <v/>
      </c>
      <c r="AC14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4" s="43">
        <f>INDEX(NOTA[HARGA/ CTN_H],Sheet1!A:A)</f>
        <v>1908000</v>
      </c>
      <c r="AE144" s="43">
        <f>IF(Table17[[#This Row],[DISC 3]]="",Table17[[#This Row],[HRG / CTN]],Table17[[#This Row],[HRG / CTN]]-(Table17[[#This Row],[HRG / CTN]]*Table17[[#This Row],[DISC 3]]))</f>
        <v>1908000</v>
      </c>
      <c r="AF144" s="14">
        <f>IF(Table17[[#This Row],[Column2222]]&lt;1,Table17[[#This Row],[Column9]],Table17[[#This Row],[Column9]]*Table17[[#This Row],[Column2222]])</f>
        <v>3816000</v>
      </c>
      <c r="AG144" s="43" t="str">
        <f ca="1">IF(NOT(AL145=Table17[[#This Row],[Column6]]),SUMIF(Table17[Column6],Table17[[#This Row],[Column6]],Table17[Column7]),"")</f>
        <v/>
      </c>
      <c r="AH144" s="44">
        <f ca="1">INDEX(NOTA[TGL_H],Sheet1!A:A)</f>
        <v>45461</v>
      </c>
      <c r="AI144" s="44">
        <f ca="1">INDEX(NOTA[TGL.NOTA_H],Sheet1!A:A)</f>
        <v>45456</v>
      </c>
      <c r="AK144" t="str">
        <f>IF(INDEX(NOTA[KETERANGAN],A:A)="","",INDEX(NOTA[KETERANGAN],A:A))</f>
        <v/>
      </c>
      <c r="AL144" t="str">
        <f ca="1">INDEX(NOTA[NO.NOTA_H],Sheet1!A:A)</f>
        <v>JUF309/24</v>
      </c>
      <c r="AM144">
        <f>INDEX(NOTA[KETERANGAN],Sheet1!A:A)</f>
        <v>0</v>
      </c>
      <c r="AN144" t="str">
        <f ca="1">INDEX(NOTA[SUPPLIER_H],Sheet1!A:A)</f>
        <v>DB STATIONERY</v>
      </c>
      <c r="AO144" t="e">
        <f t="shared" ca="1" si="5"/>
        <v>#N/A</v>
      </c>
      <c r="AR144" s="45" t="s">
        <v>195</v>
      </c>
    </row>
    <row r="145" spans="1:44">
      <c r="A145" s="3">
        <v>178</v>
      </c>
      <c r="C145">
        <f>INDEX(NOTA[//DB],Sheet1!A:A)</f>
        <v>3391</v>
      </c>
      <c r="D145">
        <f>MATCH(Table17[[#This Row],[//db]],[3]!Table2[\\],0)</f>
        <v>2056</v>
      </c>
      <c r="E145" t="str">
        <f>INDEX([3]!db[NB NOTA],Table17[[#This Row],[//db]])</f>
        <v>MEK PENSIL TIZO G-9008A</v>
      </c>
      <c r="F145" t="str">
        <f>INDEX([3]!db[NB BM],Table17[[#This Row],[//db]])</f>
        <v>MECHPEN TIZO G 9008 A</v>
      </c>
      <c r="G145" t="str">
        <f>_xlfn.IFNA(INDEX([3]!Table2[NAMA],Table17[[#This Row],[dbconcat]]),"")</f>
        <v>MECHPEN TIZO G 9008 A</v>
      </c>
      <c r="H145" t="str">
        <f>INDEX([3]!Table2[KODE BARANG],Table17[[#This Row],[dbconcat]])</f>
        <v>MEC-TZ15</v>
      </c>
      <c r="I145" t="str">
        <f>IF(Table17[[#This Row],[Column3]]="",UPPER(Table17[[#This Row],[Column1]]),Table17[[#This Row],[Column3]])</f>
        <v>MECHPEN TIZO G 9008 A</v>
      </c>
      <c r="J145">
        <f>INDEX(NOTA[C],Sheet1!A:A)</f>
        <v>2</v>
      </c>
      <c r="K145">
        <f>IF(OR(Table17[[#This Row],[Column5]]=0,Table17[[#This Row],[Column3]]=""),"",INDEX([3]!Table2[ISI2],Table17[[#This Row],[dbconcat]]))</f>
        <v>144</v>
      </c>
      <c r="L145" t="str">
        <f>IF(Table17[[#This Row],[isis]]="","",INDEX([3]!Table2[SATUAN3],Table17[[#This Row],[dbconcat]]))</f>
        <v>LSN</v>
      </c>
      <c r="M145" t="str">
        <f>IF(Table17[[#This Row],[Column5]]=0,"",IF(Table17[[#This Row],[Column3]]="",INDEX([3]!db[QTY B],Table17[[#This Row],[//db]]),""))</f>
        <v/>
      </c>
      <c r="N145" t="str">
        <f>IF(Table17[[#This Row],[isin]]="","",INDEX([3]!db[STN B],Table17[[#This Row],[//db]]))</f>
        <v/>
      </c>
      <c r="O145" t="str">
        <f>IF(AND(Table17[[#This Row],[isis]]="",Table17[[#This Row],[isin]]=""),INDEX(NOTA[QTY],Sheet1!A:A)/IF(Table17[[#This Row],[Column5]]=0,1,Table17[[#This Row],[Column5]]),"")</f>
        <v/>
      </c>
      <c r="P145" t="str">
        <f>IF(Table17[[#This Row],[Column2]]="","",INDEX(NOTA[STN],Sheet1!A:A))</f>
        <v/>
      </c>
      <c r="Q145" s="5" t="str">
        <f>INDEX([3]!db[QTY B],Table17[[#This Row],[//db]])</f>
        <v>144</v>
      </c>
      <c r="R145" t="str">
        <f>INDEX([3]!db[STN B],Table17[[#This Row],[//db]])</f>
        <v>LSN</v>
      </c>
      <c r="S145" s="40" t="str">
        <f>IF(Table17[[#This Row],[Column5]]=0,Table17[[#This Row],[Column23]]/Table17[[#This Row],[Column224]],"")</f>
        <v/>
      </c>
      <c r="T145" s="4">
        <f>IF(Table17[[#This Row],[Column222]]="",Table17[[#This Row],[Column5]],Table17[[#This Row],[Column222]])</f>
        <v>2</v>
      </c>
      <c r="U145" s="4" t="str">
        <f>IF(Table17[[#This Row],[Column223]]=Table17[[#This Row],[Column24]],"",1)</f>
        <v/>
      </c>
      <c r="V145" s="5">
        <f>IF(Table17[[#This Row],[isis]]="",IF(Table17[[#This Row],[isin]]="",Table17[[#This Row],[Column2]],Table17[[#This Row],[isin]]),Table17[[#This Row],[isis]])</f>
        <v>144</v>
      </c>
      <c r="W145" s="3" t="str">
        <f>IF(Table17[[#This Row],[isis]]="",IF(Table17[[#This Row],[isin]]="",Table17[[#This Row],[Column22]],Table17[[#This Row],[stnn]]),Table17[[#This Row],[stns]])</f>
        <v>LSN</v>
      </c>
      <c r="X145" s="5">
        <f>IF(Table17[[#This Row],[Column2222]]&lt;1,Table17[[#This Row],[Column23]],Table17[[#This Row],[Column23]]*Table17[[#This Row],[Column2222]])</f>
        <v>288</v>
      </c>
      <c r="Y145" s="3" t="str">
        <f>Table17[[#This Row],[Column24]]</f>
        <v>LSN</v>
      </c>
      <c r="Z145" s="5">
        <f>Table17[[#This Row],[HRG / CTN]]/Table17[[#This Row],[Column23]]</f>
        <v>13250</v>
      </c>
      <c r="AA145" s="42" t="str">
        <f>IF(INDEX(NOTA[DISC 1],Sheet1!A:A)=0,"",INDEX(NOTA[DISC 1],Sheet1!A:A))</f>
        <v/>
      </c>
      <c r="AB145" s="42" t="str">
        <f>IF(INDEX(NOTA[DISC 2],Sheet1!A:A)=0,"",INDEX(NOTA[DISC 2],Sheet1!A:A))</f>
        <v/>
      </c>
      <c r="AC14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5" s="43">
        <f>INDEX(NOTA[HARGA/ CTN_H],Sheet1!A:A)</f>
        <v>1908000</v>
      </c>
      <c r="AE145" s="43">
        <f>IF(Table17[[#This Row],[DISC 3]]="",Table17[[#This Row],[HRG / CTN]],Table17[[#This Row],[HRG / CTN]]-(Table17[[#This Row],[HRG / CTN]]*Table17[[#This Row],[DISC 3]]))</f>
        <v>1908000</v>
      </c>
      <c r="AF145" s="14">
        <f>IF(Table17[[#This Row],[Column2222]]&lt;1,Table17[[#This Row],[Column9]],Table17[[#This Row],[Column9]]*Table17[[#This Row],[Column2222]])</f>
        <v>3816000</v>
      </c>
      <c r="AG145" s="43" t="str">
        <f ca="1">IF(NOT(AL146=Table17[[#This Row],[Column6]]),SUMIF(Table17[Column6],Table17[[#This Row],[Column6]],Table17[Column7]),"")</f>
        <v/>
      </c>
      <c r="AH145" s="44">
        <f ca="1">INDEX(NOTA[TGL_H],Sheet1!A:A)</f>
        <v>45461</v>
      </c>
      <c r="AI145" s="44">
        <f ca="1">INDEX(NOTA[TGL.NOTA_H],Sheet1!A:A)</f>
        <v>45456</v>
      </c>
      <c r="AK145" t="str">
        <f>IF(INDEX(NOTA[KETERANGAN],A:A)="","",INDEX(NOTA[KETERANGAN],A:A))</f>
        <v/>
      </c>
      <c r="AL145" t="str">
        <f ca="1">INDEX(NOTA[NO.NOTA_H],Sheet1!A:A)</f>
        <v>JUF309/24</v>
      </c>
      <c r="AM145">
        <f>INDEX(NOTA[KETERANGAN],Sheet1!A:A)</f>
        <v>0</v>
      </c>
      <c r="AN145" t="str">
        <f ca="1">INDEX(NOTA[SUPPLIER_H],Sheet1!A:A)</f>
        <v>DB STATIONERY</v>
      </c>
      <c r="AO145" t="e">
        <f t="shared" ca="1" si="5"/>
        <v>#N/A</v>
      </c>
      <c r="AR145" s="45" t="s">
        <v>195</v>
      </c>
    </row>
    <row r="146" spans="1:44">
      <c r="A146" s="3">
        <v>179</v>
      </c>
      <c r="C146">
        <f>INDEX(NOTA[//DB],Sheet1!A:A)</f>
        <v>3392</v>
      </c>
      <c r="D146">
        <f>MATCH(Table17[[#This Row],[//db]],[3]!Table2[\\],0)</f>
        <v>2057</v>
      </c>
      <c r="E146" t="str">
        <f>INDEX([3]!db[NB NOTA],Table17[[#This Row],[//db]])</f>
        <v>MEK PENSIL TIZO G-9009A</v>
      </c>
      <c r="F146" t="str">
        <f>INDEX([3]!db[NB BM],Table17[[#This Row],[//db]])</f>
        <v>MECHPEN TIZO G 9009 A</v>
      </c>
      <c r="G146" t="str">
        <f>_xlfn.IFNA(INDEX([3]!Table2[NAMA],Table17[[#This Row],[dbconcat]]),"")</f>
        <v>MECHPEN TIZO G 9009 A</v>
      </c>
      <c r="H146" t="str">
        <f>INDEX([3]!Table2[KODE BARANG],Table17[[#This Row],[dbconcat]])</f>
        <v>MEC-TZ16</v>
      </c>
      <c r="I146" t="str">
        <f>IF(Table17[[#This Row],[Column3]]="",UPPER(Table17[[#This Row],[Column1]]),Table17[[#This Row],[Column3]])</f>
        <v>MECHPEN TIZO G 9009 A</v>
      </c>
      <c r="J146">
        <f>INDEX(NOTA[C],Sheet1!A:A)</f>
        <v>2</v>
      </c>
      <c r="K146">
        <f>IF(OR(Table17[[#This Row],[Column5]]=0,Table17[[#This Row],[Column3]]=""),"",INDEX([3]!Table2[ISI2],Table17[[#This Row],[dbconcat]]))</f>
        <v>144</v>
      </c>
      <c r="L146" t="str">
        <f>IF(Table17[[#This Row],[isis]]="","",INDEX([3]!Table2[SATUAN3],Table17[[#This Row],[dbconcat]]))</f>
        <v>LSN</v>
      </c>
      <c r="M146" t="str">
        <f>IF(Table17[[#This Row],[Column5]]=0,"",IF(Table17[[#This Row],[Column3]]="",INDEX([3]!db[QTY B],Table17[[#This Row],[//db]]),""))</f>
        <v/>
      </c>
      <c r="N146" t="str">
        <f>IF(Table17[[#This Row],[isin]]="","",INDEX([3]!db[STN B],Table17[[#This Row],[//db]]))</f>
        <v/>
      </c>
      <c r="O146" t="str">
        <f>IF(AND(Table17[[#This Row],[isis]]="",Table17[[#This Row],[isin]]=""),INDEX(NOTA[QTY],Sheet1!A:A)/IF(Table17[[#This Row],[Column5]]=0,1,Table17[[#This Row],[Column5]]),"")</f>
        <v/>
      </c>
      <c r="P146" t="str">
        <f>IF(Table17[[#This Row],[Column2]]="","",INDEX(NOTA[STN],Sheet1!A:A))</f>
        <v/>
      </c>
      <c r="Q146" s="5" t="str">
        <f>INDEX([3]!db[QTY B],Table17[[#This Row],[//db]])</f>
        <v>144</v>
      </c>
      <c r="R146" t="str">
        <f>INDEX([3]!db[STN B],Table17[[#This Row],[//db]])</f>
        <v>LSN</v>
      </c>
      <c r="S146" s="40" t="str">
        <f>IF(Table17[[#This Row],[Column5]]=0,Table17[[#This Row],[Column23]]/Table17[[#This Row],[Column224]],"")</f>
        <v/>
      </c>
      <c r="T146" s="4">
        <f>IF(Table17[[#This Row],[Column222]]="",Table17[[#This Row],[Column5]],Table17[[#This Row],[Column222]])</f>
        <v>2</v>
      </c>
      <c r="U146" s="4" t="str">
        <f>IF(Table17[[#This Row],[Column223]]=Table17[[#This Row],[Column24]],"",1)</f>
        <v/>
      </c>
      <c r="V146" s="5">
        <f>IF(Table17[[#This Row],[isis]]="",IF(Table17[[#This Row],[isin]]="",Table17[[#This Row],[Column2]],Table17[[#This Row],[isin]]),Table17[[#This Row],[isis]])</f>
        <v>144</v>
      </c>
      <c r="W146" s="3" t="str">
        <f>IF(Table17[[#This Row],[isis]]="",IF(Table17[[#This Row],[isin]]="",Table17[[#This Row],[Column22]],Table17[[#This Row],[stnn]]),Table17[[#This Row],[stns]])</f>
        <v>LSN</v>
      </c>
      <c r="X146" s="5">
        <f>IF(Table17[[#This Row],[Column2222]]&lt;1,Table17[[#This Row],[Column23]],Table17[[#This Row],[Column23]]*Table17[[#This Row],[Column2222]])</f>
        <v>288</v>
      </c>
      <c r="Y146" s="3" t="str">
        <f>Table17[[#This Row],[Column24]]</f>
        <v>LSN</v>
      </c>
      <c r="Z146" s="5">
        <f>Table17[[#This Row],[HRG / CTN]]/Table17[[#This Row],[Column23]]</f>
        <v>13250</v>
      </c>
      <c r="AA146" s="42" t="str">
        <f>IF(INDEX(NOTA[DISC 1],Sheet1!A:A)=0,"",INDEX(NOTA[DISC 1],Sheet1!A:A))</f>
        <v/>
      </c>
      <c r="AB146" s="42" t="str">
        <f>IF(INDEX(NOTA[DISC 2],Sheet1!A:A)=0,"",INDEX(NOTA[DISC 2],Sheet1!A:A))</f>
        <v/>
      </c>
      <c r="AC14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6" s="43">
        <f>INDEX(NOTA[HARGA/ CTN_H],Sheet1!A:A)</f>
        <v>1908000</v>
      </c>
      <c r="AE146" s="43">
        <f>IF(Table17[[#This Row],[DISC 3]]="",Table17[[#This Row],[HRG / CTN]],Table17[[#This Row],[HRG / CTN]]-(Table17[[#This Row],[HRG / CTN]]*Table17[[#This Row],[DISC 3]]))</f>
        <v>1908000</v>
      </c>
      <c r="AF146" s="14">
        <f>IF(Table17[[#This Row],[Column2222]]&lt;1,Table17[[#This Row],[Column9]],Table17[[#This Row],[Column9]]*Table17[[#This Row],[Column2222]])</f>
        <v>3816000</v>
      </c>
      <c r="AG146" s="43" t="str">
        <f ca="1">IF(NOT(AL147=Table17[[#This Row],[Column6]]),SUMIF(Table17[Column6],Table17[[#This Row],[Column6]],Table17[Column7]),"")</f>
        <v/>
      </c>
      <c r="AH146" s="44">
        <f ca="1">INDEX(NOTA[TGL_H],Sheet1!A:A)</f>
        <v>45461</v>
      </c>
      <c r="AI146" s="44">
        <f ca="1">INDEX(NOTA[TGL.NOTA_H],Sheet1!A:A)</f>
        <v>45456</v>
      </c>
      <c r="AK146" t="str">
        <f>IF(INDEX(NOTA[KETERANGAN],A:A)="","",INDEX(NOTA[KETERANGAN],A:A))</f>
        <v/>
      </c>
      <c r="AL146" t="str">
        <f ca="1">INDEX(NOTA[NO.NOTA_H],Sheet1!A:A)</f>
        <v>JUF309/24</v>
      </c>
      <c r="AM146">
        <f>INDEX(NOTA[KETERANGAN],Sheet1!A:A)</f>
        <v>0</v>
      </c>
      <c r="AN146" t="str">
        <f ca="1">INDEX(NOTA[SUPPLIER_H],Sheet1!A:A)</f>
        <v>DB STATIONERY</v>
      </c>
      <c r="AO146" t="e">
        <f t="shared" ca="1" si="5"/>
        <v>#N/A</v>
      </c>
      <c r="AR146" s="45" t="s">
        <v>195</v>
      </c>
    </row>
    <row r="147" spans="1:44">
      <c r="A147" s="3">
        <v>181</v>
      </c>
      <c r="C147">
        <f>INDEX(NOTA[//DB],Sheet1!A:A)</f>
        <v>2188</v>
      </c>
      <c r="D147">
        <f>MATCH(Table17[[#This Row],[//db]],[3]!Table2[\\],0)</f>
        <v>2059</v>
      </c>
      <c r="E147" t="str">
        <f>INDEX([3]!db[NB NOTA],Table17[[#This Row],[//db]])</f>
        <v>P MEK TIZI 24 PCS  G09302</v>
      </c>
      <c r="F147" t="str">
        <f>INDEX([3]!db[NB BM],Table17[[#This Row],[//db]])</f>
        <v>MECHPEN TIZO G 09302 24 PCS</v>
      </c>
      <c r="G147" t="str">
        <f>_xlfn.IFNA(INDEX([3]!Table2[NAMA],Table17[[#This Row],[dbconcat]]),"")</f>
        <v>MECHPEN TIZO G 09302 24PCS</v>
      </c>
      <c r="H147" t="str">
        <f>INDEX([3]!Table2[KODE BARANG],Table17[[#This Row],[dbconcat]])</f>
        <v>MEC-TZ18</v>
      </c>
      <c r="I147" t="str">
        <f>IF(Table17[[#This Row],[Column3]]="",UPPER(Table17[[#This Row],[Column1]]),Table17[[#This Row],[Column3]])</f>
        <v>MECHPEN TIZO G 09302 24PCS</v>
      </c>
      <c r="J147">
        <f>INDEX(NOTA[C],Sheet1!A:A)</f>
        <v>1</v>
      </c>
      <c r="K147">
        <f>IF(OR(Table17[[#This Row],[Column5]]=0,Table17[[#This Row],[Column3]]=""),"",INDEX([3]!Table2[ISI2],Table17[[#This Row],[dbconcat]]))</f>
        <v>72</v>
      </c>
      <c r="L147" t="str">
        <f>IF(Table17[[#This Row],[isis]]="","",INDEX([3]!Table2[SATUAN3],Table17[[#This Row],[dbconcat]]))</f>
        <v>PAK/BOX</v>
      </c>
      <c r="M147" t="str">
        <f>IF(Table17[[#This Row],[Column5]]=0,"",IF(Table17[[#This Row],[Column3]]="",INDEX([3]!db[QTY B],Table17[[#This Row],[//db]]),""))</f>
        <v/>
      </c>
      <c r="N147" t="str">
        <f>IF(Table17[[#This Row],[isin]]="","",INDEX([3]!db[STN B],Table17[[#This Row],[//db]]))</f>
        <v/>
      </c>
      <c r="O147" t="str">
        <f>IF(AND(Table17[[#This Row],[isis]]="",Table17[[#This Row],[isin]]=""),INDEX(NOTA[QTY],Sheet1!A:A)/IF(Table17[[#This Row],[Column5]]=0,1,Table17[[#This Row],[Column5]]),"")</f>
        <v/>
      </c>
      <c r="P147" t="str">
        <f>IF(Table17[[#This Row],[Column2]]="","",INDEX(NOTA[STN],Sheet1!A:A))</f>
        <v/>
      </c>
      <c r="Q147" s="5" t="str">
        <f>INDEX([3]!db[QTY B],Table17[[#This Row],[//db]])</f>
        <v>72</v>
      </c>
      <c r="R147" t="str">
        <f>INDEX([3]!db[STN B],Table17[[#This Row],[//db]])</f>
        <v>PAK</v>
      </c>
      <c r="S147" s="40" t="str">
        <f>IF(Table17[[#This Row],[Column5]]=0,Table17[[#This Row],[Column23]]/Table17[[#This Row],[Column224]],"")</f>
        <v/>
      </c>
      <c r="T147" s="4">
        <f>IF(Table17[[#This Row],[Column222]]="",Table17[[#This Row],[Column5]],Table17[[#This Row],[Column222]])</f>
        <v>1</v>
      </c>
      <c r="U147" s="4">
        <f>IF(Table17[[#This Row],[Column223]]=Table17[[#This Row],[Column24]],"",1)</f>
        <v>1</v>
      </c>
      <c r="V147" s="5">
        <f>IF(Table17[[#This Row],[isis]]="",IF(Table17[[#This Row],[isin]]="",Table17[[#This Row],[Column2]],Table17[[#This Row],[isin]]),Table17[[#This Row],[isis]])</f>
        <v>72</v>
      </c>
      <c r="W147" s="3" t="str">
        <f>IF(Table17[[#This Row],[isis]]="",IF(Table17[[#This Row],[isin]]="",Table17[[#This Row],[Column22]],Table17[[#This Row],[stnn]]),Table17[[#This Row],[stns]])</f>
        <v>PAK/BOX</v>
      </c>
      <c r="X147" s="5">
        <f>IF(Table17[[#This Row],[Column2222]]&lt;1,Table17[[#This Row],[Column23]],Table17[[#This Row],[Column23]]*Table17[[#This Row],[Column2222]])</f>
        <v>72</v>
      </c>
      <c r="Y147" s="3" t="str">
        <f>Table17[[#This Row],[Column24]]</f>
        <v>PAK/BOX</v>
      </c>
      <c r="Z147" s="5">
        <f>Table17[[#This Row],[HRG / CTN]]/Table17[[#This Row],[Column23]]</f>
        <v>26500</v>
      </c>
      <c r="AA147" s="42" t="str">
        <f>IF(INDEX(NOTA[DISC 1],Sheet1!A:A)=0,"",INDEX(NOTA[DISC 1],Sheet1!A:A))</f>
        <v/>
      </c>
      <c r="AB147" s="42" t="str">
        <f>IF(INDEX(NOTA[DISC 2],Sheet1!A:A)=0,"",INDEX(NOTA[DISC 2],Sheet1!A:A))</f>
        <v/>
      </c>
      <c r="AC14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7" s="43">
        <f>INDEX(NOTA[HARGA/ CTN_H],Sheet1!A:A)</f>
        <v>1908000</v>
      </c>
      <c r="AE147" s="43">
        <f>IF(Table17[[#This Row],[DISC 3]]="",Table17[[#This Row],[HRG / CTN]],Table17[[#This Row],[HRG / CTN]]-(Table17[[#This Row],[HRG / CTN]]*Table17[[#This Row],[DISC 3]]))</f>
        <v>1908000</v>
      </c>
      <c r="AF147" s="14">
        <f>IF(Table17[[#This Row],[Column2222]]&lt;1,Table17[[#This Row],[Column9]],Table17[[#This Row],[Column9]]*Table17[[#This Row],[Column2222]])</f>
        <v>1908000</v>
      </c>
      <c r="AG147" s="43" t="str">
        <f ca="1">IF(NOT(AL148=Table17[[#This Row],[Column6]]),SUMIF(Table17[Column6],Table17[[#This Row],[Column6]],Table17[Column7]),"")</f>
        <v/>
      </c>
      <c r="AH147" s="44">
        <f ca="1">INDEX(NOTA[TGL_H],Sheet1!A:A)</f>
        <v>45461</v>
      </c>
      <c r="AI147" s="44">
        <f ca="1">INDEX(NOTA[TGL.NOTA_H],Sheet1!A:A)</f>
        <v>45456</v>
      </c>
      <c r="AK147" t="str">
        <f>IF(INDEX(NOTA[KETERANGAN],A:A)="","",INDEX(NOTA[KETERANGAN],A:A))</f>
        <v/>
      </c>
      <c r="AL147" t="str">
        <f ca="1">INDEX(NOTA[NO.NOTA_H],Sheet1!A:A)</f>
        <v>JUF309/24</v>
      </c>
      <c r="AM147">
        <f>INDEX(NOTA[KETERANGAN],Sheet1!A:A)</f>
        <v>0</v>
      </c>
      <c r="AN147" t="str">
        <f ca="1">INDEX(NOTA[SUPPLIER_H],Sheet1!A:A)</f>
        <v>DB STATIONERY</v>
      </c>
      <c r="AO147" t="e">
        <f t="shared" ca="1" si="5"/>
        <v>#N/A</v>
      </c>
      <c r="AR147" s="45" t="s">
        <v>195</v>
      </c>
    </row>
    <row r="148" spans="1:44">
      <c r="A148" s="3">
        <v>182</v>
      </c>
      <c r="C148">
        <f>INDEX(NOTA[//DB],Sheet1!A:A)</f>
        <v>3396</v>
      </c>
      <c r="D148">
        <f>MATCH(Table17[[#This Row],[//db]],[3]!Table2[\\],0)</f>
        <v>2060</v>
      </c>
      <c r="E148" t="str">
        <f>INDEX([3]!db[NB NOTA],Table17[[#This Row],[//db]])</f>
        <v>MEK PENSIL TIZI 24PCS G09305</v>
      </c>
      <c r="F148" t="str">
        <f>INDEX([3]!db[NB BM],Table17[[#This Row],[//db]])</f>
        <v>MECHPEN TIZO G 09305 24PCS</v>
      </c>
      <c r="G148" t="str">
        <f>_xlfn.IFNA(INDEX([3]!Table2[NAMA],Table17[[#This Row],[dbconcat]]),"")</f>
        <v>MECHPEN TIZO G 09305 24PCS</v>
      </c>
      <c r="H148" t="str">
        <f>INDEX([3]!Table2[KODE BARANG],Table17[[#This Row],[dbconcat]])</f>
        <v>MEC-TZ19</v>
      </c>
      <c r="I148" t="str">
        <f>IF(Table17[[#This Row],[Column3]]="",UPPER(Table17[[#This Row],[Column1]]),Table17[[#This Row],[Column3]])</f>
        <v>MECHPEN TIZO G 09305 24PCS</v>
      </c>
      <c r="J148">
        <f>INDEX(NOTA[C],Sheet1!A:A)</f>
        <v>1</v>
      </c>
      <c r="K148">
        <f>IF(OR(Table17[[#This Row],[Column5]]=0,Table17[[#This Row],[Column3]]=""),"",INDEX([3]!Table2[ISI2],Table17[[#This Row],[dbconcat]]))</f>
        <v>72</v>
      </c>
      <c r="L148" t="str">
        <f>IF(Table17[[#This Row],[isis]]="","",INDEX([3]!Table2[SATUAN3],Table17[[#This Row],[dbconcat]]))</f>
        <v>PAK/BOX</v>
      </c>
      <c r="M148" t="str">
        <f>IF(Table17[[#This Row],[Column5]]=0,"",IF(Table17[[#This Row],[Column3]]="",INDEX([3]!db[QTY B],Table17[[#This Row],[//db]]),""))</f>
        <v/>
      </c>
      <c r="N148" t="str">
        <f>IF(Table17[[#This Row],[isin]]="","",INDEX([3]!db[STN B],Table17[[#This Row],[//db]]))</f>
        <v/>
      </c>
      <c r="O148" t="str">
        <f>IF(AND(Table17[[#This Row],[isis]]="",Table17[[#This Row],[isin]]=""),INDEX(NOTA[QTY],Sheet1!A:A)/IF(Table17[[#This Row],[Column5]]=0,1,Table17[[#This Row],[Column5]]),"")</f>
        <v/>
      </c>
      <c r="P148" t="str">
        <f>IF(Table17[[#This Row],[Column2]]="","",INDEX(NOTA[STN],Sheet1!A:A))</f>
        <v/>
      </c>
      <c r="Q148" s="5" t="str">
        <f>INDEX([3]!db[QTY B],Table17[[#This Row],[//db]])</f>
        <v>72</v>
      </c>
      <c r="R148" t="str">
        <f>INDEX([3]!db[STN B],Table17[[#This Row],[//db]])</f>
        <v>PCS</v>
      </c>
      <c r="S148" s="40" t="str">
        <f>IF(Table17[[#This Row],[Column5]]=0,Table17[[#This Row],[Column23]]/Table17[[#This Row],[Column224]],"")</f>
        <v/>
      </c>
      <c r="T148" s="4">
        <f>IF(Table17[[#This Row],[Column222]]="",Table17[[#This Row],[Column5]],Table17[[#This Row],[Column222]])</f>
        <v>1</v>
      </c>
      <c r="U148" s="4">
        <f>IF(Table17[[#This Row],[Column223]]=Table17[[#This Row],[Column24]],"",1)</f>
        <v>1</v>
      </c>
      <c r="V148" s="5">
        <f>IF(Table17[[#This Row],[isis]]="",IF(Table17[[#This Row],[isin]]="",Table17[[#This Row],[Column2]],Table17[[#This Row],[isin]]),Table17[[#This Row],[isis]])</f>
        <v>72</v>
      </c>
      <c r="W148" s="3" t="str">
        <f>IF(Table17[[#This Row],[isis]]="",IF(Table17[[#This Row],[isin]]="",Table17[[#This Row],[Column22]],Table17[[#This Row],[stnn]]),Table17[[#This Row],[stns]])</f>
        <v>PAK/BOX</v>
      </c>
      <c r="X148" s="5">
        <f>IF(Table17[[#This Row],[Column2222]]&lt;1,Table17[[#This Row],[Column23]],Table17[[#This Row],[Column23]]*Table17[[#This Row],[Column2222]])</f>
        <v>72</v>
      </c>
      <c r="Y148" s="3" t="str">
        <f>Table17[[#This Row],[Column24]]</f>
        <v>PAK/BOX</v>
      </c>
      <c r="Z148" s="5">
        <f>Table17[[#This Row],[HRG / CTN]]/Table17[[#This Row],[Column23]]</f>
        <v>26500</v>
      </c>
      <c r="AA148" s="42" t="str">
        <f>IF(INDEX(NOTA[DISC 1],Sheet1!A:A)=0,"",INDEX(NOTA[DISC 1],Sheet1!A:A))</f>
        <v/>
      </c>
      <c r="AB148" s="42" t="str">
        <f>IF(INDEX(NOTA[DISC 2],Sheet1!A:A)=0,"",INDEX(NOTA[DISC 2],Sheet1!A:A))</f>
        <v/>
      </c>
      <c r="AC14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8" s="43">
        <f>INDEX(NOTA[HARGA/ CTN_H],Sheet1!A:A)</f>
        <v>1908000</v>
      </c>
      <c r="AE148" s="43">
        <f>IF(Table17[[#This Row],[DISC 3]]="",Table17[[#This Row],[HRG / CTN]],Table17[[#This Row],[HRG / CTN]]-(Table17[[#This Row],[HRG / CTN]]*Table17[[#This Row],[DISC 3]]))</f>
        <v>1908000</v>
      </c>
      <c r="AF148" s="14">
        <f>IF(Table17[[#This Row],[Column2222]]&lt;1,Table17[[#This Row],[Column9]],Table17[[#This Row],[Column9]]*Table17[[#This Row],[Column2222]])</f>
        <v>1908000</v>
      </c>
      <c r="AG148" s="43" t="str">
        <f ca="1">IF(NOT(AL149=Table17[[#This Row],[Column6]]),SUMIF(Table17[Column6],Table17[[#This Row],[Column6]],Table17[Column7]),"")</f>
        <v/>
      </c>
      <c r="AH148" s="44">
        <f ca="1">INDEX(NOTA[TGL_H],Sheet1!A:A)</f>
        <v>45461</v>
      </c>
      <c r="AI148" s="44">
        <f ca="1">INDEX(NOTA[TGL.NOTA_H],Sheet1!A:A)</f>
        <v>45456</v>
      </c>
      <c r="AK148" t="str">
        <f>IF(INDEX(NOTA[KETERANGAN],A:A)="","",INDEX(NOTA[KETERANGAN],A:A))</f>
        <v/>
      </c>
      <c r="AL148" t="str">
        <f ca="1">INDEX(NOTA[NO.NOTA_H],Sheet1!A:A)</f>
        <v>JUF309/24</v>
      </c>
      <c r="AM148">
        <f>INDEX(NOTA[KETERANGAN],Sheet1!A:A)</f>
        <v>0</v>
      </c>
      <c r="AN148" t="str">
        <f ca="1">INDEX(NOTA[SUPPLIER_H],Sheet1!A:A)</f>
        <v>DB STATIONERY</v>
      </c>
      <c r="AO148" t="e">
        <f t="shared" ca="1" si="5"/>
        <v>#N/A</v>
      </c>
      <c r="AR148" s="45" t="s">
        <v>195</v>
      </c>
    </row>
    <row r="149" spans="1:44">
      <c r="A149" s="3">
        <v>183</v>
      </c>
      <c r="C149">
        <f>INDEX(NOTA[//DB],Sheet1!A:A)</f>
        <v>2165</v>
      </c>
      <c r="D149">
        <f>MATCH(Table17[[#This Row],[//db]],[3]!Table2[\\],0)</f>
        <v>2061</v>
      </c>
      <c r="E149" t="str">
        <f>INDEX([3]!db[NB NOTA],Table17[[#This Row],[//db]])</f>
        <v>MEK PENSIL 24 PCS G 09308</v>
      </c>
      <c r="F149" t="str">
        <f>INDEX([3]!db[NB BM],Table17[[#This Row],[//db]])</f>
        <v>MECHPEN TIZO G 09308 24PCS</v>
      </c>
      <c r="G149" t="str">
        <f>_xlfn.IFNA(INDEX([3]!Table2[NAMA],Table17[[#This Row],[dbconcat]]),"")</f>
        <v>MECHPEN TIZO G 09308 24PCS</v>
      </c>
      <c r="H149" t="str">
        <f>INDEX([3]!Table2[KODE BARANG],Table17[[#This Row],[dbconcat]])</f>
        <v>MEC-TZ20</v>
      </c>
      <c r="I149" t="str">
        <f>IF(Table17[[#This Row],[Column3]]="",UPPER(Table17[[#This Row],[Column1]]),Table17[[#This Row],[Column3]])</f>
        <v>MECHPEN TIZO G 09308 24PCS</v>
      </c>
      <c r="J149">
        <f>INDEX(NOTA[C],Sheet1!A:A)</f>
        <v>1</v>
      </c>
      <c r="K149">
        <f>IF(OR(Table17[[#This Row],[Column5]]=0,Table17[[#This Row],[Column3]]=""),"",INDEX([3]!Table2[ISI2],Table17[[#This Row],[dbconcat]]))</f>
        <v>72</v>
      </c>
      <c r="L149" t="str">
        <f>IF(Table17[[#This Row],[isis]]="","",INDEX([3]!Table2[SATUAN3],Table17[[#This Row],[dbconcat]]))</f>
        <v>PAK/BOX</v>
      </c>
      <c r="M149" t="str">
        <f>IF(Table17[[#This Row],[Column5]]=0,"",IF(Table17[[#This Row],[Column3]]="",INDEX([3]!db[QTY B],Table17[[#This Row],[//db]]),""))</f>
        <v/>
      </c>
      <c r="N149" t="str">
        <f>IF(Table17[[#This Row],[isin]]="","",INDEX([3]!db[STN B],Table17[[#This Row],[//db]]))</f>
        <v/>
      </c>
      <c r="O149" t="str">
        <f>IF(AND(Table17[[#This Row],[isis]]="",Table17[[#This Row],[isin]]=""),INDEX(NOTA[QTY],Sheet1!A:A)/IF(Table17[[#This Row],[Column5]]=0,1,Table17[[#This Row],[Column5]]),"")</f>
        <v/>
      </c>
      <c r="P149" t="str">
        <f>IF(Table17[[#This Row],[Column2]]="","",INDEX(NOTA[STN],Sheet1!A:A))</f>
        <v/>
      </c>
      <c r="Q149" s="5" t="str">
        <f>INDEX([3]!db[QTY B],Table17[[#This Row],[//db]])</f>
        <v>72</v>
      </c>
      <c r="R149" t="str">
        <f>INDEX([3]!db[STN B],Table17[[#This Row],[//db]])</f>
        <v>PCS</v>
      </c>
      <c r="S149" s="40" t="str">
        <f>IF(Table17[[#This Row],[Column5]]=0,Table17[[#This Row],[Column23]]/Table17[[#This Row],[Column224]],"")</f>
        <v/>
      </c>
      <c r="T149" s="4">
        <f>IF(Table17[[#This Row],[Column222]]="",Table17[[#This Row],[Column5]],Table17[[#This Row],[Column222]])</f>
        <v>1</v>
      </c>
      <c r="U149" s="4">
        <f>IF(Table17[[#This Row],[Column223]]=Table17[[#This Row],[Column24]],"",1)</f>
        <v>1</v>
      </c>
      <c r="V149" s="5">
        <f>IF(Table17[[#This Row],[isis]]="",IF(Table17[[#This Row],[isin]]="",Table17[[#This Row],[Column2]],Table17[[#This Row],[isin]]),Table17[[#This Row],[isis]])</f>
        <v>72</v>
      </c>
      <c r="W149" s="3" t="str">
        <f>IF(Table17[[#This Row],[isis]]="",IF(Table17[[#This Row],[isin]]="",Table17[[#This Row],[Column22]],Table17[[#This Row],[stnn]]),Table17[[#This Row],[stns]])</f>
        <v>PAK/BOX</v>
      </c>
      <c r="X149" s="5">
        <f>IF(Table17[[#This Row],[Column2222]]&lt;1,Table17[[#This Row],[Column23]],Table17[[#This Row],[Column23]]*Table17[[#This Row],[Column2222]])</f>
        <v>72</v>
      </c>
      <c r="Y149" s="3" t="str">
        <f>Table17[[#This Row],[Column24]]</f>
        <v>PAK/BOX</v>
      </c>
      <c r="Z149" s="5">
        <f>Table17[[#This Row],[HRG / CTN]]/Table17[[#This Row],[Column23]]</f>
        <v>26500</v>
      </c>
      <c r="AA149" s="42" t="str">
        <f>IF(INDEX(NOTA[DISC 1],Sheet1!A:A)=0,"",INDEX(NOTA[DISC 1],Sheet1!A:A))</f>
        <v/>
      </c>
      <c r="AB149" s="42" t="str">
        <f>IF(INDEX(NOTA[DISC 2],Sheet1!A:A)=0,"",INDEX(NOTA[DISC 2],Sheet1!A:A))</f>
        <v/>
      </c>
      <c r="AC14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9" s="43">
        <f>INDEX(NOTA[HARGA/ CTN_H],Sheet1!A:A)</f>
        <v>1908000</v>
      </c>
      <c r="AE149" s="43">
        <f>IF(Table17[[#This Row],[DISC 3]]="",Table17[[#This Row],[HRG / CTN]],Table17[[#This Row],[HRG / CTN]]-(Table17[[#This Row],[HRG / CTN]]*Table17[[#This Row],[DISC 3]]))</f>
        <v>1908000</v>
      </c>
      <c r="AF149" s="14">
        <f>IF(Table17[[#This Row],[Column2222]]&lt;1,Table17[[#This Row],[Column9]],Table17[[#This Row],[Column9]]*Table17[[#This Row],[Column2222]])</f>
        <v>1908000</v>
      </c>
      <c r="AG149" s="43" t="str">
        <f ca="1">IF(NOT(AL150=Table17[[#This Row],[Column6]]),SUMIF(Table17[Column6],Table17[[#This Row],[Column6]],Table17[Column7]),"")</f>
        <v/>
      </c>
      <c r="AH149" s="44">
        <f ca="1">INDEX(NOTA[TGL_H],Sheet1!A:A)</f>
        <v>45461</v>
      </c>
      <c r="AI149" s="44">
        <f ca="1">INDEX(NOTA[TGL.NOTA_H],Sheet1!A:A)</f>
        <v>45456</v>
      </c>
      <c r="AK149" t="str">
        <f>IF(INDEX(NOTA[KETERANGAN],A:A)="","",INDEX(NOTA[KETERANGAN],A:A))</f>
        <v/>
      </c>
      <c r="AL149" t="str">
        <f ca="1">INDEX(NOTA[NO.NOTA_H],Sheet1!A:A)</f>
        <v>JUF309/24</v>
      </c>
      <c r="AM149">
        <f>INDEX(NOTA[KETERANGAN],Sheet1!A:A)</f>
        <v>0</v>
      </c>
      <c r="AN149" t="str">
        <f ca="1">INDEX(NOTA[SUPPLIER_H],Sheet1!A:A)</f>
        <v>DB STATIONERY</v>
      </c>
      <c r="AO149" t="e">
        <f t="shared" ca="1" si="5"/>
        <v>#N/A</v>
      </c>
      <c r="AR149" s="45" t="s">
        <v>195</v>
      </c>
    </row>
    <row r="150" spans="1:44">
      <c r="A150" s="3">
        <v>184</v>
      </c>
      <c r="C150">
        <f>INDEX(NOTA[//DB],Sheet1!A:A)</f>
        <v>3397</v>
      </c>
      <c r="D150">
        <f>MATCH(Table17[[#This Row],[//db]],[3]!Table2[\\],0)</f>
        <v>2069</v>
      </c>
      <c r="E150" t="str">
        <f>INDEX([3]!db[NB NOTA],Table17[[#This Row],[//db]])</f>
        <v>MEK PENSIL TIZI 24 PCS G09310</v>
      </c>
      <c r="F150" t="str">
        <f>INDEX([3]!db[NB BM],Table17[[#This Row],[//db]])</f>
        <v>MECHPEN TIZO G 09310 24PCS</v>
      </c>
      <c r="G150" t="str">
        <f>_xlfn.IFNA(INDEX([3]!Table2[NAMA],Table17[[#This Row],[dbconcat]]),"")</f>
        <v>MECHPEN TIZO G 09310 24PCS</v>
      </c>
      <c r="H150" t="str">
        <f>INDEX([3]!Table2[KODE BARANG],Table17[[#This Row],[dbconcat]])</f>
        <v>MEC-TZ22</v>
      </c>
      <c r="I150" t="str">
        <f>IF(Table17[[#This Row],[Column3]]="",UPPER(Table17[[#This Row],[Column1]]),Table17[[#This Row],[Column3]])</f>
        <v>MECHPEN TIZO G 09310 24PCS</v>
      </c>
      <c r="J150">
        <f>INDEX(NOTA[C],Sheet1!A:A)</f>
        <v>1</v>
      </c>
      <c r="K150">
        <f>IF(OR(Table17[[#This Row],[Column5]]=0,Table17[[#This Row],[Column3]]=""),"",INDEX([3]!Table2[ISI2],Table17[[#This Row],[dbconcat]]))</f>
        <v>72</v>
      </c>
      <c r="L150" t="str">
        <f>IF(Table17[[#This Row],[isis]]="","",INDEX([3]!Table2[SATUAN3],Table17[[#This Row],[dbconcat]]))</f>
        <v>PAK/BOX</v>
      </c>
      <c r="M150" t="str">
        <f>IF(Table17[[#This Row],[Column5]]=0,"",IF(Table17[[#This Row],[Column3]]="",INDEX([3]!db[QTY B],Table17[[#This Row],[//db]]),""))</f>
        <v/>
      </c>
      <c r="N150" t="str">
        <f>IF(Table17[[#This Row],[isin]]="","",INDEX([3]!db[STN B],Table17[[#This Row],[//db]]))</f>
        <v/>
      </c>
      <c r="O150" t="str">
        <f>IF(AND(Table17[[#This Row],[isis]]="",Table17[[#This Row],[isin]]=""),INDEX(NOTA[QTY],Sheet1!A:A)/IF(Table17[[#This Row],[Column5]]=0,1,Table17[[#This Row],[Column5]]),"")</f>
        <v/>
      </c>
      <c r="P150" t="str">
        <f>IF(Table17[[#This Row],[Column2]]="","",INDEX(NOTA[STN],Sheet1!A:A))</f>
        <v/>
      </c>
      <c r="Q150" s="5" t="str">
        <f>INDEX([3]!db[QTY B],Table17[[#This Row],[//db]])</f>
        <v>72</v>
      </c>
      <c r="R150" t="str">
        <f>INDEX([3]!db[STN B],Table17[[#This Row],[//db]])</f>
        <v>PCS</v>
      </c>
      <c r="S150" s="40" t="str">
        <f>IF(Table17[[#This Row],[Column5]]=0,Table17[[#This Row],[Column23]]/Table17[[#This Row],[Column224]],"")</f>
        <v/>
      </c>
      <c r="T150" s="4">
        <f>IF(Table17[[#This Row],[Column222]]="",Table17[[#This Row],[Column5]],Table17[[#This Row],[Column222]])</f>
        <v>1</v>
      </c>
      <c r="U150" s="4">
        <f>IF(Table17[[#This Row],[Column223]]=Table17[[#This Row],[Column24]],"",1)</f>
        <v>1</v>
      </c>
      <c r="V150" s="5">
        <f>IF(Table17[[#This Row],[isis]]="",IF(Table17[[#This Row],[isin]]="",Table17[[#This Row],[Column2]],Table17[[#This Row],[isin]]),Table17[[#This Row],[isis]])</f>
        <v>72</v>
      </c>
      <c r="W150" s="3" t="str">
        <f>IF(Table17[[#This Row],[isis]]="",IF(Table17[[#This Row],[isin]]="",Table17[[#This Row],[Column22]],Table17[[#This Row],[stnn]]),Table17[[#This Row],[stns]])</f>
        <v>PAK/BOX</v>
      </c>
      <c r="X150" s="5">
        <f>IF(Table17[[#This Row],[Column2222]]&lt;1,Table17[[#This Row],[Column23]],Table17[[#This Row],[Column23]]*Table17[[#This Row],[Column2222]])</f>
        <v>72</v>
      </c>
      <c r="Y150" s="3" t="str">
        <f>Table17[[#This Row],[Column24]]</f>
        <v>PAK/BOX</v>
      </c>
      <c r="Z150" s="5">
        <f>Table17[[#This Row],[HRG / CTN]]/Table17[[#This Row],[Column23]]</f>
        <v>26500</v>
      </c>
      <c r="AA150" s="42" t="str">
        <f>IF(INDEX(NOTA[DISC 1],Sheet1!A:A)=0,"",INDEX(NOTA[DISC 1],Sheet1!A:A))</f>
        <v/>
      </c>
      <c r="AB150" s="42" t="str">
        <f>IF(INDEX(NOTA[DISC 2],Sheet1!A:A)=0,"",INDEX(NOTA[DISC 2],Sheet1!A:A))</f>
        <v/>
      </c>
      <c r="AC15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0" s="43">
        <f>INDEX(NOTA[HARGA/ CTN_H],Sheet1!A:A)</f>
        <v>1908000</v>
      </c>
      <c r="AE150" s="43">
        <f>IF(Table17[[#This Row],[DISC 3]]="",Table17[[#This Row],[HRG / CTN]],Table17[[#This Row],[HRG / CTN]]-(Table17[[#This Row],[HRG / CTN]]*Table17[[#This Row],[DISC 3]]))</f>
        <v>1908000</v>
      </c>
      <c r="AF150" s="14">
        <f>IF(Table17[[#This Row],[Column2222]]&lt;1,Table17[[#This Row],[Column9]],Table17[[#This Row],[Column9]]*Table17[[#This Row],[Column2222]])</f>
        <v>1908000</v>
      </c>
      <c r="AG150" s="43" t="str">
        <f ca="1">IF(NOT(AL151=Table17[[#This Row],[Column6]]),SUMIF(Table17[Column6],Table17[[#This Row],[Column6]],Table17[Column7]),"")</f>
        <v/>
      </c>
      <c r="AH150" s="44">
        <f ca="1">INDEX(NOTA[TGL_H],Sheet1!A:A)</f>
        <v>45461</v>
      </c>
      <c r="AI150" s="44">
        <f ca="1">INDEX(NOTA[TGL.NOTA_H],Sheet1!A:A)</f>
        <v>45456</v>
      </c>
      <c r="AK150" t="str">
        <f>IF(INDEX(NOTA[KETERANGAN],A:A)="","",INDEX(NOTA[KETERANGAN],A:A))</f>
        <v/>
      </c>
      <c r="AL150" t="str">
        <f ca="1">INDEX(NOTA[NO.NOTA_H],Sheet1!A:A)</f>
        <v>JUF309/24</v>
      </c>
      <c r="AM150">
        <f>INDEX(NOTA[KETERANGAN],Sheet1!A:A)</f>
        <v>0</v>
      </c>
      <c r="AN150" t="str">
        <f ca="1">INDEX(NOTA[SUPPLIER_H],Sheet1!A:A)</f>
        <v>DB STATIONERY</v>
      </c>
      <c r="AO150" t="e">
        <f t="shared" ref="AO150:AO181" ca="1" si="6">MATCH(AL:AL,AR:AR,0)</f>
        <v>#N/A</v>
      </c>
      <c r="AR150" s="45" t="s">
        <v>195</v>
      </c>
    </row>
    <row r="151" spans="1:44">
      <c r="A151" s="3">
        <v>185</v>
      </c>
      <c r="C151">
        <f>INDEX(NOTA[//DB],Sheet1!A:A)</f>
        <v>2189</v>
      </c>
      <c r="D151">
        <f>MATCH(Table17[[#This Row],[//db]],[3]!Table2[\\],0)</f>
        <v>2063</v>
      </c>
      <c r="E151" t="str">
        <f>INDEX([3]!db[NB NOTA],Table17[[#This Row],[//db]])</f>
        <v>MEP PENSIL TIZI 24PCS G09312</v>
      </c>
      <c r="F151" t="str">
        <f>INDEX([3]!db[NB BM],Table17[[#This Row],[//db]])</f>
        <v>MECHPEN TIZO G 09312 24PCS</v>
      </c>
      <c r="G151" t="str">
        <f>_xlfn.IFNA(INDEX([3]!Table2[NAMA],Table17[[#This Row],[dbconcat]]),"")</f>
        <v>MECHPEN TIZO G 09312 (24PCS)</v>
      </c>
      <c r="H151" t="str">
        <f>INDEX([3]!Table2[KODE BARANG],Table17[[#This Row],[dbconcat]])</f>
        <v>MEC-TZ25</v>
      </c>
      <c r="I151" t="str">
        <f>IF(Table17[[#This Row],[Column3]]="",UPPER(Table17[[#This Row],[Column1]]),Table17[[#This Row],[Column3]])</f>
        <v>MECHPEN TIZO G 09312 (24PCS)</v>
      </c>
      <c r="J151">
        <f>INDEX(NOTA[C],Sheet1!A:A)</f>
        <v>1</v>
      </c>
      <c r="K151">
        <f>IF(OR(Table17[[#This Row],[Column5]]=0,Table17[[#This Row],[Column3]]=""),"",INDEX([3]!Table2[ISI2],Table17[[#This Row],[dbconcat]]))</f>
        <v>72</v>
      </c>
      <c r="L151" t="str">
        <f>IF(Table17[[#This Row],[isis]]="","",INDEX([3]!Table2[SATUAN3],Table17[[#This Row],[dbconcat]]))</f>
        <v>PAK/BOX</v>
      </c>
      <c r="M151" t="str">
        <f>IF(Table17[[#This Row],[Column5]]=0,"",IF(Table17[[#This Row],[Column3]]="",INDEX([3]!db[QTY B],Table17[[#This Row],[//db]]),""))</f>
        <v/>
      </c>
      <c r="N151" t="str">
        <f>IF(Table17[[#This Row],[isin]]="","",INDEX([3]!db[STN B],Table17[[#This Row],[//db]]))</f>
        <v/>
      </c>
      <c r="O151" t="str">
        <f>IF(AND(Table17[[#This Row],[isis]]="",Table17[[#This Row],[isin]]=""),INDEX(NOTA[QTY],Sheet1!A:A)/IF(Table17[[#This Row],[Column5]]=0,1,Table17[[#This Row],[Column5]]),"")</f>
        <v/>
      </c>
      <c r="P151" t="str">
        <f>IF(Table17[[#This Row],[Column2]]="","",INDEX(NOTA[STN],Sheet1!A:A))</f>
        <v/>
      </c>
      <c r="Q151" s="5" t="str">
        <f>INDEX([3]!db[QTY B],Table17[[#This Row],[//db]])</f>
        <v>72</v>
      </c>
      <c r="R151" t="str">
        <f>INDEX([3]!db[STN B],Table17[[#This Row],[//db]])</f>
        <v>PAK</v>
      </c>
      <c r="S151" s="40" t="str">
        <f>IF(Table17[[#This Row],[Column5]]=0,Table17[[#This Row],[Column23]]/Table17[[#This Row],[Column224]],"")</f>
        <v/>
      </c>
      <c r="T151" s="4">
        <f>IF(Table17[[#This Row],[Column222]]="",Table17[[#This Row],[Column5]],Table17[[#This Row],[Column222]])</f>
        <v>1</v>
      </c>
      <c r="U151" s="4">
        <f>IF(Table17[[#This Row],[Column223]]=Table17[[#This Row],[Column24]],"",1)</f>
        <v>1</v>
      </c>
      <c r="V151" s="5">
        <f>IF(Table17[[#This Row],[isis]]="",IF(Table17[[#This Row],[isin]]="",Table17[[#This Row],[Column2]],Table17[[#This Row],[isin]]),Table17[[#This Row],[isis]])</f>
        <v>72</v>
      </c>
      <c r="W151" s="3" t="str">
        <f>IF(Table17[[#This Row],[isis]]="",IF(Table17[[#This Row],[isin]]="",Table17[[#This Row],[Column22]],Table17[[#This Row],[stnn]]),Table17[[#This Row],[stns]])</f>
        <v>PAK/BOX</v>
      </c>
      <c r="X151" s="5">
        <f>IF(Table17[[#This Row],[Column2222]]&lt;1,Table17[[#This Row],[Column23]],Table17[[#This Row],[Column23]]*Table17[[#This Row],[Column2222]])</f>
        <v>72</v>
      </c>
      <c r="Y151" s="3" t="str">
        <f>Table17[[#This Row],[Column24]]</f>
        <v>PAK/BOX</v>
      </c>
      <c r="Z151" s="5">
        <f>Table17[[#This Row],[HRG / CTN]]/Table17[[#This Row],[Column23]]</f>
        <v>26500</v>
      </c>
      <c r="AA151" s="42" t="str">
        <f>IF(INDEX(NOTA[DISC 1],Sheet1!A:A)=0,"",INDEX(NOTA[DISC 1],Sheet1!A:A))</f>
        <v/>
      </c>
      <c r="AB151" s="42" t="str">
        <f>IF(INDEX(NOTA[DISC 2],Sheet1!A:A)=0,"",INDEX(NOTA[DISC 2],Sheet1!A:A))</f>
        <v/>
      </c>
      <c r="AC15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1" s="43">
        <f>INDEX(NOTA[HARGA/ CTN_H],Sheet1!A:A)</f>
        <v>1908000</v>
      </c>
      <c r="AE151" s="43">
        <f>IF(Table17[[#This Row],[DISC 3]]="",Table17[[#This Row],[HRG / CTN]],Table17[[#This Row],[HRG / CTN]]-(Table17[[#This Row],[HRG / CTN]]*Table17[[#This Row],[DISC 3]]))</f>
        <v>1908000</v>
      </c>
      <c r="AF151" s="14">
        <f>IF(Table17[[#This Row],[Column2222]]&lt;1,Table17[[#This Row],[Column9]],Table17[[#This Row],[Column9]]*Table17[[#This Row],[Column2222]])</f>
        <v>1908000</v>
      </c>
      <c r="AG151" s="43" t="str">
        <f ca="1">IF(NOT(AL152=Table17[[#This Row],[Column6]]),SUMIF(Table17[Column6],Table17[[#This Row],[Column6]],Table17[Column7]),"")</f>
        <v/>
      </c>
      <c r="AH151" s="44">
        <f ca="1">INDEX(NOTA[TGL_H],Sheet1!A:A)</f>
        <v>45461</v>
      </c>
      <c r="AI151" s="44">
        <f ca="1">INDEX(NOTA[TGL.NOTA_H],Sheet1!A:A)</f>
        <v>45456</v>
      </c>
      <c r="AK151" t="str">
        <f>IF(INDEX(NOTA[KETERANGAN],A:A)="","",INDEX(NOTA[KETERANGAN],A:A))</f>
        <v/>
      </c>
      <c r="AL151" t="str">
        <f ca="1">INDEX(NOTA[NO.NOTA_H],Sheet1!A:A)</f>
        <v>JUF309/24</v>
      </c>
      <c r="AM151">
        <f>INDEX(NOTA[KETERANGAN],Sheet1!A:A)</f>
        <v>0</v>
      </c>
      <c r="AN151" t="str">
        <f ca="1">INDEX(NOTA[SUPPLIER_H],Sheet1!A:A)</f>
        <v>DB STATIONERY</v>
      </c>
      <c r="AO151" t="e">
        <f t="shared" ca="1" si="6"/>
        <v>#N/A</v>
      </c>
      <c r="AR151" s="45" t="s">
        <v>195</v>
      </c>
    </row>
    <row r="152" spans="1:44">
      <c r="A152" s="3">
        <v>186</v>
      </c>
      <c r="C152">
        <f>INDEX(NOTA[//DB],Sheet1!A:A)</f>
        <v>2190</v>
      </c>
      <c r="D152">
        <f>MATCH(Table17[[#This Row],[//db]],[3]!Table2[\\],0)</f>
        <v>2042</v>
      </c>
      <c r="E152" t="str">
        <f>INDEX([3]!db[NB NOTA],Table17[[#This Row],[//db]])</f>
        <v>MEK PENSIL 24PCS G09301</v>
      </c>
      <c r="F152" t="str">
        <f>INDEX([3]!db[NB BM],Table17[[#This Row],[//db]])</f>
        <v>MECHPEN TIZO G 09301 24PCS</v>
      </c>
      <c r="G152" t="str">
        <f>_xlfn.IFNA(INDEX([3]!Table2[NAMA],Table17[[#This Row],[dbconcat]]),"")</f>
        <v>MECHPEN TIZO G 09301 (24PCS)</v>
      </c>
      <c r="H152" t="str">
        <f>INDEX([3]!Table2[KODE BARANG],Table17[[#This Row],[dbconcat]])</f>
        <v>MEC-TZ3</v>
      </c>
      <c r="I152" t="str">
        <f>IF(Table17[[#This Row],[Column3]]="",UPPER(Table17[[#This Row],[Column1]]),Table17[[#This Row],[Column3]])</f>
        <v>MECHPEN TIZO G 09301 (24PCS)</v>
      </c>
      <c r="J152">
        <f>INDEX(NOTA[C],Sheet1!A:A)</f>
        <v>1</v>
      </c>
      <c r="K152">
        <f>IF(OR(Table17[[#This Row],[Column5]]=0,Table17[[#This Row],[Column3]]=""),"",INDEX([3]!Table2[ISI2],Table17[[#This Row],[dbconcat]]))</f>
        <v>72</v>
      </c>
      <c r="L152" t="str">
        <f>IF(Table17[[#This Row],[isis]]="","",INDEX([3]!Table2[SATUAN3],Table17[[#This Row],[dbconcat]]))</f>
        <v>PAK/BOX</v>
      </c>
      <c r="M152" t="str">
        <f>IF(Table17[[#This Row],[Column5]]=0,"",IF(Table17[[#This Row],[Column3]]="",INDEX([3]!db[QTY B],Table17[[#This Row],[//db]]),""))</f>
        <v/>
      </c>
      <c r="N152" t="str">
        <f>IF(Table17[[#This Row],[isin]]="","",INDEX([3]!db[STN B],Table17[[#This Row],[//db]]))</f>
        <v/>
      </c>
      <c r="O152" t="str">
        <f>IF(AND(Table17[[#This Row],[isis]]="",Table17[[#This Row],[isin]]=""),INDEX(NOTA[QTY],Sheet1!A:A)/IF(Table17[[#This Row],[Column5]]=0,1,Table17[[#This Row],[Column5]]),"")</f>
        <v/>
      </c>
      <c r="P152" t="str">
        <f>IF(Table17[[#This Row],[Column2]]="","",INDEX(NOTA[STN],Sheet1!A:A))</f>
        <v/>
      </c>
      <c r="Q152" s="5" t="str">
        <f>INDEX([3]!db[QTY B],Table17[[#This Row],[//db]])</f>
        <v>72</v>
      </c>
      <c r="R152" t="str">
        <f>INDEX([3]!db[STN B],Table17[[#This Row],[//db]])</f>
        <v>PAK</v>
      </c>
      <c r="S152" s="40" t="str">
        <f>IF(Table17[[#This Row],[Column5]]=0,Table17[[#This Row],[Column23]]/Table17[[#This Row],[Column224]],"")</f>
        <v/>
      </c>
      <c r="T152" s="4">
        <f>IF(Table17[[#This Row],[Column222]]="",Table17[[#This Row],[Column5]],Table17[[#This Row],[Column222]])</f>
        <v>1</v>
      </c>
      <c r="U152" s="4">
        <f>IF(Table17[[#This Row],[Column223]]=Table17[[#This Row],[Column24]],"",1)</f>
        <v>1</v>
      </c>
      <c r="V152" s="5">
        <f>IF(Table17[[#This Row],[isis]]="",IF(Table17[[#This Row],[isin]]="",Table17[[#This Row],[Column2]],Table17[[#This Row],[isin]]),Table17[[#This Row],[isis]])</f>
        <v>72</v>
      </c>
      <c r="W152" s="3" t="str">
        <f>IF(Table17[[#This Row],[isis]]="",IF(Table17[[#This Row],[isin]]="",Table17[[#This Row],[Column22]],Table17[[#This Row],[stnn]]),Table17[[#This Row],[stns]])</f>
        <v>PAK/BOX</v>
      </c>
      <c r="X152" s="5">
        <f>IF(Table17[[#This Row],[Column2222]]&lt;1,Table17[[#This Row],[Column23]],Table17[[#This Row],[Column23]]*Table17[[#This Row],[Column2222]])</f>
        <v>72</v>
      </c>
      <c r="Y152" s="3" t="str">
        <f>Table17[[#This Row],[Column24]]</f>
        <v>PAK/BOX</v>
      </c>
      <c r="Z152" s="5">
        <f>Table17[[#This Row],[HRG / CTN]]/Table17[[#This Row],[Column23]]</f>
        <v>26500</v>
      </c>
      <c r="AA152" s="42" t="str">
        <f>IF(INDEX(NOTA[DISC 1],Sheet1!A:A)=0,"",INDEX(NOTA[DISC 1],Sheet1!A:A))</f>
        <v/>
      </c>
      <c r="AB152" s="42" t="str">
        <f>IF(INDEX(NOTA[DISC 2],Sheet1!A:A)=0,"",INDEX(NOTA[DISC 2],Sheet1!A:A))</f>
        <v/>
      </c>
      <c r="AC15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2" s="43">
        <f>INDEX(NOTA[HARGA/ CTN_H],Sheet1!A:A)</f>
        <v>1908000</v>
      </c>
      <c r="AE152" s="43">
        <f>IF(Table17[[#This Row],[DISC 3]]="",Table17[[#This Row],[HRG / CTN]],Table17[[#This Row],[HRG / CTN]]-(Table17[[#This Row],[HRG / CTN]]*Table17[[#This Row],[DISC 3]]))</f>
        <v>1908000</v>
      </c>
      <c r="AF152" s="14">
        <f>IF(Table17[[#This Row],[Column2222]]&lt;1,Table17[[#This Row],[Column9]],Table17[[#This Row],[Column9]]*Table17[[#This Row],[Column2222]])</f>
        <v>1908000</v>
      </c>
      <c r="AG152" s="43" t="str">
        <f ca="1">IF(NOT(AL153=Table17[[#This Row],[Column6]]),SUMIF(Table17[Column6],Table17[[#This Row],[Column6]],Table17[Column7]),"")</f>
        <v/>
      </c>
      <c r="AH152" s="44">
        <f ca="1">INDEX(NOTA[TGL_H],Sheet1!A:A)</f>
        <v>45461</v>
      </c>
      <c r="AI152" s="44">
        <f ca="1">INDEX(NOTA[TGL.NOTA_H],Sheet1!A:A)</f>
        <v>45456</v>
      </c>
      <c r="AK152" t="str">
        <f>IF(INDEX(NOTA[KETERANGAN],A:A)="","",INDEX(NOTA[KETERANGAN],A:A))</f>
        <v/>
      </c>
      <c r="AL152" t="str">
        <f ca="1">INDEX(NOTA[NO.NOTA_H],Sheet1!A:A)</f>
        <v>JUF309/24</v>
      </c>
      <c r="AM152">
        <f>INDEX(NOTA[KETERANGAN],Sheet1!A:A)</f>
        <v>0</v>
      </c>
      <c r="AN152" t="str">
        <f ca="1">INDEX(NOTA[SUPPLIER_H],Sheet1!A:A)</f>
        <v>DB STATIONERY</v>
      </c>
      <c r="AO152" t="e">
        <f t="shared" ca="1" si="6"/>
        <v>#N/A</v>
      </c>
      <c r="AR152" s="45" t="s">
        <v>197</v>
      </c>
    </row>
    <row r="153" spans="1:44">
      <c r="A153" s="3">
        <v>187</v>
      </c>
      <c r="C153">
        <f>INDEX(NOTA[//DB],Sheet1!A:A)</f>
        <v>2191</v>
      </c>
      <c r="D153" t="e">
        <f>MATCH(Table17[[#This Row],[//db]],[3]!Table2[\\],0)</f>
        <v>#N/A</v>
      </c>
      <c r="E153" t="str">
        <f>INDEX([3]!db[NB NOTA],Table17[[#This Row],[//db]])</f>
        <v>MEK PRNSIL 24PCS G09309</v>
      </c>
      <c r="F153" t="str">
        <f>INDEX([3]!db[NB BM],Table17[[#This Row],[//db]])</f>
        <v>MECHPEN TIZO G 09309 24PCS</v>
      </c>
      <c r="G153" t="str">
        <f>_xlfn.IFNA(INDEX([3]!Table2[NAMA],Table17[[#This Row],[dbconcat]]),"")</f>
        <v/>
      </c>
      <c r="H153" t="e">
        <f>INDEX([3]!Table2[KODE BARANG],Table17[[#This Row],[dbconcat]])</f>
        <v>#N/A</v>
      </c>
      <c r="I153" t="str">
        <f>IF(Table17[[#This Row],[Column3]]="",UPPER(Table17[[#This Row],[Column1]]),Table17[[#This Row],[Column3]])</f>
        <v>MECHPEN TIZO G 09309 24PCS</v>
      </c>
      <c r="J153">
        <f>INDEX(NOTA[C],Sheet1!A:A)</f>
        <v>1</v>
      </c>
      <c r="K153" t="str">
        <f>IF(OR(Table17[[#This Row],[Column5]]=0,Table17[[#This Row],[Column3]]=""),"",INDEX([3]!Table2[ISI2],Table17[[#This Row],[dbconcat]]))</f>
        <v/>
      </c>
      <c r="L153" t="str">
        <f>IF(Table17[[#This Row],[isis]]="","",INDEX([3]!Table2[SATUAN3],Table17[[#This Row],[dbconcat]]))</f>
        <v/>
      </c>
      <c r="M153" t="str">
        <f>IF(Table17[[#This Row],[Column5]]=0,"",IF(Table17[[#This Row],[Column3]]="",INDEX([3]!db[QTY B],Table17[[#This Row],[//db]]),""))</f>
        <v>72</v>
      </c>
      <c r="N153" t="str">
        <f>IF(Table17[[#This Row],[isin]]="","",INDEX([3]!db[STN B],Table17[[#This Row],[//db]]))</f>
        <v>PAK</v>
      </c>
      <c r="O153" t="str">
        <f>IF(AND(Table17[[#This Row],[isis]]="",Table17[[#This Row],[isin]]=""),INDEX(NOTA[QTY],Sheet1!A:A)/IF(Table17[[#This Row],[Column5]]=0,1,Table17[[#This Row],[Column5]]),"")</f>
        <v/>
      </c>
      <c r="P153" t="str">
        <f>IF(Table17[[#This Row],[Column2]]="","",INDEX(NOTA[STN],Sheet1!A:A))</f>
        <v/>
      </c>
      <c r="Q153" s="5" t="str">
        <f>INDEX([3]!db[QTY B],Table17[[#This Row],[//db]])</f>
        <v>72</v>
      </c>
      <c r="R153" t="str">
        <f>INDEX([3]!db[STN B],Table17[[#This Row],[//db]])</f>
        <v>PAK</v>
      </c>
      <c r="S153" s="40" t="str">
        <f>IF(Table17[[#This Row],[Column5]]=0,Table17[[#This Row],[Column23]]/Table17[[#This Row],[Column224]],"")</f>
        <v/>
      </c>
      <c r="T153" s="4">
        <f>IF(Table17[[#This Row],[Column222]]="",Table17[[#This Row],[Column5]],Table17[[#This Row],[Column222]])</f>
        <v>1</v>
      </c>
      <c r="U153" s="4" t="str">
        <f>IF(Table17[[#This Row],[Column223]]=Table17[[#This Row],[Column24]],"",1)</f>
        <v/>
      </c>
      <c r="V153" s="5" t="str">
        <f>IF(Table17[[#This Row],[isis]]="",IF(Table17[[#This Row],[isin]]="",Table17[[#This Row],[Column2]],Table17[[#This Row],[isin]]),Table17[[#This Row],[isis]])</f>
        <v>72</v>
      </c>
      <c r="W153" s="3" t="str">
        <f>IF(Table17[[#This Row],[isis]]="",IF(Table17[[#This Row],[isin]]="",Table17[[#This Row],[Column22]],Table17[[#This Row],[stnn]]),Table17[[#This Row],[stns]])</f>
        <v>PAK</v>
      </c>
      <c r="X153" s="5">
        <f>IF(Table17[[#This Row],[Column2222]]&lt;1,Table17[[#This Row],[Column23]],Table17[[#This Row],[Column23]]*Table17[[#This Row],[Column2222]])</f>
        <v>72</v>
      </c>
      <c r="Y153" s="3" t="str">
        <f>Table17[[#This Row],[Column24]]</f>
        <v>PAK</v>
      </c>
      <c r="Z153" s="5">
        <f>Table17[[#This Row],[HRG / CTN]]/Table17[[#This Row],[Column23]]</f>
        <v>26500</v>
      </c>
      <c r="AA153" s="42" t="str">
        <f>IF(INDEX(NOTA[DISC 1],Sheet1!A:A)=0,"",INDEX(NOTA[DISC 1],Sheet1!A:A))</f>
        <v/>
      </c>
      <c r="AB153" s="42" t="str">
        <f>IF(INDEX(NOTA[DISC 2],Sheet1!A:A)=0,"",INDEX(NOTA[DISC 2],Sheet1!A:A))</f>
        <v/>
      </c>
      <c r="AC15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3" s="43">
        <f>INDEX(NOTA[HARGA/ CTN_H],Sheet1!A:A)</f>
        <v>1908000</v>
      </c>
      <c r="AE153" s="43">
        <f>IF(Table17[[#This Row],[DISC 3]]="",Table17[[#This Row],[HRG / CTN]],Table17[[#This Row],[HRG / CTN]]-(Table17[[#This Row],[HRG / CTN]]*Table17[[#This Row],[DISC 3]]))</f>
        <v>1908000</v>
      </c>
      <c r="AF153" s="14">
        <f>IF(Table17[[#This Row],[Column2222]]&lt;1,Table17[[#This Row],[Column9]],Table17[[#This Row],[Column9]]*Table17[[#This Row],[Column2222]])</f>
        <v>1908000</v>
      </c>
      <c r="AG153" s="43" t="str">
        <f ca="1">IF(NOT(AL154=Table17[[#This Row],[Column6]]),SUMIF(Table17[Column6],Table17[[#This Row],[Column6]],Table17[Column7]),"")</f>
        <v/>
      </c>
      <c r="AH153" s="44">
        <f ca="1">INDEX(NOTA[TGL_H],Sheet1!A:A)</f>
        <v>45461</v>
      </c>
      <c r="AI153" s="44">
        <f ca="1">INDEX(NOTA[TGL.NOTA_H],Sheet1!A:A)</f>
        <v>45456</v>
      </c>
      <c r="AK153" t="str">
        <f>IF(INDEX(NOTA[KETERANGAN],A:A)="","",INDEX(NOTA[KETERANGAN],A:A))</f>
        <v/>
      </c>
      <c r="AL153" t="str">
        <f ca="1">INDEX(NOTA[NO.NOTA_H],Sheet1!A:A)</f>
        <v>JUF309/24</v>
      </c>
      <c r="AM153">
        <f>INDEX(NOTA[KETERANGAN],Sheet1!A:A)</f>
        <v>0</v>
      </c>
      <c r="AN153" t="str">
        <f ca="1">INDEX(NOTA[SUPPLIER_H],Sheet1!A:A)</f>
        <v>DB STATIONERY</v>
      </c>
      <c r="AO153" t="e">
        <f t="shared" ca="1" si="6"/>
        <v>#N/A</v>
      </c>
      <c r="AR153" s="45" t="s">
        <v>197</v>
      </c>
    </row>
    <row r="154" spans="1:44">
      <c r="A154" s="3">
        <v>188</v>
      </c>
      <c r="C154">
        <f>INDEX(NOTA[//DB],Sheet1!A:A)</f>
        <v>2172</v>
      </c>
      <c r="D154">
        <f>MATCH(Table17[[#This Row],[//db]],[3]!Table2[\\],0)</f>
        <v>2053</v>
      </c>
      <c r="E154" t="str">
        <f>INDEX([3]!db[NB NOTA],Table17[[#This Row],[//db]])</f>
        <v>MEK PENSIL TIZO G-9000A</v>
      </c>
      <c r="F154" t="str">
        <f>INDEX([3]!db[NB BM],Table17[[#This Row],[//db]])</f>
        <v>Mechpen Tizo G-9000 A</v>
      </c>
      <c r="G154" t="str">
        <f>_xlfn.IFNA(INDEX([3]!Table2[NAMA],Table17[[#This Row],[dbconcat]]),"")</f>
        <v>MECHPEN TIZO G 9000 A</v>
      </c>
      <c r="H154" t="str">
        <f>INDEX([3]!Table2[KODE BARANG],Table17[[#This Row],[dbconcat]])</f>
        <v>MEC-TZ13</v>
      </c>
      <c r="I154" t="str">
        <f>IF(Table17[[#This Row],[Column3]]="",UPPER(Table17[[#This Row],[Column1]]),Table17[[#This Row],[Column3]])</f>
        <v>MECHPEN TIZO G 9000 A</v>
      </c>
      <c r="J154">
        <f>INDEX(NOTA[C],Sheet1!A:A)</f>
        <v>2</v>
      </c>
      <c r="K154">
        <f>IF(OR(Table17[[#This Row],[Column5]]=0,Table17[[#This Row],[Column3]]=""),"",INDEX([3]!Table2[ISI2],Table17[[#This Row],[dbconcat]]))</f>
        <v>144</v>
      </c>
      <c r="L154" t="str">
        <f>IF(Table17[[#This Row],[isis]]="","",INDEX([3]!Table2[SATUAN3],Table17[[#This Row],[dbconcat]]))</f>
        <v>LSN</v>
      </c>
      <c r="M154" t="str">
        <f>IF(Table17[[#This Row],[Column5]]=0,"",IF(Table17[[#This Row],[Column3]]="",INDEX([3]!db[QTY B],Table17[[#This Row],[//db]]),""))</f>
        <v/>
      </c>
      <c r="N154" t="str">
        <f>IF(Table17[[#This Row],[isin]]="","",INDEX([3]!db[STN B],Table17[[#This Row],[//db]]))</f>
        <v/>
      </c>
      <c r="O154" t="str">
        <f>IF(AND(Table17[[#This Row],[isis]]="",Table17[[#This Row],[isin]]=""),INDEX(NOTA[QTY],Sheet1!A:A)/IF(Table17[[#This Row],[Column5]]=0,1,Table17[[#This Row],[Column5]]),"")</f>
        <v/>
      </c>
      <c r="P154" t="str">
        <f>IF(Table17[[#This Row],[Column2]]="","",INDEX(NOTA[STN],Sheet1!A:A))</f>
        <v/>
      </c>
      <c r="Q154" s="5" t="str">
        <f>INDEX([3]!db[QTY B],Table17[[#This Row],[//db]])</f>
        <v>144</v>
      </c>
      <c r="R154" t="str">
        <f>INDEX([3]!db[STN B],Table17[[#This Row],[//db]])</f>
        <v>LSN</v>
      </c>
      <c r="S154" s="40" t="str">
        <f>IF(Table17[[#This Row],[Column5]]=0,Table17[[#This Row],[Column23]]/Table17[[#This Row],[Column224]],"")</f>
        <v/>
      </c>
      <c r="T154" s="4">
        <f>IF(Table17[[#This Row],[Column222]]="",Table17[[#This Row],[Column5]],Table17[[#This Row],[Column222]])</f>
        <v>2</v>
      </c>
      <c r="U154" s="4" t="str">
        <f>IF(Table17[[#This Row],[Column223]]=Table17[[#This Row],[Column24]],"",1)</f>
        <v/>
      </c>
      <c r="V154" s="5">
        <f>IF(Table17[[#This Row],[isis]]="",IF(Table17[[#This Row],[isin]]="",Table17[[#This Row],[Column2]],Table17[[#This Row],[isin]]),Table17[[#This Row],[isis]])</f>
        <v>144</v>
      </c>
      <c r="W154" s="3" t="str">
        <f>IF(Table17[[#This Row],[isis]]="",IF(Table17[[#This Row],[isin]]="",Table17[[#This Row],[Column22]],Table17[[#This Row],[stnn]]),Table17[[#This Row],[stns]])</f>
        <v>LSN</v>
      </c>
      <c r="X154" s="5">
        <f>IF(Table17[[#This Row],[Column2222]]&lt;1,Table17[[#This Row],[Column23]],Table17[[#This Row],[Column23]]*Table17[[#This Row],[Column2222]])</f>
        <v>288</v>
      </c>
      <c r="Y154" s="3" t="str">
        <f>Table17[[#This Row],[Column24]]</f>
        <v>LSN</v>
      </c>
      <c r="Z154" s="5">
        <f>Table17[[#This Row],[HRG / CTN]]/Table17[[#This Row],[Column23]]</f>
        <v>13250</v>
      </c>
      <c r="AA154" s="42" t="str">
        <f>IF(INDEX(NOTA[DISC 1],Sheet1!A:A)=0,"",INDEX(NOTA[DISC 1],Sheet1!A:A))</f>
        <v/>
      </c>
      <c r="AB154" s="42" t="str">
        <f>IF(INDEX(NOTA[DISC 2],Sheet1!A:A)=0,"",INDEX(NOTA[DISC 2],Sheet1!A:A))</f>
        <v/>
      </c>
      <c r="AC15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4" s="43">
        <f>INDEX(NOTA[HARGA/ CTN_H],Sheet1!A:A)</f>
        <v>1908000</v>
      </c>
      <c r="AE154" s="43">
        <f>IF(Table17[[#This Row],[DISC 3]]="",Table17[[#This Row],[HRG / CTN]],Table17[[#This Row],[HRG / CTN]]-(Table17[[#This Row],[HRG / CTN]]*Table17[[#This Row],[DISC 3]]))</f>
        <v>1908000</v>
      </c>
      <c r="AF154" s="14">
        <f>IF(Table17[[#This Row],[Column2222]]&lt;1,Table17[[#This Row],[Column9]],Table17[[#This Row],[Column9]]*Table17[[#This Row],[Column2222]])</f>
        <v>3816000</v>
      </c>
      <c r="AG154" s="43">
        <f ca="1">IF(NOT(AL155=Table17[[#This Row],[Column6]]),SUMIF(Table17[Column6],Table17[[#This Row],[Column6]],Table17[Column7]),"")</f>
        <v>40068000</v>
      </c>
      <c r="AH154" s="44">
        <f ca="1">INDEX(NOTA[TGL_H],Sheet1!A:A)</f>
        <v>45461</v>
      </c>
      <c r="AI154" s="44">
        <f ca="1">INDEX(NOTA[TGL.NOTA_H],Sheet1!A:A)</f>
        <v>45456</v>
      </c>
      <c r="AK154" t="str">
        <f>IF(INDEX(NOTA[KETERANGAN],A:A)="","",INDEX(NOTA[KETERANGAN],A:A))</f>
        <v/>
      </c>
      <c r="AL154" t="str">
        <f ca="1">INDEX(NOTA[NO.NOTA_H],Sheet1!A:A)</f>
        <v>JUF309/24</v>
      </c>
      <c r="AM154">
        <f>INDEX(NOTA[KETERANGAN],Sheet1!A:A)</f>
        <v>0</v>
      </c>
      <c r="AN154" t="str">
        <f ca="1">INDEX(NOTA[SUPPLIER_H],Sheet1!A:A)</f>
        <v>DB STATIONERY</v>
      </c>
      <c r="AO154" t="e">
        <f t="shared" ca="1" si="6"/>
        <v>#N/A</v>
      </c>
      <c r="AR154" s="45" t="s">
        <v>197</v>
      </c>
    </row>
    <row r="155" spans="1:44">
      <c r="A155" s="3">
        <v>190</v>
      </c>
      <c r="C155">
        <f>INDEX(NOTA[//DB],Sheet1!A:A)</f>
        <v>1058</v>
      </c>
      <c r="D155" t="e">
        <f>MATCH(Table17[[#This Row],[//db]],[3]!Table2[\\],0)</f>
        <v>#N/A</v>
      </c>
      <c r="E155" t="str">
        <f>INDEX([3]!db[NB NOTA],Table17[[#This Row],[//db]])</f>
        <v>GEL INK TIANJIAO BIRU TZ-501B</v>
      </c>
      <c r="F155" t="str">
        <f>INDEX([3]!db[NB BM],Table17[[#This Row],[//db]])</f>
        <v>BP TZ-501 BIRU</v>
      </c>
      <c r="G155" t="str">
        <f>_xlfn.IFNA(INDEX([3]!Table2[NAMA],Table17[[#This Row],[dbconcat]]),"")</f>
        <v/>
      </c>
      <c r="H155" t="e">
        <f>INDEX([3]!Table2[KODE BARANG],Table17[[#This Row],[dbconcat]])</f>
        <v>#N/A</v>
      </c>
      <c r="I155" t="str">
        <f>IF(Table17[[#This Row],[Column3]]="",UPPER(Table17[[#This Row],[Column1]]),Table17[[#This Row],[Column3]])</f>
        <v>BP TZ-501 BIRU</v>
      </c>
      <c r="J155">
        <f>INDEX(NOTA[C],Sheet1!A:A)</f>
        <v>5</v>
      </c>
      <c r="K155" t="str">
        <f>IF(OR(Table17[[#This Row],[Column5]]=0,Table17[[#This Row],[Column3]]=""),"",INDEX([3]!Table2[ISI2],Table17[[#This Row],[dbconcat]]))</f>
        <v/>
      </c>
      <c r="L155" t="str">
        <f>IF(Table17[[#This Row],[isis]]="","",INDEX([3]!Table2[SATUAN3],Table17[[#This Row],[dbconcat]]))</f>
        <v/>
      </c>
      <c r="M155" t="str">
        <f>IF(Table17[[#This Row],[Column5]]=0,"",IF(Table17[[#This Row],[Column3]]="",INDEX([3]!db[QTY B],Table17[[#This Row],[//db]]),""))</f>
        <v>144</v>
      </c>
      <c r="N155" t="str">
        <f>IF(Table17[[#This Row],[isin]]="","",INDEX([3]!db[STN B],Table17[[#This Row],[//db]]))</f>
        <v>LSN</v>
      </c>
      <c r="O155" t="str">
        <f>IF(AND(Table17[[#This Row],[isis]]="",Table17[[#This Row],[isin]]=""),INDEX(NOTA[QTY],Sheet1!A:A)/IF(Table17[[#This Row],[Column5]]=0,1,Table17[[#This Row],[Column5]]),"")</f>
        <v/>
      </c>
      <c r="P155" t="str">
        <f>IF(Table17[[#This Row],[Column2]]="","",INDEX(NOTA[STN],Sheet1!A:A))</f>
        <v/>
      </c>
      <c r="Q155" s="5" t="str">
        <f>INDEX([3]!db[QTY B],Table17[[#This Row],[//db]])</f>
        <v>144</v>
      </c>
      <c r="R155" t="str">
        <f>INDEX([3]!db[STN B],Table17[[#This Row],[//db]])</f>
        <v>LSN</v>
      </c>
      <c r="S155" s="40" t="str">
        <f>IF(Table17[[#This Row],[Column5]]=0,Table17[[#This Row],[Column23]]/Table17[[#This Row],[Column224]],"")</f>
        <v/>
      </c>
      <c r="T155" s="4">
        <f>IF(Table17[[#This Row],[Column222]]="",Table17[[#This Row],[Column5]],Table17[[#This Row],[Column222]])</f>
        <v>5</v>
      </c>
      <c r="U155" s="4" t="str">
        <f>IF(Table17[[#This Row],[Column223]]=Table17[[#This Row],[Column24]],"",1)</f>
        <v/>
      </c>
      <c r="V155" s="5" t="str">
        <f>IF(Table17[[#This Row],[isis]]="",IF(Table17[[#This Row],[isin]]="",Table17[[#This Row],[Column2]],Table17[[#This Row],[isin]]),Table17[[#This Row],[isis]])</f>
        <v>144</v>
      </c>
      <c r="W155" s="3" t="str">
        <f>IF(Table17[[#This Row],[isis]]="",IF(Table17[[#This Row],[isin]]="",Table17[[#This Row],[Column22]],Table17[[#This Row],[stnn]]),Table17[[#This Row],[stns]])</f>
        <v>LSN</v>
      </c>
      <c r="X155" s="5">
        <f>IF(Table17[[#This Row],[Column2222]]&lt;1,Table17[[#This Row],[Column23]],Table17[[#This Row],[Column23]]*Table17[[#This Row],[Column2222]])</f>
        <v>720</v>
      </c>
      <c r="Y155" s="3" t="str">
        <f>Table17[[#This Row],[Column24]]</f>
        <v>LSN</v>
      </c>
      <c r="Z155" s="5">
        <f>Table17[[#This Row],[HRG / CTN]]/Table17[[#This Row],[Column23]]</f>
        <v>22500</v>
      </c>
      <c r="AA155" s="42" t="str">
        <f>IF(INDEX(NOTA[DISC 1],Sheet1!A:A)=0,"",INDEX(NOTA[DISC 1],Sheet1!A:A))</f>
        <v/>
      </c>
      <c r="AB155" s="42" t="str">
        <f>IF(INDEX(NOTA[DISC 2],Sheet1!A:A)=0,"",INDEX(NOTA[DISC 2],Sheet1!A:A))</f>
        <v/>
      </c>
      <c r="AC15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5" s="43">
        <f>INDEX(NOTA[HARGA/ CTN_H],Sheet1!A:A)</f>
        <v>3240000</v>
      </c>
      <c r="AE155" s="43">
        <f>IF(Table17[[#This Row],[DISC 3]]="",Table17[[#This Row],[HRG / CTN]],Table17[[#This Row],[HRG / CTN]]-(Table17[[#This Row],[HRG / CTN]]*Table17[[#This Row],[DISC 3]]))</f>
        <v>3240000</v>
      </c>
      <c r="AF155" s="14">
        <f>IF(Table17[[#This Row],[Column2222]]&lt;1,Table17[[#This Row],[Column9]],Table17[[#This Row],[Column9]]*Table17[[#This Row],[Column2222]])</f>
        <v>16200000</v>
      </c>
      <c r="AG155" s="43" t="str">
        <f ca="1">IF(NOT(AL156=Table17[[#This Row],[Column6]]),SUMIF(Table17[Column6],Table17[[#This Row],[Column6]],Table17[Column7]),"")</f>
        <v/>
      </c>
      <c r="AH155" s="44">
        <f ca="1">INDEX(NOTA[TGL_H],Sheet1!A:A)</f>
        <v>45461</v>
      </c>
      <c r="AI155" s="44">
        <f ca="1">INDEX(NOTA[TGL.NOTA_H],Sheet1!A:A)</f>
        <v>45456</v>
      </c>
      <c r="AK155" t="str">
        <f>IF(INDEX(NOTA[KETERANGAN],A:A)="","",INDEX(NOTA[KETERANGAN],A:A))</f>
        <v/>
      </c>
      <c r="AL155" t="str">
        <f ca="1">INDEX(NOTA[NO.NOTA_H],Sheet1!A:A)</f>
        <v>JUF308/24</v>
      </c>
      <c r="AM155">
        <f>INDEX(NOTA[KETERANGAN],Sheet1!A:A)</f>
        <v>0</v>
      </c>
      <c r="AN155" t="str">
        <f ca="1">INDEX(NOTA[SUPPLIER_H],Sheet1!A:A)</f>
        <v>DB STATIONERY</v>
      </c>
      <c r="AO155" t="e">
        <f t="shared" ca="1" si="6"/>
        <v>#N/A</v>
      </c>
      <c r="AR155" s="45" t="s">
        <v>197</v>
      </c>
    </row>
    <row r="156" spans="1:44">
      <c r="A156" s="3">
        <v>191</v>
      </c>
      <c r="C156">
        <f>INDEX(NOTA[//DB],Sheet1!A:A)</f>
        <v>1250</v>
      </c>
      <c r="D156">
        <f>MATCH(Table17[[#This Row],[//db]],[3]!Table2[\\],0)</f>
        <v>716</v>
      </c>
      <c r="E156" t="str">
        <f>INDEX([3]!db[NB NOTA],Table17[[#This Row],[//db]])</f>
        <v>GEL TIZO RETRC 0.5 TG690</v>
      </c>
      <c r="F156" t="str">
        <f>INDEX([3]!db[NB BM],Table17[[#This Row],[//db]])</f>
        <v>BP GEL TIZO TG690</v>
      </c>
      <c r="G156" t="str">
        <f>_xlfn.IFNA(INDEX([3]!Table2[NAMA],Table17[[#This Row],[dbconcat]]),"")</f>
        <v>BP GEL TIZO TG690</v>
      </c>
      <c r="H156" t="str">
        <f>INDEX([3]!Table2[KODE BARANG],Table17[[#This Row],[dbconcat]])</f>
        <v>BOL-TZ342</v>
      </c>
      <c r="I156" t="str">
        <f>IF(Table17[[#This Row],[Column3]]="",UPPER(Table17[[#This Row],[Column1]]),Table17[[#This Row],[Column3]])</f>
        <v>BP GEL TIZO TG690</v>
      </c>
      <c r="J156">
        <f>INDEX(NOTA[C],Sheet1!A:A)</f>
        <v>1</v>
      </c>
      <c r="K156">
        <f>IF(OR(Table17[[#This Row],[Column5]]=0,Table17[[#This Row],[Column3]]=""),"",INDEX([3]!Table2[ISI2],Table17[[#This Row],[dbconcat]]))</f>
        <v>72</v>
      </c>
      <c r="L156" t="str">
        <f>IF(Table17[[#This Row],[isis]]="","",INDEX([3]!Table2[SATUAN3],Table17[[#This Row],[dbconcat]]))</f>
        <v>LSN</v>
      </c>
      <c r="M156" t="str">
        <f>IF(Table17[[#This Row],[Column5]]=0,"",IF(Table17[[#This Row],[Column3]]="",INDEX([3]!db[QTY B],Table17[[#This Row],[//db]]),""))</f>
        <v/>
      </c>
      <c r="N156" t="str">
        <f>IF(Table17[[#This Row],[isin]]="","",INDEX([3]!db[STN B],Table17[[#This Row],[//db]]))</f>
        <v/>
      </c>
      <c r="O156" t="str">
        <f>IF(AND(Table17[[#This Row],[isis]]="",Table17[[#This Row],[isin]]=""),INDEX(NOTA[QTY],Sheet1!A:A)/IF(Table17[[#This Row],[Column5]]=0,1,Table17[[#This Row],[Column5]]),"")</f>
        <v/>
      </c>
      <c r="P156" t="str">
        <f>IF(Table17[[#This Row],[Column2]]="","",INDEX(NOTA[STN],Sheet1!A:A))</f>
        <v/>
      </c>
      <c r="Q156" s="5" t="str">
        <f>INDEX([3]!db[QTY B],Table17[[#This Row],[//db]])</f>
        <v>72</v>
      </c>
      <c r="R156" t="str">
        <f>INDEX([3]!db[STN B],Table17[[#This Row],[//db]])</f>
        <v>LSN</v>
      </c>
      <c r="S156" s="40" t="str">
        <f>IF(Table17[[#This Row],[Column5]]=0,Table17[[#This Row],[Column23]]/Table17[[#This Row],[Column224]],"")</f>
        <v/>
      </c>
      <c r="T156" s="4">
        <f>IF(Table17[[#This Row],[Column222]]="",Table17[[#This Row],[Column5]],Table17[[#This Row],[Column222]])</f>
        <v>1</v>
      </c>
      <c r="U156" s="4" t="str">
        <f>IF(Table17[[#This Row],[Column223]]=Table17[[#This Row],[Column24]],"",1)</f>
        <v/>
      </c>
      <c r="V156" s="5">
        <f>IF(Table17[[#This Row],[isis]]="",IF(Table17[[#This Row],[isin]]="",Table17[[#This Row],[Column2]],Table17[[#This Row],[isin]]),Table17[[#This Row],[isis]])</f>
        <v>72</v>
      </c>
      <c r="W156" s="3" t="str">
        <f>IF(Table17[[#This Row],[isis]]="",IF(Table17[[#This Row],[isin]]="",Table17[[#This Row],[Column22]],Table17[[#This Row],[stnn]]),Table17[[#This Row],[stns]])</f>
        <v>LSN</v>
      </c>
      <c r="X156" s="5">
        <f>IF(Table17[[#This Row],[Column2222]]&lt;1,Table17[[#This Row],[Column23]],Table17[[#This Row],[Column23]]*Table17[[#This Row],[Column2222]])</f>
        <v>72</v>
      </c>
      <c r="Y156" s="3" t="str">
        <f>Table17[[#This Row],[Column24]]</f>
        <v>LSN</v>
      </c>
      <c r="Z156" s="5">
        <f>Table17[[#This Row],[HRG / CTN]]/Table17[[#This Row],[Column23]]</f>
        <v>41000</v>
      </c>
      <c r="AA156" s="42" t="str">
        <f>IF(INDEX(NOTA[DISC 1],Sheet1!A:A)=0,"",INDEX(NOTA[DISC 1],Sheet1!A:A))</f>
        <v/>
      </c>
      <c r="AB156" s="42" t="str">
        <f>IF(INDEX(NOTA[DISC 2],Sheet1!A:A)=0,"",INDEX(NOTA[DISC 2],Sheet1!A:A))</f>
        <v/>
      </c>
      <c r="AC15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6" s="43">
        <f>INDEX(NOTA[HARGA/ CTN_H],Sheet1!A:A)</f>
        <v>2952000</v>
      </c>
      <c r="AE156" s="43">
        <f>IF(Table17[[#This Row],[DISC 3]]="",Table17[[#This Row],[HRG / CTN]],Table17[[#This Row],[HRG / CTN]]-(Table17[[#This Row],[HRG / CTN]]*Table17[[#This Row],[DISC 3]]))</f>
        <v>2952000</v>
      </c>
      <c r="AF156" s="14">
        <f>IF(Table17[[#This Row],[Column2222]]&lt;1,Table17[[#This Row],[Column9]],Table17[[#This Row],[Column9]]*Table17[[#This Row],[Column2222]])</f>
        <v>2952000</v>
      </c>
      <c r="AG156" s="43" t="str">
        <f ca="1">IF(NOT(AL157=Table17[[#This Row],[Column6]]),SUMIF(Table17[Column6],Table17[[#This Row],[Column6]],Table17[Column7]),"")</f>
        <v/>
      </c>
      <c r="AH156" s="44">
        <f ca="1">INDEX(NOTA[TGL_H],Sheet1!A:A)</f>
        <v>45461</v>
      </c>
      <c r="AI156" s="44">
        <f ca="1">INDEX(NOTA[TGL.NOTA_H],Sheet1!A:A)</f>
        <v>45456</v>
      </c>
      <c r="AK156" t="str">
        <f>IF(INDEX(NOTA[KETERANGAN],A:A)="","",INDEX(NOTA[KETERANGAN],A:A))</f>
        <v/>
      </c>
      <c r="AL156" t="str">
        <f ca="1">INDEX(NOTA[NO.NOTA_H],Sheet1!A:A)</f>
        <v>JUF308/24</v>
      </c>
      <c r="AM156">
        <f>INDEX(NOTA[KETERANGAN],Sheet1!A:A)</f>
        <v>0</v>
      </c>
      <c r="AN156" t="str">
        <f ca="1">INDEX(NOTA[SUPPLIER_H],Sheet1!A:A)</f>
        <v>DB STATIONERY</v>
      </c>
      <c r="AO156" t="e">
        <f t="shared" ca="1" si="6"/>
        <v>#N/A</v>
      </c>
      <c r="AR156" s="45" t="s">
        <v>197</v>
      </c>
    </row>
    <row r="157" spans="1:44">
      <c r="A157" s="3">
        <v>192</v>
      </c>
      <c r="C157">
        <f>INDEX(NOTA[//DB],Sheet1!A:A)</f>
        <v>1252</v>
      </c>
      <c r="D157">
        <f>MATCH(Table17[[#This Row],[//db]],[3]!Table2[\\],0)</f>
        <v>713</v>
      </c>
      <c r="E157" t="str">
        <f>INDEX([3]!db[NB NOTA],Table17[[#This Row],[//db]])</f>
        <v>GEL TIZO 1.0 TG630-A</v>
      </c>
      <c r="F157" t="str">
        <f>INDEX([3]!db[NB BM],Table17[[#This Row],[//db]])</f>
        <v>BP GEL TIZO 1.0 TG630-A</v>
      </c>
      <c r="G157" t="str">
        <f>_xlfn.IFNA(INDEX([3]!Table2[NAMA],Table17[[#This Row],[dbconcat]]),"")</f>
        <v>BP GEL TIZO 1.0 TG630-A</v>
      </c>
      <c r="H157" t="str">
        <f>INDEX([3]!Table2[KODE BARANG],Table17[[#This Row],[dbconcat]])</f>
        <v>BOL-TZ339</v>
      </c>
      <c r="I157" t="str">
        <f>IF(Table17[[#This Row],[Column3]]="",UPPER(Table17[[#This Row],[Column1]]),Table17[[#This Row],[Column3]])</f>
        <v>BP GEL TIZO 1.0 TG630-A</v>
      </c>
      <c r="J157">
        <f>INDEX(NOTA[C],Sheet1!A:A)</f>
        <v>1</v>
      </c>
      <c r="K157">
        <f>IF(OR(Table17[[#This Row],[Column5]]=0,Table17[[#This Row],[Column3]]=""),"",INDEX([3]!Table2[ISI2],Table17[[#This Row],[dbconcat]]))</f>
        <v>72</v>
      </c>
      <c r="L157" t="str">
        <f>IF(Table17[[#This Row],[isis]]="","",INDEX([3]!Table2[SATUAN3],Table17[[#This Row],[dbconcat]]))</f>
        <v>LSN</v>
      </c>
      <c r="M157" t="str">
        <f>IF(Table17[[#This Row],[Column5]]=0,"",IF(Table17[[#This Row],[Column3]]="",INDEX([3]!db[QTY B],Table17[[#This Row],[//db]]),""))</f>
        <v/>
      </c>
      <c r="N157" t="str">
        <f>IF(Table17[[#This Row],[isin]]="","",INDEX([3]!db[STN B],Table17[[#This Row],[//db]]))</f>
        <v/>
      </c>
      <c r="O157" t="str">
        <f>IF(AND(Table17[[#This Row],[isis]]="",Table17[[#This Row],[isin]]=""),INDEX(NOTA[QTY],Sheet1!A:A)/IF(Table17[[#This Row],[Column5]]=0,1,Table17[[#This Row],[Column5]]),"")</f>
        <v/>
      </c>
      <c r="P157" t="str">
        <f>IF(Table17[[#This Row],[Column2]]="","",INDEX(NOTA[STN],Sheet1!A:A))</f>
        <v/>
      </c>
      <c r="Q157" s="5" t="str">
        <f>INDEX([3]!db[QTY B],Table17[[#This Row],[//db]])</f>
        <v>72</v>
      </c>
      <c r="R157" t="str">
        <f>INDEX([3]!db[STN B],Table17[[#This Row],[//db]])</f>
        <v>LSN</v>
      </c>
      <c r="S157" s="40" t="str">
        <f>IF(Table17[[#This Row],[Column5]]=0,Table17[[#This Row],[Column23]]/Table17[[#This Row],[Column224]],"")</f>
        <v/>
      </c>
      <c r="T157" s="4">
        <f>IF(Table17[[#This Row],[Column222]]="",Table17[[#This Row],[Column5]],Table17[[#This Row],[Column222]])</f>
        <v>1</v>
      </c>
      <c r="U157" s="4" t="str">
        <f>IF(Table17[[#This Row],[Column223]]=Table17[[#This Row],[Column24]],"",1)</f>
        <v/>
      </c>
      <c r="V157" s="5">
        <f>IF(Table17[[#This Row],[isis]]="",IF(Table17[[#This Row],[isin]]="",Table17[[#This Row],[Column2]],Table17[[#This Row],[isin]]),Table17[[#This Row],[isis]])</f>
        <v>72</v>
      </c>
      <c r="W157" s="3" t="str">
        <f>IF(Table17[[#This Row],[isis]]="",IF(Table17[[#This Row],[isin]]="",Table17[[#This Row],[Column22]],Table17[[#This Row],[stnn]]),Table17[[#This Row],[stns]])</f>
        <v>LSN</v>
      </c>
      <c r="X157" s="5">
        <f>IF(Table17[[#This Row],[Column2222]]&lt;1,Table17[[#This Row],[Column23]],Table17[[#This Row],[Column23]]*Table17[[#This Row],[Column2222]])</f>
        <v>72</v>
      </c>
      <c r="Y157" s="3" t="str">
        <f>Table17[[#This Row],[Column24]]</f>
        <v>LSN</v>
      </c>
      <c r="Z157" s="5">
        <f>Table17[[#This Row],[HRG / CTN]]/Table17[[#This Row],[Column23]]</f>
        <v>43500</v>
      </c>
      <c r="AA157" s="42" t="str">
        <f>IF(INDEX(NOTA[DISC 1],Sheet1!A:A)=0,"",INDEX(NOTA[DISC 1],Sheet1!A:A))</f>
        <v/>
      </c>
      <c r="AB157" s="42" t="str">
        <f>IF(INDEX(NOTA[DISC 2],Sheet1!A:A)=0,"",INDEX(NOTA[DISC 2],Sheet1!A:A))</f>
        <v/>
      </c>
      <c r="AC15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7" s="43">
        <f>INDEX(NOTA[HARGA/ CTN_H],Sheet1!A:A)</f>
        <v>3132000</v>
      </c>
      <c r="AE157" s="43">
        <f>IF(Table17[[#This Row],[DISC 3]]="",Table17[[#This Row],[HRG / CTN]],Table17[[#This Row],[HRG / CTN]]-(Table17[[#This Row],[HRG / CTN]]*Table17[[#This Row],[DISC 3]]))</f>
        <v>3132000</v>
      </c>
      <c r="AF157" s="14">
        <f>IF(Table17[[#This Row],[Column2222]]&lt;1,Table17[[#This Row],[Column9]],Table17[[#This Row],[Column9]]*Table17[[#This Row],[Column2222]])</f>
        <v>3132000</v>
      </c>
      <c r="AG157" s="43" t="str">
        <f ca="1">IF(NOT(AL158=Table17[[#This Row],[Column6]]),SUMIF(Table17[Column6],Table17[[#This Row],[Column6]],Table17[Column7]),"")</f>
        <v/>
      </c>
      <c r="AH157" s="44">
        <f ca="1">INDEX(NOTA[TGL_H],Sheet1!A:A)</f>
        <v>45461</v>
      </c>
      <c r="AI157" s="44">
        <f ca="1">INDEX(NOTA[TGL.NOTA_H],Sheet1!A:A)</f>
        <v>45456</v>
      </c>
      <c r="AK157" t="str">
        <f>IF(INDEX(NOTA[KETERANGAN],A:A)="","",INDEX(NOTA[KETERANGAN],A:A))</f>
        <v/>
      </c>
      <c r="AL157" t="str">
        <f ca="1">INDEX(NOTA[NO.NOTA_H],Sheet1!A:A)</f>
        <v>JUF308/24</v>
      </c>
      <c r="AM157">
        <f>INDEX(NOTA[KETERANGAN],Sheet1!A:A)</f>
        <v>0</v>
      </c>
      <c r="AN157" t="str">
        <f ca="1">INDEX(NOTA[SUPPLIER_H],Sheet1!A:A)</f>
        <v>DB STATIONERY</v>
      </c>
      <c r="AO157" t="e">
        <f t="shared" ca="1" si="6"/>
        <v>#N/A</v>
      </c>
      <c r="AR157" s="45" t="s">
        <v>197</v>
      </c>
    </row>
    <row r="158" spans="1:44">
      <c r="A158" s="3">
        <v>193</v>
      </c>
      <c r="C158">
        <f>INDEX(NOTA[//DB],Sheet1!A:A)</f>
        <v>1258</v>
      </c>
      <c r="D158">
        <f>MATCH(Table17[[#This Row],[//db]],[3]!Table2[\\],0)</f>
        <v>749</v>
      </c>
      <c r="E158" t="str">
        <f>INDEX([3]!db[NB NOTA],Table17[[#This Row],[//db]])</f>
        <v>GEL TIZO TG31060</v>
      </c>
      <c r="F158" t="str">
        <f>INDEX([3]!db[NB BM],Table17[[#This Row],[//db]])</f>
        <v>Bp Tizo TG31060</v>
      </c>
      <c r="G158" t="str">
        <f>_xlfn.IFNA(INDEX([3]!Table2[NAMA],Table17[[#This Row],[dbconcat]]),"")</f>
        <v>BP TIZO TG 31060</v>
      </c>
      <c r="H158" t="str">
        <f>INDEX([3]!Table2[KODE BARANG],Table17[[#This Row],[dbconcat]])</f>
        <v>BOL-TZ376</v>
      </c>
      <c r="I158" t="str">
        <f>IF(Table17[[#This Row],[Column3]]="",UPPER(Table17[[#This Row],[Column1]]),Table17[[#This Row],[Column3]])</f>
        <v>BP TIZO TG 31060</v>
      </c>
      <c r="J158">
        <f>INDEX(NOTA[C],Sheet1!A:A)</f>
        <v>2</v>
      </c>
      <c r="K158">
        <f>IF(OR(Table17[[#This Row],[Column5]]=0,Table17[[#This Row],[Column3]]=""),"",INDEX([3]!Table2[ISI2],Table17[[#This Row],[dbconcat]]))</f>
        <v>144</v>
      </c>
      <c r="L158" t="str">
        <f>IF(Table17[[#This Row],[isis]]="","",INDEX([3]!Table2[SATUAN3],Table17[[#This Row],[dbconcat]]))</f>
        <v>LSN</v>
      </c>
      <c r="M158" t="str">
        <f>IF(Table17[[#This Row],[Column5]]=0,"",IF(Table17[[#This Row],[Column3]]="",INDEX([3]!db[QTY B],Table17[[#This Row],[//db]]),""))</f>
        <v/>
      </c>
      <c r="N158" t="str">
        <f>IF(Table17[[#This Row],[isin]]="","",INDEX([3]!db[STN B],Table17[[#This Row],[//db]]))</f>
        <v/>
      </c>
      <c r="O158" t="str">
        <f>IF(AND(Table17[[#This Row],[isis]]="",Table17[[#This Row],[isin]]=""),INDEX(NOTA[QTY],Sheet1!A:A)/IF(Table17[[#This Row],[Column5]]=0,1,Table17[[#This Row],[Column5]]),"")</f>
        <v/>
      </c>
      <c r="P158" t="str">
        <f>IF(Table17[[#This Row],[Column2]]="","",INDEX(NOTA[STN],Sheet1!A:A))</f>
        <v/>
      </c>
      <c r="Q158" s="5" t="str">
        <f>INDEX([3]!db[QTY B],Table17[[#This Row],[//db]])</f>
        <v>144</v>
      </c>
      <c r="R158" t="str">
        <f>INDEX([3]!db[STN B],Table17[[#This Row],[//db]])</f>
        <v>LSN</v>
      </c>
      <c r="S158" s="40" t="str">
        <f>IF(Table17[[#This Row],[Column5]]=0,Table17[[#This Row],[Column23]]/Table17[[#This Row],[Column224]],"")</f>
        <v/>
      </c>
      <c r="T158" s="4">
        <f>IF(Table17[[#This Row],[Column222]]="",Table17[[#This Row],[Column5]],Table17[[#This Row],[Column222]])</f>
        <v>2</v>
      </c>
      <c r="U158" s="4" t="str">
        <f>IF(Table17[[#This Row],[Column223]]=Table17[[#This Row],[Column24]],"",1)</f>
        <v/>
      </c>
      <c r="V158" s="5">
        <f>IF(Table17[[#This Row],[isis]]="",IF(Table17[[#This Row],[isin]]="",Table17[[#This Row],[Column2]],Table17[[#This Row],[isin]]),Table17[[#This Row],[isis]])</f>
        <v>144</v>
      </c>
      <c r="W158" s="3" t="str">
        <f>IF(Table17[[#This Row],[isis]]="",IF(Table17[[#This Row],[isin]]="",Table17[[#This Row],[Column22]],Table17[[#This Row],[stnn]]),Table17[[#This Row],[stns]])</f>
        <v>LSN</v>
      </c>
      <c r="X158" s="5">
        <f>IF(Table17[[#This Row],[Column2222]]&lt;1,Table17[[#This Row],[Column23]],Table17[[#This Row],[Column23]]*Table17[[#This Row],[Column2222]])</f>
        <v>288</v>
      </c>
      <c r="Y158" s="3" t="str">
        <f>Table17[[#This Row],[Column24]]</f>
        <v>LSN</v>
      </c>
      <c r="Z158" s="5">
        <f>Table17[[#This Row],[HRG / CTN]]/Table17[[#This Row],[Column23]]</f>
        <v>29500</v>
      </c>
      <c r="AA158" s="42" t="str">
        <f>IF(INDEX(NOTA[DISC 1],Sheet1!A:A)=0,"",INDEX(NOTA[DISC 1],Sheet1!A:A))</f>
        <v/>
      </c>
      <c r="AB158" s="42" t="str">
        <f>IF(INDEX(NOTA[DISC 2],Sheet1!A:A)=0,"",INDEX(NOTA[DISC 2],Sheet1!A:A))</f>
        <v/>
      </c>
      <c r="AC15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8" s="43">
        <f>INDEX(NOTA[HARGA/ CTN_H],Sheet1!A:A)</f>
        <v>4248000</v>
      </c>
      <c r="AE158" s="43">
        <f>IF(Table17[[#This Row],[DISC 3]]="",Table17[[#This Row],[HRG / CTN]],Table17[[#This Row],[HRG / CTN]]-(Table17[[#This Row],[HRG / CTN]]*Table17[[#This Row],[DISC 3]]))</f>
        <v>4248000</v>
      </c>
      <c r="AF158" s="14">
        <f>IF(Table17[[#This Row],[Column2222]]&lt;1,Table17[[#This Row],[Column9]],Table17[[#This Row],[Column9]]*Table17[[#This Row],[Column2222]])</f>
        <v>8496000</v>
      </c>
      <c r="AG158" s="43" t="str">
        <f ca="1">IF(NOT(AL159=Table17[[#This Row],[Column6]]),SUMIF(Table17[Column6],Table17[[#This Row],[Column6]],Table17[Column7]),"")</f>
        <v/>
      </c>
      <c r="AH158" s="44">
        <f ca="1">INDEX(NOTA[TGL_H],Sheet1!A:A)</f>
        <v>45461</v>
      </c>
      <c r="AI158" s="44">
        <f ca="1">INDEX(NOTA[TGL.NOTA_H],Sheet1!A:A)</f>
        <v>45456</v>
      </c>
      <c r="AK158" t="str">
        <f>IF(INDEX(NOTA[KETERANGAN],A:A)="","",INDEX(NOTA[KETERANGAN],A:A))</f>
        <v/>
      </c>
      <c r="AL158" t="str">
        <f ca="1">INDEX(NOTA[NO.NOTA_H],Sheet1!A:A)</f>
        <v>JUF308/24</v>
      </c>
      <c r="AM158">
        <f>INDEX(NOTA[KETERANGAN],Sheet1!A:A)</f>
        <v>0</v>
      </c>
      <c r="AN158" t="str">
        <f ca="1">INDEX(NOTA[SUPPLIER_H],Sheet1!A:A)</f>
        <v>DB STATIONERY</v>
      </c>
      <c r="AO158" t="e">
        <f t="shared" ca="1" si="6"/>
        <v>#N/A</v>
      </c>
      <c r="AR158" s="45" t="s">
        <v>197</v>
      </c>
    </row>
    <row r="159" spans="1:44">
      <c r="A159" s="3">
        <v>194</v>
      </c>
      <c r="C159">
        <f>INDEX(NOTA[//DB],Sheet1!A:A)</f>
        <v>2867</v>
      </c>
      <c r="D159">
        <f>MATCH(Table17[[#This Row],[//db]],[3]!Table2[\\],0)</f>
        <v>617</v>
      </c>
      <c r="E159" t="str">
        <f>INDEX([3]!db[NB NOTA],Table17[[#This Row],[//db]])</f>
        <v>SEMI GEL TIZO TB-SG09</v>
      </c>
      <c r="F159" t="str">
        <f>INDEX([3]!db[NB BM],Table17[[#This Row],[//db]])</f>
        <v>BP TIZO TB SG 09</v>
      </c>
      <c r="G159" t="str">
        <f>_xlfn.IFNA(INDEX([3]!Table2[NAMA],Table17[[#This Row],[dbconcat]]),"")</f>
        <v>BP TIZO TB SG 09</v>
      </c>
      <c r="H159" t="str">
        <f>INDEX([3]!Table2[KODE BARANG],Table17[[#This Row],[dbconcat]])</f>
        <v>BOL-TZ241</v>
      </c>
      <c r="I159" t="str">
        <f>IF(Table17[[#This Row],[Column3]]="",UPPER(Table17[[#This Row],[Column1]]),Table17[[#This Row],[Column3]])</f>
        <v>BP TIZO TB SG 09</v>
      </c>
      <c r="J159">
        <f>INDEX(NOTA[C],Sheet1!A:A)</f>
        <v>2</v>
      </c>
      <c r="K159">
        <f>IF(OR(Table17[[#This Row],[Column5]]=0,Table17[[#This Row],[Column3]]=""),"",INDEX([3]!Table2[ISI2],Table17[[#This Row],[dbconcat]]))</f>
        <v>144</v>
      </c>
      <c r="L159" t="str">
        <f>IF(Table17[[#This Row],[isis]]="","",INDEX([3]!Table2[SATUAN3],Table17[[#This Row],[dbconcat]]))</f>
        <v>LSN</v>
      </c>
      <c r="M159" t="str">
        <f>IF(Table17[[#This Row],[Column5]]=0,"",IF(Table17[[#This Row],[Column3]]="",INDEX([3]!db[QTY B],Table17[[#This Row],[//db]]),""))</f>
        <v/>
      </c>
      <c r="N159" t="str">
        <f>IF(Table17[[#This Row],[isin]]="","",INDEX([3]!db[STN B],Table17[[#This Row],[//db]]))</f>
        <v/>
      </c>
      <c r="O159" t="str">
        <f>IF(AND(Table17[[#This Row],[isis]]="",Table17[[#This Row],[isin]]=""),INDEX(NOTA[QTY],Sheet1!A:A)/IF(Table17[[#This Row],[Column5]]=0,1,Table17[[#This Row],[Column5]]),"")</f>
        <v/>
      </c>
      <c r="P159" t="str">
        <f>IF(Table17[[#This Row],[Column2]]="","",INDEX(NOTA[STN],Sheet1!A:A))</f>
        <v/>
      </c>
      <c r="Q159" s="5" t="str">
        <f>INDEX([3]!db[QTY B],Table17[[#This Row],[//db]])</f>
        <v>144</v>
      </c>
      <c r="R159" t="str">
        <f>INDEX([3]!db[STN B],Table17[[#This Row],[//db]])</f>
        <v>LSN</v>
      </c>
      <c r="S159" s="40" t="str">
        <f>IF(Table17[[#This Row],[Column5]]=0,Table17[[#This Row],[Column23]]/Table17[[#This Row],[Column224]],"")</f>
        <v/>
      </c>
      <c r="T159" s="4">
        <f>IF(Table17[[#This Row],[Column222]]="",Table17[[#This Row],[Column5]],Table17[[#This Row],[Column222]])</f>
        <v>2</v>
      </c>
      <c r="U159" s="4" t="str">
        <f>IF(Table17[[#This Row],[Column223]]=Table17[[#This Row],[Column24]],"",1)</f>
        <v/>
      </c>
      <c r="V159" s="5">
        <f>IF(Table17[[#This Row],[isis]]="",IF(Table17[[#This Row],[isin]]="",Table17[[#This Row],[Column2]],Table17[[#This Row],[isin]]),Table17[[#This Row],[isis]])</f>
        <v>144</v>
      </c>
      <c r="W159" s="3" t="str">
        <f>IF(Table17[[#This Row],[isis]]="",IF(Table17[[#This Row],[isin]]="",Table17[[#This Row],[Column22]],Table17[[#This Row],[stnn]]),Table17[[#This Row],[stns]])</f>
        <v>LSN</v>
      </c>
      <c r="X159" s="5">
        <f>IF(Table17[[#This Row],[Column2222]]&lt;1,Table17[[#This Row],[Column23]],Table17[[#This Row],[Column23]]*Table17[[#This Row],[Column2222]])</f>
        <v>288</v>
      </c>
      <c r="Y159" s="3" t="str">
        <f>Table17[[#This Row],[Column24]]</f>
        <v>LSN</v>
      </c>
      <c r="Z159" s="5">
        <f>Table17[[#This Row],[HRG / CTN]]/Table17[[#This Row],[Column23]]</f>
        <v>10000</v>
      </c>
      <c r="AA159" s="42" t="str">
        <f>IF(INDEX(NOTA[DISC 1],Sheet1!A:A)=0,"",INDEX(NOTA[DISC 1],Sheet1!A:A))</f>
        <v/>
      </c>
      <c r="AB159" s="42" t="str">
        <f>IF(INDEX(NOTA[DISC 2],Sheet1!A:A)=0,"",INDEX(NOTA[DISC 2],Sheet1!A:A))</f>
        <v/>
      </c>
      <c r="AC15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9" s="43">
        <f>INDEX(NOTA[HARGA/ CTN_H],Sheet1!A:A)</f>
        <v>1440000</v>
      </c>
      <c r="AE159" s="43">
        <f>IF(Table17[[#This Row],[DISC 3]]="",Table17[[#This Row],[HRG / CTN]],Table17[[#This Row],[HRG / CTN]]-(Table17[[#This Row],[HRG / CTN]]*Table17[[#This Row],[DISC 3]]))</f>
        <v>1440000</v>
      </c>
      <c r="AF159" s="14">
        <f>IF(Table17[[#This Row],[Column2222]]&lt;1,Table17[[#This Row],[Column9]],Table17[[#This Row],[Column9]]*Table17[[#This Row],[Column2222]])</f>
        <v>2880000</v>
      </c>
      <c r="AG159" s="43" t="str">
        <f ca="1">IF(NOT(AL160=Table17[[#This Row],[Column6]]),SUMIF(Table17[Column6],Table17[[#This Row],[Column6]],Table17[Column7]),"")</f>
        <v/>
      </c>
      <c r="AH159" s="44">
        <f ca="1">INDEX(NOTA[TGL_H],Sheet1!A:A)</f>
        <v>45461</v>
      </c>
      <c r="AI159" s="44">
        <f ca="1">INDEX(NOTA[TGL.NOTA_H],Sheet1!A:A)</f>
        <v>45456</v>
      </c>
      <c r="AK159" t="str">
        <f>IF(INDEX(NOTA[KETERANGAN],A:A)="","",INDEX(NOTA[KETERANGAN],A:A))</f>
        <v/>
      </c>
      <c r="AL159" t="str">
        <f ca="1">INDEX(NOTA[NO.NOTA_H],Sheet1!A:A)</f>
        <v>JUF308/24</v>
      </c>
      <c r="AM159">
        <f>INDEX(NOTA[KETERANGAN],Sheet1!A:A)</f>
        <v>0</v>
      </c>
      <c r="AN159" t="str">
        <f ca="1">INDEX(NOTA[SUPPLIER_H],Sheet1!A:A)</f>
        <v>DB STATIONERY</v>
      </c>
      <c r="AO159" t="e">
        <f t="shared" ca="1" si="6"/>
        <v>#N/A</v>
      </c>
      <c r="AR159" s="45" t="s">
        <v>198</v>
      </c>
    </row>
    <row r="160" spans="1:44">
      <c r="A160" s="3">
        <v>195</v>
      </c>
      <c r="C160">
        <f>INDEX(NOTA[//DB],Sheet1!A:A)</f>
        <v>1133</v>
      </c>
      <c r="D160">
        <f>MATCH(Table17[[#This Row],[//db]],[3]!Table2[\\],0)</f>
        <v>392</v>
      </c>
      <c r="E160" t="str">
        <f>INDEX([3]!db[NB NOTA],Table17[[#This Row],[//db]])</f>
        <v>GEL PEN WEIYADA E681</v>
      </c>
      <c r="F160" t="str">
        <f>INDEX([3]!db[NB BM],Table17[[#This Row],[//db]])</f>
        <v>BP WEIYADA 681 HITAM</v>
      </c>
      <c r="G160" t="str">
        <f>_xlfn.IFNA(INDEX([3]!Table2[NAMA],Table17[[#This Row],[dbconcat]]),"")</f>
        <v>BP WEIYADA 681 HITAM</v>
      </c>
      <c r="H160" t="str">
        <f>INDEX([3]!Table2[KODE BARANG],Table17[[#This Row],[dbconcat]])</f>
        <v>BOL-WY14</v>
      </c>
      <c r="I160" t="str">
        <f>IF(Table17[[#This Row],[Column3]]="",UPPER(Table17[[#This Row],[Column1]]),Table17[[#This Row],[Column3]])</f>
        <v>BP WEIYADA 681 HITAM</v>
      </c>
      <c r="J160">
        <f>INDEX(NOTA[C],Sheet1!A:A)</f>
        <v>2</v>
      </c>
      <c r="K160">
        <f>IF(OR(Table17[[#This Row],[Column5]]=0,Table17[[#This Row],[Column3]]=""),"",INDEX([3]!Table2[ISI2],Table17[[#This Row],[dbconcat]]))</f>
        <v>96</v>
      </c>
      <c r="L160" t="str">
        <f>IF(Table17[[#This Row],[isis]]="","",INDEX([3]!Table2[SATUAN3],Table17[[#This Row],[dbconcat]]))</f>
        <v>LSN</v>
      </c>
      <c r="M160" t="str">
        <f>IF(Table17[[#This Row],[Column5]]=0,"",IF(Table17[[#This Row],[Column3]]="",INDEX([3]!db[QTY B],Table17[[#This Row],[//db]]),""))</f>
        <v/>
      </c>
      <c r="N160" t="str">
        <f>IF(Table17[[#This Row],[isin]]="","",INDEX([3]!db[STN B],Table17[[#This Row],[//db]]))</f>
        <v/>
      </c>
      <c r="O160" t="str">
        <f>IF(AND(Table17[[#This Row],[isis]]="",Table17[[#This Row],[isin]]=""),INDEX(NOTA[QTY],Sheet1!A:A)/IF(Table17[[#This Row],[Column5]]=0,1,Table17[[#This Row],[Column5]]),"")</f>
        <v/>
      </c>
      <c r="P160" t="str">
        <f>IF(Table17[[#This Row],[Column2]]="","",INDEX(NOTA[STN],Sheet1!A:A))</f>
        <v/>
      </c>
      <c r="Q160" s="5" t="str">
        <f>INDEX([3]!db[QTY B],Table17[[#This Row],[//db]])</f>
        <v>96</v>
      </c>
      <c r="R160" t="str">
        <f>INDEX([3]!db[STN B],Table17[[#This Row],[//db]])</f>
        <v>LSN</v>
      </c>
      <c r="S160" s="40" t="str">
        <f>IF(Table17[[#This Row],[Column5]]=0,Table17[[#This Row],[Column23]]/Table17[[#This Row],[Column224]],"")</f>
        <v/>
      </c>
      <c r="T160" s="4">
        <f>IF(Table17[[#This Row],[Column222]]="",Table17[[#This Row],[Column5]],Table17[[#This Row],[Column222]])</f>
        <v>2</v>
      </c>
      <c r="U160" s="4" t="str">
        <f>IF(Table17[[#This Row],[Column223]]=Table17[[#This Row],[Column24]],"",1)</f>
        <v/>
      </c>
      <c r="V160" s="5">
        <f>IF(Table17[[#This Row],[isis]]="",IF(Table17[[#This Row],[isin]]="",Table17[[#This Row],[Column2]],Table17[[#This Row],[isin]]),Table17[[#This Row],[isis]])</f>
        <v>96</v>
      </c>
      <c r="W160" s="3" t="str">
        <f>IF(Table17[[#This Row],[isis]]="",IF(Table17[[#This Row],[isin]]="",Table17[[#This Row],[Column22]],Table17[[#This Row],[stnn]]),Table17[[#This Row],[stns]])</f>
        <v>LSN</v>
      </c>
      <c r="X160" s="5">
        <f>IF(Table17[[#This Row],[Column2222]]&lt;1,Table17[[#This Row],[Column23]],Table17[[#This Row],[Column23]]*Table17[[#This Row],[Column2222]])</f>
        <v>192</v>
      </c>
      <c r="Y160" s="3" t="str">
        <f>Table17[[#This Row],[Column24]]</f>
        <v>LSN</v>
      </c>
      <c r="Z160" s="5">
        <f>Table17[[#This Row],[HRG / CTN]]/Table17[[#This Row],[Column23]]</f>
        <v>37500</v>
      </c>
      <c r="AA160" s="42" t="str">
        <f>IF(INDEX(NOTA[DISC 1],Sheet1!A:A)=0,"",INDEX(NOTA[DISC 1],Sheet1!A:A))</f>
        <v/>
      </c>
      <c r="AB160" s="42" t="str">
        <f>IF(INDEX(NOTA[DISC 2],Sheet1!A:A)=0,"",INDEX(NOTA[DISC 2],Sheet1!A:A))</f>
        <v/>
      </c>
      <c r="AC16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0" s="43">
        <f>INDEX(NOTA[HARGA/ CTN_H],Sheet1!A:A)</f>
        <v>3600000</v>
      </c>
      <c r="AE160" s="43">
        <f>IF(Table17[[#This Row],[DISC 3]]="",Table17[[#This Row],[HRG / CTN]],Table17[[#This Row],[HRG / CTN]]-(Table17[[#This Row],[HRG / CTN]]*Table17[[#This Row],[DISC 3]]))</f>
        <v>3600000</v>
      </c>
      <c r="AF160" s="14">
        <f>IF(Table17[[#This Row],[Column2222]]&lt;1,Table17[[#This Row],[Column9]],Table17[[#This Row],[Column9]]*Table17[[#This Row],[Column2222]])</f>
        <v>7200000</v>
      </c>
      <c r="AG160" s="43" t="str">
        <f ca="1">IF(NOT(AL161=Table17[[#This Row],[Column6]]),SUMIF(Table17[Column6],Table17[[#This Row],[Column6]],Table17[Column7]),"")</f>
        <v/>
      </c>
      <c r="AH160" s="44">
        <f ca="1">INDEX(NOTA[TGL_H],Sheet1!A:A)</f>
        <v>45461</v>
      </c>
      <c r="AI160" s="44">
        <f ca="1">INDEX(NOTA[TGL.NOTA_H],Sheet1!A:A)</f>
        <v>45456</v>
      </c>
      <c r="AK160" t="str">
        <f>IF(INDEX(NOTA[KETERANGAN],A:A)="","",INDEX(NOTA[KETERANGAN],A:A))</f>
        <v/>
      </c>
      <c r="AL160" t="str">
        <f ca="1">INDEX(NOTA[NO.NOTA_H],Sheet1!A:A)</f>
        <v>JUF308/24</v>
      </c>
      <c r="AM160">
        <f>INDEX(NOTA[KETERANGAN],Sheet1!A:A)</f>
        <v>0</v>
      </c>
      <c r="AN160" t="str">
        <f ca="1">INDEX(NOTA[SUPPLIER_H],Sheet1!A:A)</f>
        <v>DB STATIONERY</v>
      </c>
      <c r="AO160" t="e">
        <f t="shared" ca="1" si="6"/>
        <v>#N/A</v>
      </c>
      <c r="AR160" s="45" t="s">
        <v>198</v>
      </c>
    </row>
    <row r="161" spans="1:44">
      <c r="A161" s="3">
        <v>196</v>
      </c>
      <c r="C161">
        <f>INDEX(NOTA[//DB],Sheet1!A:A)</f>
        <v>2205</v>
      </c>
      <c r="D161">
        <f>MATCH(Table17[[#This Row],[//db]],[3]!Table2[\\],0)</f>
        <v>2064</v>
      </c>
      <c r="E161" t="str">
        <f>INDEX([3]!db[NB NOTA],Table17[[#This Row],[//db]])</f>
        <v>MEKANIK 2.0MM TM030-B</v>
      </c>
      <c r="F161" t="str">
        <f>INDEX([3]!db[NB BM],Table17[[#This Row],[//db]])</f>
        <v>Mechpen Tizo TM 030-B</v>
      </c>
      <c r="G161" t="str">
        <f>_xlfn.IFNA(INDEX([3]!Table2[NAMA],Table17[[#This Row],[dbconcat]]),"")</f>
        <v>MECHPEN TIZO TM 030-B</v>
      </c>
      <c r="H161" t="str">
        <f>INDEX([3]!Table2[KODE BARANG],Table17[[#This Row],[dbconcat]])</f>
        <v>MEC-TZ26</v>
      </c>
      <c r="I161" t="str">
        <f>IF(Table17[[#This Row],[Column3]]="",UPPER(Table17[[#This Row],[Column1]]),Table17[[#This Row],[Column3]])</f>
        <v>MECHPEN TIZO TM 030-B</v>
      </c>
      <c r="J161">
        <f>INDEX(NOTA[C],Sheet1!A:A)</f>
        <v>5</v>
      </c>
      <c r="K161">
        <f>IF(OR(Table17[[#This Row],[Column5]]=0,Table17[[#This Row],[Column3]]=""),"",INDEX([3]!Table2[ISI2],Table17[[#This Row],[dbconcat]]))</f>
        <v>96</v>
      </c>
      <c r="L161" t="str">
        <f>IF(Table17[[#This Row],[isis]]="","",INDEX([3]!Table2[SATUAN3],Table17[[#This Row],[dbconcat]]))</f>
        <v>LSN</v>
      </c>
      <c r="M161" t="str">
        <f>IF(Table17[[#This Row],[Column5]]=0,"",IF(Table17[[#This Row],[Column3]]="",INDEX([3]!db[QTY B],Table17[[#This Row],[//db]]),""))</f>
        <v/>
      </c>
      <c r="N161" t="str">
        <f>IF(Table17[[#This Row],[isin]]="","",INDEX([3]!db[STN B],Table17[[#This Row],[//db]]))</f>
        <v/>
      </c>
      <c r="O161" t="str">
        <f>IF(AND(Table17[[#This Row],[isis]]="",Table17[[#This Row],[isin]]=""),INDEX(NOTA[QTY],Sheet1!A:A)/IF(Table17[[#This Row],[Column5]]=0,1,Table17[[#This Row],[Column5]]),"")</f>
        <v/>
      </c>
      <c r="P161" t="str">
        <f>IF(Table17[[#This Row],[Column2]]="","",INDEX(NOTA[STN],Sheet1!A:A))</f>
        <v/>
      </c>
      <c r="Q161" s="5" t="str">
        <f>INDEX([3]!db[QTY B],Table17[[#This Row],[//db]])</f>
        <v>96</v>
      </c>
      <c r="R161" t="str">
        <f>INDEX([3]!db[STN B],Table17[[#This Row],[//db]])</f>
        <v>LSN</v>
      </c>
      <c r="S161" s="40" t="str">
        <f>IF(Table17[[#This Row],[Column5]]=0,Table17[[#This Row],[Column23]]/Table17[[#This Row],[Column224]],"")</f>
        <v/>
      </c>
      <c r="T161" s="4">
        <f>IF(Table17[[#This Row],[Column222]]="",Table17[[#This Row],[Column5]],Table17[[#This Row],[Column222]])</f>
        <v>5</v>
      </c>
      <c r="U161" s="4" t="str">
        <f>IF(Table17[[#This Row],[Column223]]=Table17[[#This Row],[Column24]],"",1)</f>
        <v/>
      </c>
      <c r="V161" s="5">
        <f>IF(Table17[[#This Row],[isis]]="",IF(Table17[[#This Row],[isin]]="",Table17[[#This Row],[Column2]],Table17[[#This Row],[isin]]),Table17[[#This Row],[isis]])</f>
        <v>96</v>
      </c>
      <c r="W161" s="3" t="str">
        <f>IF(Table17[[#This Row],[isis]]="",IF(Table17[[#This Row],[isin]]="",Table17[[#This Row],[Column22]],Table17[[#This Row],[stnn]]),Table17[[#This Row],[stns]])</f>
        <v>LSN</v>
      </c>
      <c r="X161" s="5">
        <f>IF(Table17[[#This Row],[Column2222]]&lt;1,Table17[[#This Row],[Column23]],Table17[[#This Row],[Column23]]*Table17[[#This Row],[Column2222]])</f>
        <v>480</v>
      </c>
      <c r="Y161" s="3" t="str">
        <f>Table17[[#This Row],[Column24]]</f>
        <v>LSN</v>
      </c>
      <c r="Z161" s="5">
        <f>Table17[[#This Row],[HRG / CTN]]/Table17[[#This Row],[Column23]]</f>
        <v>29000</v>
      </c>
      <c r="AA161" s="42" t="str">
        <f>IF(INDEX(NOTA[DISC 1],Sheet1!A:A)=0,"",INDEX(NOTA[DISC 1],Sheet1!A:A))</f>
        <v/>
      </c>
      <c r="AB161" s="42" t="str">
        <f>IF(INDEX(NOTA[DISC 2],Sheet1!A:A)=0,"",INDEX(NOTA[DISC 2],Sheet1!A:A))</f>
        <v/>
      </c>
      <c r="AC16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1" s="43">
        <f>INDEX(NOTA[HARGA/ CTN_H],Sheet1!A:A)</f>
        <v>2784000</v>
      </c>
      <c r="AE161" s="43">
        <f>IF(Table17[[#This Row],[DISC 3]]="",Table17[[#This Row],[HRG / CTN]],Table17[[#This Row],[HRG / CTN]]-(Table17[[#This Row],[HRG / CTN]]*Table17[[#This Row],[DISC 3]]))</f>
        <v>2784000</v>
      </c>
      <c r="AF161" s="14">
        <f>IF(Table17[[#This Row],[Column2222]]&lt;1,Table17[[#This Row],[Column9]],Table17[[#This Row],[Column9]]*Table17[[#This Row],[Column2222]])</f>
        <v>13920000</v>
      </c>
      <c r="AG161" s="43" t="str">
        <f ca="1">IF(NOT(AL162=Table17[[#This Row],[Column6]]),SUMIF(Table17[Column6],Table17[[#This Row],[Column6]],Table17[Column7]),"")</f>
        <v/>
      </c>
      <c r="AH161" s="44">
        <f ca="1">INDEX(NOTA[TGL_H],Sheet1!A:A)</f>
        <v>45461</v>
      </c>
      <c r="AI161" s="44">
        <f ca="1">INDEX(NOTA[TGL.NOTA_H],Sheet1!A:A)</f>
        <v>45456</v>
      </c>
      <c r="AK161" t="str">
        <f>IF(INDEX(NOTA[KETERANGAN],A:A)="","",INDEX(NOTA[KETERANGAN],A:A))</f>
        <v/>
      </c>
      <c r="AL161" t="str">
        <f ca="1">INDEX(NOTA[NO.NOTA_H],Sheet1!A:A)</f>
        <v>JUF308/24</v>
      </c>
      <c r="AM161">
        <f>INDEX(NOTA[KETERANGAN],Sheet1!A:A)</f>
        <v>0</v>
      </c>
      <c r="AN161" t="str">
        <f ca="1">INDEX(NOTA[SUPPLIER_H],Sheet1!A:A)</f>
        <v>DB STATIONERY</v>
      </c>
      <c r="AO161" t="e">
        <f t="shared" ca="1" si="6"/>
        <v>#N/A</v>
      </c>
      <c r="AR161" s="45" t="s">
        <v>246</v>
      </c>
    </row>
    <row r="162" spans="1:44">
      <c r="A162" s="3">
        <v>197</v>
      </c>
      <c r="C162">
        <f>INDEX(NOTA[//DB],Sheet1!A:A)</f>
        <v>2183</v>
      </c>
      <c r="D162">
        <f>MATCH(Table17[[#This Row],[//db]],[3]!Table2[\\],0)</f>
        <v>2065</v>
      </c>
      <c r="E162" t="str">
        <f>INDEX([3]!db[NB NOTA],Table17[[#This Row],[//db]])</f>
        <v>MEK PENSIL 2.0 TIZO TM 030A-2</v>
      </c>
      <c r="F162" t="str">
        <f>INDEX([3]!db[NB BM],Table17[[#This Row],[//db]])</f>
        <v>MECHPEN TIZO TM 030A-2</v>
      </c>
      <c r="G162" t="str">
        <f>_xlfn.IFNA(INDEX([3]!Table2[NAMA],Table17[[#This Row],[dbconcat]]),"")</f>
        <v>MECHPEN TIZO TM 030A-2</v>
      </c>
      <c r="H162" t="str">
        <f>INDEX([3]!Table2[KODE BARANG],Table17[[#This Row],[dbconcat]])</f>
        <v>MEC-TZ27</v>
      </c>
      <c r="I162" t="str">
        <f>IF(Table17[[#This Row],[Column3]]="",UPPER(Table17[[#This Row],[Column1]]),Table17[[#This Row],[Column3]])</f>
        <v>MECHPEN TIZO TM 030A-2</v>
      </c>
      <c r="J162">
        <f>INDEX(NOTA[C],Sheet1!A:A)</f>
        <v>2</v>
      </c>
      <c r="K162">
        <f>IF(OR(Table17[[#This Row],[Column5]]=0,Table17[[#This Row],[Column3]]=""),"",INDEX([3]!Table2[ISI2],Table17[[#This Row],[dbconcat]]))</f>
        <v>96</v>
      </c>
      <c r="L162" t="str">
        <f>IF(Table17[[#This Row],[isis]]="","",INDEX([3]!Table2[SATUAN3],Table17[[#This Row],[dbconcat]]))</f>
        <v>LSN</v>
      </c>
      <c r="M162" t="str">
        <f>IF(Table17[[#This Row],[Column5]]=0,"",IF(Table17[[#This Row],[Column3]]="",INDEX([3]!db[QTY B],Table17[[#This Row],[//db]]),""))</f>
        <v/>
      </c>
      <c r="N162" t="str">
        <f>IF(Table17[[#This Row],[isin]]="","",INDEX([3]!db[STN B],Table17[[#This Row],[//db]]))</f>
        <v/>
      </c>
      <c r="O162" t="str">
        <f>IF(AND(Table17[[#This Row],[isis]]="",Table17[[#This Row],[isin]]=""),INDEX(NOTA[QTY],Sheet1!A:A)/IF(Table17[[#This Row],[Column5]]=0,1,Table17[[#This Row],[Column5]]),"")</f>
        <v/>
      </c>
      <c r="P162" t="str">
        <f>IF(Table17[[#This Row],[Column2]]="","",INDEX(NOTA[STN],Sheet1!A:A))</f>
        <v/>
      </c>
      <c r="Q162" s="5" t="str">
        <f>INDEX([3]!db[QTY B],Table17[[#This Row],[//db]])</f>
        <v>96</v>
      </c>
      <c r="R162" t="str">
        <f>INDEX([3]!db[STN B],Table17[[#This Row],[//db]])</f>
        <v>LSN</v>
      </c>
      <c r="S162" s="40" t="str">
        <f>IF(Table17[[#This Row],[Column5]]=0,Table17[[#This Row],[Column23]]/Table17[[#This Row],[Column224]],"")</f>
        <v/>
      </c>
      <c r="T162" s="4">
        <f>IF(Table17[[#This Row],[Column222]]="",Table17[[#This Row],[Column5]],Table17[[#This Row],[Column222]])</f>
        <v>2</v>
      </c>
      <c r="U162" s="4" t="str">
        <f>IF(Table17[[#This Row],[Column223]]=Table17[[#This Row],[Column24]],"",1)</f>
        <v/>
      </c>
      <c r="V162" s="5">
        <f>IF(Table17[[#This Row],[isis]]="",IF(Table17[[#This Row],[isin]]="",Table17[[#This Row],[Column2]],Table17[[#This Row],[isin]]),Table17[[#This Row],[isis]])</f>
        <v>96</v>
      </c>
      <c r="W162" s="3" t="str">
        <f>IF(Table17[[#This Row],[isis]]="",IF(Table17[[#This Row],[isin]]="",Table17[[#This Row],[Column22]],Table17[[#This Row],[stnn]]),Table17[[#This Row],[stns]])</f>
        <v>LSN</v>
      </c>
      <c r="X162" s="5">
        <f>IF(Table17[[#This Row],[Column2222]]&lt;1,Table17[[#This Row],[Column23]],Table17[[#This Row],[Column23]]*Table17[[#This Row],[Column2222]])</f>
        <v>192</v>
      </c>
      <c r="Y162" s="3" t="str">
        <f>Table17[[#This Row],[Column24]]</f>
        <v>LSN</v>
      </c>
      <c r="Z162" s="5">
        <f>Table17[[#This Row],[HRG / CTN]]/Table17[[#This Row],[Column23]]</f>
        <v>29000</v>
      </c>
      <c r="AA162" s="42" t="str">
        <f>IF(INDEX(NOTA[DISC 1],Sheet1!A:A)=0,"",INDEX(NOTA[DISC 1],Sheet1!A:A))</f>
        <v/>
      </c>
      <c r="AB162" s="42" t="str">
        <f>IF(INDEX(NOTA[DISC 2],Sheet1!A:A)=0,"",INDEX(NOTA[DISC 2],Sheet1!A:A))</f>
        <v/>
      </c>
      <c r="AC16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2" s="43">
        <f>INDEX(NOTA[HARGA/ CTN_H],Sheet1!A:A)</f>
        <v>2784000</v>
      </c>
      <c r="AE162" s="43">
        <f>IF(Table17[[#This Row],[DISC 3]]="",Table17[[#This Row],[HRG / CTN]],Table17[[#This Row],[HRG / CTN]]-(Table17[[#This Row],[HRG / CTN]]*Table17[[#This Row],[DISC 3]]))</f>
        <v>2784000</v>
      </c>
      <c r="AF162" s="14">
        <f>IF(Table17[[#This Row],[Column2222]]&lt;1,Table17[[#This Row],[Column9]],Table17[[#This Row],[Column9]]*Table17[[#This Row],[Column2222]])</f>
        <v>5568000</v>
      </c>
      <c r="AG162" s="43" t="str">
        <f ca="1">IF(NOT(AL163=Table17[[#This Row],[Column6]]),SUMIF(Table17[Column6],Table17[[#This Row],[Column6]],Table17[Column7]),"")</f>
        <v/>
      </c>
      <c r="AH162" s="44">
        <f ca="1">INDEX(NOTA[TGL_H],Sheet1!A:A)</f>
        <v>45461</v>
      </c>
      <c r="AI162" s="44">
        <f ca="1">INDEX(NOTA[TGL.NOTA_H],Sheet1!A:A)</f>
        <v>45456</v>
      </c>
      <c r="AK162" t="str">
        <f>IF(INDEX(NOTA[KETERANGAN],A:A)="","",INDEX(NOTA[KETERANGAN],A:A))</f>
        <v/>
      </c>
      <c r="AL162" t="str">
        <f ca="1">INDEX(NOTA[NO.NOTA_H],Sheet1!A:A)</f>
        <v>JUF308/24</v>
      </c>
      <c r="AM162">
        <f>INDEX(NOTA[KETERANGAN],Sheet1!A:A)</f>
        <v>0</v>
      </c>
      <c r="AN162" t="str">
        <f ca="1">INDEX(NOTA[SUPPLIER_H],Sheet1!A:A)</f>
        <v>DB STATIONERY</v>
      </c>
      <c r="AO162" t="e">
        <f t="shared" ca="1" si="6"/>
        <v>#N/A</v>
      </c>
      <c r="AR162" s="45" t="s">
        <v>246</v>
      </c>
    </row>
    <row r="163" spans="1:44">
      <c r="A163" s="3">
        <v>198</v>
      </c>
      <c r="C163">
        <f>INDEX(NOTA[//DB],Sheet1!A:A)</f>
        <v>2164</v>
      </c>
      <c r="D163">
        <f>MATCH(Table17[[#This Row],[//db]],[3]!Table2[\\],0)</f>
        <v>2045</v>
      </c>
      <c r="E163" t="str">
        <f>INDEX([3]!db[NB NOTA],Table17[[#This Row],[//db]])</f>
        <v>MEK PENSIL 2.0 TM01800</v>
      </c>
      <c r="F163" t="str">
        <f>INDEX([3]!db[NB BM],Table17[[#This Row],[//db]])</f>
        <v>MEKANIK PENSIL 2.0 TIZO TM01800</v>
      </c>
      <c r="G163" t="str">
        <f>_xlfn.IFNA(INDEX([3]!Table2[NAMA],Table17[[#This Row],[dbconcat]]),"")</f>
        <v>MEKANIK PENSIL 2.0 TIZO TM01800</v>
      </c>
      <c r="H163" t="str">
        <f>INDEX([3]!Table2[KODE BARANG],Table17[[#This Row],[dbconcat]])</f>
        <v>MEC-TZ1</v>
      </c>
      <c r="I163" t="str">
        <f>IF(Table17[[#This Row],[Column3]]="",UPPER(Table17[[#This Row],[Column1]]),Table17[[#This Row],[Column3]])</f>
        <v>MEKANIK PENSIL 2.0 TIZO TM01800</v>
      </c>
      <c r="J163">
        <f>INDEX(NOTA[C],Sheet1!A:A)</f>
        <v>2</v>
      </c>
      <c r="K163">
        <f>IF(OR(Table17[[#This Row],[Column5]]=0,Table17[[#This Row],[Column3]]=""),"",INDEX([3]!Table2[ISI2],Table17[[#This Row],[dbconcat]]))</f>
        <v>96</v>
      </c>
      <c r="L163" t="str">
        <f>IF(Table17[[#This Row],[isis]]="","",INDEX([3]!Table2[SATUAN3],Table17[[#This Row],[dbconcat]]))</f>
        <v>LSN</v>
      </c>
      <c r="M163" t="str">
        <f>IF(Table17[[#This Row],[Column5]]=0,"",IF(Table17[[#This Row],[Column3]]="",INDEX([3]!db[QTY B],Table17[[#This Row],[//db]]),""))</f>
        <v/>
      </c>
      <c r="N163" t="str">
        <f>IF(Table17[[#This Row],[isin]]="","",INDEX([3]!db[STN B],Table17[[#This Row],[//db]]))</f>
        <v/>
      </c>
      <c r="O163" t="str">
        <f>IF(AND(Table17[[#This Row],[isis]]="",Table17[[#This Row],[isin]]=""),INDEX(NOTA[QTY],Sheet1!A:A)/IF(Table17[[#This Row],[Column5]]=0,1,Table17[[#This Row],[Column5]]),"")</f>
        <v/>
      </c>
      <c r="P163" t="str">
        <f>IF(Table17[[#This Row],[Column2]]="","",INDEX(NOTA[STN],Sheet1!A:A))</f>
        <v/>
      </c>
      <c r="Q163" s="5" t="str">
        <f>INDEX([3]!db[QTY B],Table17[[#This Row],[//db]])</f>
        <v>96</v>
      </c>
      <c r="R163" t="str">
        <f>INDEX([3]!db[STN B],Table17[[#This Row],[//db]])</f>
        <v>LSN</v>
      </c>
      <c r="S163" s="40" t="str">
        <f>IF(Table17[[#This Row],[Column5]]=0,Table17[[#This Row],[Column23]]/Table17[[#This Row],[Column224]],"")</f>
        <v/>
      </c>
      <c r="T163" s="4">
        <f>IF(Table17[[#This Row],[Column222]]="",Table17[[#This Row],[Column5]],Table17[[#This Row],[Column222]])</f>
        <v>2</v>
      </c>
      <c r="U163" s="4" t="str">
        <f>IF(Table17[[#This Row],[Column223]]=Table17[[#This Row],[Column24]],"",1)</f>
        <v/>
      </c>
      <c r="V163" s="5">
        <f>IF(Table17[[#This Row],[isis]]="",IF(Table17[[#This Row],[isin]]="",Table17[[#This Row],[Column2]],Table17[[#This Row],[isin]]),Table17[[#This Row],[isis]])</f>
        <v>96</v>
      </c>
      <c r="W163" s="3" t="str">
        <f>IF(Table17[[#This Row],[isis]]="",IF(Table17[[#This Row],[isin]]="",Table17[[#This Row],[Column22]],Table17[[#This Row],[stnn]]),Table17[[#This Row],[stns]])</f>
        <v>LSN</v>
      </c>
      <c r="X163" s="5">
        <f>IF(Table17[[#This Row],[Column2222]]&lt;1,Table17[[#This Row],[Column23]],Table17[[#This Row],[Column23]]*Table17[[#This Row],[Column2222]])</f>
        <v>192</v>
      </c>
      <c r="Y163" s="3" t="str">
        <f>Table17[[#This Row],[Column24]]</f>
        <v>LSN</v>
      </c>
      <c r="Z163" s="5">
        <f>Table17[[#This Row],[HRG / CTN]]/Table17[[#This Row],[Column23]]</f>
        <v>29000</v>
      </c>
      <c r="AA163" s="42" t="str">
        <f>IF(INDEX(NOTA[DISC 1],Sheet1!A:A)=0,"",INDEX(NOTA[DISC 1],Sheet1!A:A))</f>
        <v/>
      </c>
      <c r="AB163" s="42" t="str">
        <f>IF(INDEX(NOTA[DISC 2],Sheet1!A:A)=0,"",INDEX(NOTA[DISC 2],Sheet1!A:A))</f>
        <v/>
      </c>
      <c r="AC16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3" s="43">
        <f>INDEX(NOTA[HARGA/ CTN_H],Sheet1!A:A)</f>
        <v>2784000</v>
      </c>
      <c r="AE163" s="43">
        <f>IF(Table17[[#This Row],[DISC 3]]="",Table17[[#This Row],[HRG / CTN]],Table17[[#This Row],[HRG / CTN]]-(Table17[[#This Row],[HRG / CTN]]*Table17[[#This Row],[DISC 3]]))</f>
        <v>2784000</v>
      </c>
      <c r="AF163" s="14">
        <f>IF(Table17[[#This Row],[Column2222]]&lt;1,Table17[[#This Row],[Column9]],Table17[[#This Row],[Column9]]*Table17[[#This Row],[Column2222]])</f>
        <v>5568000</v>
      </c>
      <c r="AG163" s="43" t="str">
        <f ca="1">IF(NOT(AL164=Table17[[#This Row],[Column6]]),SUMIF(Table17[Column6],Table17[[#This Row],[Column6]],Table17[Column7]),"")</f>
        <v/>
      </c>
      <c r="AH163" s="44">
        <f ca="1">INDEX(NOTA[TGL_H],Sheet1!A:A)</f>
        <v>45461</v>
      </c>
      <c r="AI163" s="44">
        <f ca="1">INDEX(NOTA[TGL.NOTA_H],Sheet1!A:A)</f>
        <v>45456</v>
      </c>
      <c r="AK163" t="str">
        <f>IF(INDEX(NOTA[KETERANGAN],A:A)="","",INDEX(NOTA[KETERANGAN],A:A))</f>
        <v/>
      </c>
      <c r="AL163" t="str">
        <f ca="1">INDEX(NOTA[NO.NOTA_H],Sheet1!A:A)</f>
        <v>JUF308/24</v>
      </c>
      <c r="AM163">
        <f>INDEX(NOTA[KETERANGAN],Sheet1!A:A)</f>
        <v>0</v>
      </c>
      <c r="AN163" t="str">
        <f ca="1">INDEX(NOTA[SUPPLIER_H],Sheet1!A:A)</f>
        <v>DB STATIONERY</v>
      </c>
      <c r="AO163" t="e">
        <f t="shared" ca="1" si="6"/>
        <v>#N/A</v>
      </c>
    </row>
    <row r="164" spans="1:44">
      <c r="A164" s="3">
        <v>199</v>
      </c>
      <c r="C164">
        <f>INDEX(NOTA[//DB],Sheet1!A:A)</f>
        <v>2182</v>
      </c>
      <c r="D164">
        <f>MATCH(Table17[[#This Row],[//db]],[3]!Table2[\\],0)</f>
        <v>2054</v>
      </c>
      <c r="E164" t="str">
        <f>INDEX([3]!db[NB NOTA],Table17[[#This Row],[//db]])</f>
        <v>MEK. PENSIL 2.0 TIZO TM030A-1</v>
      </c>
      <c r="F164" t="str">
        <f>INDEX([3]!db[NB BM],Table17[[#This Row],[//db]])</f>
        <v>Mechpen Tizo TM 030A-1</v>
      </c>
      <c r="G164" t="str">
        <f>_xlfn.IFNA(INDEX([3]!Table2[NAMA],Table17[[#This Row],[dbconcat]]),"")</f>
        <v>MECHPEN TIZO TM 030A-1</v>
      </c>
      <c r="H164" t="str">
        <f>INDEX([3]!Table2[KODE BARANG],Table17[[#This Row],[dbconcat]])</f>
        <v>MEC-TZ12</v>
      </c>
      <c r="I164" t="str">
        <f>IF(Table17[[#This Row],[Column3]]="",UPPER(Table17[[#This Row],[Column1]]),Table17[[#This Row],[Column3]])</f>
        <v>MECHPEN TIZO TM 030A-1</v>
      </c>
      <c r="J164">
        <f>INDEX(NOTA[C],Sheet1!A:A)</f>
        <v>1</v>
      </c>
      <c r="K164">
        <f>IF(OR(Table17[[#This Row],[Column5]]=0,Table17[[#This Row],[Column3]]=""),"",INDEX([3]!Table2[ISI2],Table17[[#This Row],[dbconcat]]))</f>
        <v>96</v>
      </c>
      <c r="L164" t="str">
        <f>IF(Table17[[#This Row],[isis]]="","",INDEX([3]!Table2[SATUAN3],Table17[[#This Row],[dbconcat]]))</f>
        <v>LSN</v>
      </c>
      <c r="M164" t="str">
        <f>IF(Table17[[#This Row],[Column5]]=0,"",IF(Table17[[#This Row],[Column3]]="",INDEX([3]!db[QTY B],Table17[[#This Row],[//db]]),""))</f>
        <v/>
      </c>
      <c r="N164" t="str">
        <f>IF(Table17[[#This Row],[isin]]="","",INDEX([3]!db[STN B],Table17[[#This Row],[//db]]))</f>
        <v/>
      </c>
      <c r="O164" t="str">
        <f>IF(AND(Table17[[#This Row],[isis]]="",Table17[[#This Row],[isin]]=""),INDEX(NOTA[QTY],Sheet1!A:A)/IF(Table17[[#This Row],[Column5]]=0,1,Table17[[#This Row],[Column5]]),"")</f>
        <v/>
      </c>
      <c r="P164" t="str">
        <f>IF(Table17[[#This Row],[Column2]]="","",INDEX(NOTA[STN],Sheet1!A:A))</f>
        <v/>
      </c>
      <c r="Q164" s="5" t="str">
        <f>INDEX([3]!db[QTY B],Table17[[#This Row],[//db]])</f>
        <v>96</v>
      </c>
      <c r="R164" t="str">
        <f>INDEX([3]!db[STN B],Table17[[#This Row],[//db]])</f>
        <v>LSN</v>
      </c>
      <c r="S164" s="40" t="str">
        <f>IF(Table17[[#This Row],[Column5]]=0,Table17[[#This Row],[Column23]]/Table17[[#This Row],[Column224]],"")</f>
        <v/>
      </c>
      <c r="T164" s="4">
        <f>IF(Table17[[#This Row],[Column222]]="",Table17[[#This Row],[Column5]],Table17[[#This Row],[Column222]])</f>
        <v>1</v>
      </c>
      <c r="U164" s="4" t="str">
        <f>IF(Table17[[#This Row],[Column223]]=Table17[[#This Row],[Column24]],"",1)</f>
        <v/>
      </c>
      <c r="V164" s="5">
        <f>IF(Table17[[#This Row],[isis]]="",IF(Table17[[#This Row],[isin]]="",Table17[[#This Row],[Column2]],Table17[[#This Row],[isin]]),Table17[[#This Row],[isis]])</f>
        <v>96</v>
      </c>
      <c r="W164" s="3" t="str">
        <f>IF(Table17[[#This Row],[isis]]="",IF(Table17[[#This Row],[isin]]="",Table17[[#This Row],[Column22]],Table17[[#This Row],[stnn]]),Table17[[#This Row],[stns]])</f>
        <v>LSN</v>
      </c>
      <c r="X164" s="5">
        <f>IF(Table17[[#This Row],[Column2222]]&lt;1,Table17[[#This Row],[Column23]],Table17[[#This Row],[Column23]]*Table17[[#This Row],[Column2222]])</f>
        <v>96</v>
      </c>
      <c r="Y164" s="3" t="str">
        <f>Table17[[#This Row],[Column24]]</f>
        <v>LSN</v>
      </c>
      <c r="Z164" s="5">
        <f>Table17[[#This Row],[HRG / CTN]]/Table17[[#This Row],[Column23]]</f>
        <v>29000</v>
      </c>
      <c r="AA164" s="42" t="str">
        <f>IF(INDEX(NOTA[DISC 1],Sheet1!A:A)=0,"",INDEX(NOTA[DISC 1],Sheet1!A:A))</f>
        <v/>
      </c>
      <c r="AB164" s="42" t="str">
        <f>IF(INDEX(NOTA[DISC 2],Sheet1!A:A)=0,"",INDEX(NOTA[DISC 2],Sheet1!A:A))</f>
        <v/>
      </c>
      <c r="AC16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4" s="43">
        <f>INDEX(NOTA[HARGA/ CTN_H],Sheet1!A:A)</f>
        <v>2784000</v>
      </c>
      <c r="AE164" s="43">
        <f>IF(Table17[[#This Row],[DISC 3]]="",Table17[[#This Row],[HRG / CTN]],Table17[[#This Row],[HRG / CTN]]-(Table17[[#This Row],[HRG / CTN]]*Table17[[#This Row],[DISC 3]]))</f>
        <v>2784000</v>
      </c>
      <c r="AF164" s="14">
        <f>IF(Table17[[#This Row],[Column2222]]&lt;1,Table17[[#This Row],[Column9]],Table17[[#This Row],[Column9]]*Table17[[#This Row],[Column2222]])</f>
        <v>2784000</v>
      </c>
      <c r="AG164" s="43" t="str">
        <f ca="1">IF(NOT(AL165=Table17[[#This Row],[Column6]]),SUMIF(Table17[Column6],Table17[[#This Row],[Column6]],Table17[Column7]),"")</f>
        <v/>
      </c>
      <c r="AH164" s="44">
        <f ca="1">INDEX(NOTA[TGL_H],Sheet1!A:A)</f>
        <v>45461</v>
      </c>
      <c r="AI164" s="44">
        <f ca="1">INDEX(NOTA[TGL.NOTA_H],Sheet1!A:A)</f>
        <v>45456</v>
      </c>
      <c r="AK164" t="str">
        <f>IF(INDEX(NOTA[KETERANGAN],A:A)="","",INDEX(NOTA[KETERANGAN],A:A))</f>
        <v/>
      </c>
      <c r="AL164" t="str">
        <f ca="1">INDEX(NOTA[NO.NOTA_H],Sheet1!A:A)</f>
        <v>JUF308/24</v>
      </c>
      <c r="AM164">
        <f>INDEX(NOTA[KETERANGAN],Sheet1!A:A)</f>
        <v>0</v>
      </c>
      <c r="AN164" t="str">
        <f ca="1">INDEX(NOTA[SUPPLIER_H],Sheet1!A:A)</f>
        <v>DB STATIONERY</v>
      </c>
      <c r="AO164" t="e">
        <f t="shared" ca="1" si="6"/>
        <v>#N/A</v>
      </c>
    </row>
    <row r="165" spans="1:44">
      <c r="A165" s="3">
        <v>200</v>
      </c>
      <c r="C165">
        <f>INDEX(NOTA[//DB],Sheet1!A:A)</f>
        <v>2161</v>
      </c>
      <c r="D165">
        <f>MATCH(Table17[[#This Row],[//db]],[3]!Table2[\\],0)</f>
        <v>2066</v>
      </c>
      <c r="E165" t="str">
        <f>INDEX([3]!db[NB NOTA],Table17[[#This Row],[//db]])</f>
        <v>MEK PENSIL 2.0 TIZO TM 02930</v>
      </c>
      <c r="F165" t="str">
        <f>INDEX([3]!db[NB BM],Table17[[#This Row],[//db]])</f>
        <v>Mechpen Tizo 2.0 TM 02930</v>
      </c>
      <c r="G165" t="str">
        <f>_xlfn.IFNA(INDEX([3]!Table2[NAMA],Table17[[#This Row],[dbconcat]]),"")</f>
        <v>MECHPEN TIZO 2.0 TM 02930</v>
      </c>
      <c r="H165" t="str">
        <f>INDEX([3]!Table2[KODE BARANG],Table17[[#This Row],[dbconcat]])</f>
        <v>MEC-TZ28</v>
      </c>
      <c r="I165" t="str">
        <f>IF(Table17[[#This Row],[Column3]]="",UPPER(Table17[[#This Row],[Column1]]),Table17[[#This Row],[Column3]])</f>
        <v>MECHPEN TIZO 2.0 TM 02930</v>
      </c>
      <c r="J165">
        <f>INDEX(NOTA[C],Sheet1!A:A)</f>
        <v>1</v>
      </c>
      <c r="K165">
        <f>IF(OR(Table17[[#This Row],[Column5]]=0,Table17[[#This Row],[Column3]]=""),"",INDEX([3]!Table2[ISI2],Table17[[#This Row],[dbconcat]]))</f>
        <v>144</v>
      </c>
      <c r="L165" t="str">
        <f>IF(Table17[[#This Row],[isis]]="","",INDEX([3]!Table2[SATUAN3],Table17[[#This Row],[dbconcat]]))</f>
        <v>LSN</v>
      </c>
      <c r="M165" t="str">
        <f>IF(Table17[[#This Row],[Column5]]=0,"",IF(Table17[[#This Row],[Column3]]="",INDEX([3]!db[QTY B],Table17[[#This Row],[//db]]),""))</f>
        <v/>
      </c>
      <c r="N165" t="str">
        <f>IF(Table17[[#This Row],[isin]]="","",INDEX([3]!db[STN B],Table17[[#This Row],[//db]]))</f>
        <v/>
      </c>
      <c r="O165" t="str">
        <f>IF(AND(Table17[[#This Row],[isis]]="",Table17[[#This Row],[isin]]=""),INDEX(NOTA[QTY],Sheet1!A:A)/IF(Table17[[#This Row],[Column5]]=0,1,Table17[[#This Row],[Column5]]),"")</f>
        <v/>
      </c>
      <c r="P165" t="str">
        <f>IF(Table17[[#This Row],[Column2]]="","",INDEX(NOTA[STN],Sheet1!A:A))</f>
        <v/>
      </c>
      <c r="Q165" s="5" t="str">
        <f>INDEX([3]!db[QTY B],Table17[[#This Row],[//db]])</f>
        <v>144</v>
      </c>
      <c r="R165" t="str">
        <f>INDEX([3]!db[STN B],Table17[[#This Row],[//db]])</f>
        <v>LSN</v>
      </c>
      <c r="S165" s="40" t="str">
        <f>IF(Table17[[#This Row],[Column5]]=0,Table17[[#This Row],[Column23]]/Table17[[#This Row],[Column224]],"")</f>
        <v/>
      </c>
      <c r="T165" s="4">
        <f>IF(Table17[[#This Row],[Column222]]="",Table17[[#This Row],[Column5]],Table17[[#This Row],[Column222]])</f>
        <v>1</v>
      </c>
      <c r="U165" s="4" t="str">
        <f>IF(Table17[[#This Row],[Column223]]=Table17[[#This Row],[Column24]],"",1)</f>
        <v/>
      </c>
      <c r="V165" s="5">
        <f>IF(Table17[[#This Row],[isis]]="",IF(Table17[[#This Row],[isin]]="",Table17[[#This Row],[Column2]],Table17[[#This Row],[isin]]),Table17[[#This Row],[isis]])</f>
        <v>144</v>
      </c>
      <c r="W165" s="3" t="str">
        <f>IF(Table17[[#This Row],[isis]]="",IF(Table17[[#This Row],[isin]]="",Table17[[#This Row],[Column22]],Table17[[#This Row],[stnn]]),Table17[[#This Row],[stns]])</f>
        <v>LSN</v>
      </c>
      <c r="X165" s="5">
        <f>IF(Table17[[#This Row],[Column2222]]&lt;1,Table17[[#This Row],[Column23]],Table17[[#This Row],[Column23]]*Table17[[#This Row],[Column2222]])</f>
        <v>144</v>
      </c>
      <c r="Y165" s="3" t="str">
        <f>Table17[[#This Row],[Column24]]</f>
        <v>LSN</v>
      </c>
      <c r="Z165" s="5">
        <f>Table17[[#This Row],[HRG / CTN]]/Table17[[#This Row],[Column23]]</f>
        <v>23000</v>
      </c>
      <c r="AA165" s="42" t="str">
        <f>IF(INDEX(NOTA[DISC 1],Sheet1!A:A)=0,"",INDEX(NOTA[DISC 1],Sheet1!A:A))</f>
        <v/>
      </c>
      <c r="AB165" s="42" t="str">
        <f>IF(INDEX(NOTA[DISC 2],Sheet1!A:A)=0,"",INDEX(NOTA[DISC 2],Sheet1!A:A))</f>
        <v/>
      </c>
      <c r="AC16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5" s="43">
        <f>INDEX(NOTA[HARGA/ CTN_H],Sheet1!A:A)</f>
        <v>3312000</v>
      </c>
      <c r="AE165" s="43">
        <f>IF(Table17[[#This Row],[DISC 3]]="",Table17[[#This Row],[HRG / CTN]],Table17[[#This Row],[HRG / CTN]]-(Table17[[#This Row],[HRG / CTN]]*Table17[[#This Row],[DISC 3]]))</f>
        <v>3312000</v>
      </c>
      <c r="AF165" s="14">
        <f>IF(Table17[[#This Row],[Column2222]]&lt;1,Table17[[#This Row],[Column9]],Table17[[#This Row],[Column9]]*Table17[[#This Row],[Column2222]])</f>
        <v>3312000</v>
      </c>
      <c r="AG165" s="43" t="str">
        <f ca="1">IF(NOT(AL166=Table17[[#This Row],[Column6]]),SUMIF(Table17[Column6],Table17[[#This Row],[Column6]],Table17[Column7]),"")</f>
        <v/>
      </c>
      <c r="AH165" s="44">
        <f ca="1">INDEX(NOTA[TGL_H],Sheet1!A:A)</f>
        <v>45461</v>
      </c>
      <c r="AI165" s="44">
        <f ca="1">INDEX(NOTA[TGL.NOTA_H],Sheet1!A:A)</f>
        <v>45456</v>
      </c>
      <c r="AK165" t="str">
        <f>IF(INDEX(NOTA[KETERANGAN],A:A)="","",INDEX(NOTA[KETERANGAN],A:A))</f>
        <v/>
      </c>
      <c r="AL165" t="str">
        <f ca="1">INDEX(NOTA[NO.NOTA_H],Sheet1!A:A)</f>
        <v>JUF308/24</v>
      </c>
      <c r="AM165">
        <f>INDEX(NOTA[KETERANGAN],Sheet1!A:A)</f>
        <v>0</v>
      </c>
      <c r="AN165" t="str">
        <f ca="1">INDEX(NOTA[SUPPLIER_H],Sheet1!A:A)</f>
        <v>DB STATIONERY</v>
      </c>
      <c r="AO165" t="e">
        <f t="shared" ca="1" si="6"/>
        <v>#N/A</v>
      </c>
    </row>
    <row r="166" spans="1:44">
      <c r="A166" s="3">
        <v>201</v>
      </c>
      <c r="C166">
        <f>INDEX(NOTA[//DB],Sheet1!A:A)</f>
        <v>2158</v>
      </c>
      <c r="D166" t="e">
        <f>MATCH(Table17[[#This Row],[//db]],[3]!Table2[\\],0)</f>
        <v>#N/A</v>
      </c>
      <c r="E166" t="str">
        <f>INDEX([3]!db[NB NOTA],Table17[[#This Row],[//db]])</f>
        <v>MEK PENSIL TIZO TM01600-B</v>
      </c>
      <c r="F166" t="str">
        <f>INDEX([3]!db[NB BM],Table17[[#This Row],[//db]])</f>
        <v>MECHPEN 0.5 TM 01600-B</v>
      </c>
      <c r="G166" t="str">
        <f>_xlfn.IFNA(INDEX([3]!Table2[NAMA],Table17[[#This Row],[dbconcat]]),"")</f>
        <v/>
      </c>
      <c r="H166" t="e">
        <f>INDEX([3]!Table2[KODE BARANG],Table17[[#This Row],[dbconcat]])</f>
        <v>#N/A</v>
      </c>
      <c r="I166" t="str">
        <f>IF(Table17[[#This Row],[Column3]]="",UPPER(Table17[[#This Row],[Column1]]),Table17[[#This Row],[Column3]])</f>
        <v>MECHPEN 0.5 TM 01600-B</v>
      </c>
      <c r="J166">
        <f>INDEX(NOTA[C],Sheet1!A:A)</f>
        <v>2</v>
      </c>
      <c r="K166" t="str">
        <f>IF(OR(Table17[[#This Row],[Column5]]=0,Table17[[#This Row],[Column3]]=""),"",INDEX([3]!Table2[ISI2],Table17[[#This Row],[dbconcat]]))</f>
        <v/>
      </c>
      <c r="L166" t="str">
        <f>IF(Table17[[#This Row],[isis]]="","",INDEX([3]!Table2[SATUAN3],Table17[[#This Row],[dbconcat]]))</f>
        <v/>
      </c>
      <c r="M166" t="str">
        <f>IF(Table17[[#This Row],[Column5]]=0,"",IF(Table17[[#This Row],[Column3]]="",INDEX([3]!db[QTY B],Table17[[#This Row],[//db]]),""))</f>
        <v>144</v>
      </c>
      <c r="N166" t="str">
        <f>IF(Table17[[#This Row],[isin]]="","",INDEX([3]!db[STN B],Table17[[#This Row],[//db]]))</f>
        <v>LSN</v>
      </c>
      <c r="O166" t="str">
        <f>IF(AND(Table17[[#This Row],[isis]]="",Table17[[#This Row],[isin]]=""),INDEX(NOTA[QTY],Sheet1!A:A)/IF(Table17[[#This Row],[Column5]]=0,1,Table17[[#This Row],[Column5]]),"")</f>
        <v/>
      </c>
      <c r="P166" t="str">
        <f>IF(Table17[[#This Row],[Column2]]="","",INDEX(NOTA[STN],Sheet1!A:A))</f>
        <v/>
      </c>
      <c r="Q166" s="5" t="str">
        <f>INDEX([3]!db[QTY B],Table17[[#This Row],[//db]])</f>
        <v>144</v>
      </c>
      <c r="R166" t="str">
        <f>INDEX([3]!db[STN B],Table17[[#This Row],[//db]])</f>
        <v>LSN</v>
      </c>
      <c r="S166" s="40" t="str">
        <f>IF(Table17[[#This Row],[Column5]]=0,Table17[[#This Row],[Column23]]/Table17[[#This Row],[Column224]],"")</f>
        <v/>
      </c>
      <c r="T166" s="4">
        <f>IF(Table17[[#This Row],[Column222]]="",Table17[[#This Row],[Column5]],Table17[[#This Row],[Column222]])</f>
        <v>2</v>
      </c>
      <c r="U166" s="4" t="str">
        <f>IF(Table17[[#This Row],[Column223]]=Table17[[#This Row],[Column24]],"",1)</f>
        <v/>
      </c>
      <c r="V166" s="5" t="str">
        <f>IF(Table17[[#This Row],[isis]]="",IF(Table17[[#This Row],[isin]]="",Table17[[#This Row],[Column2]],Table17[[#This Row],[isin]]),Table17[[#This Row],[isis]])</f>
        <v>144</v>
      </c>
      <c r="W166" s="3" t="str">
        <f>IF(Table17[[#This Row],[isis]]="",IF(Table17[[#This Row],[isin]]="",Table17[[#This Row],[Column22]],Table17[[#This Row],[stnn]]),Table17[[#This Row],[stns]])</f>
        <v>LSN</v>
      </c>
      <c r="X166" s="5">
        <f>IF(Table17[[#This Row],[Column2222]]&lt;1,Table17[[#This Row],[Column23]],Table17[[#This Row],[Column23]]*Table17[[#This Row],[Column2222]])</f>
        <v>288</v>
      </c>
      <c r="Y166" s="3" t="str">
        <f>Table17[[#This Row],[Column24]]</f>
        <v>LSN</v>
      </c>
      <c r="Z166" s="5">
        <f>Table17[[#This Row],[HRG / CTN]]/Table17[[#This Row],[Column23]]</f>
        <v>16000</v>
      </c>
      <c r="AA166" s="42" t="str">
        <f>IF(INDEX(NOTA[DISC 1],Sheet1!A:A)=0,"",INDEX(NOTA[DISC 1],Sheet1!A:A))</f>
        <v/>
      </c>
      <c r="AB166" s="42" t="str">
        <f>IF(INDEX(NOTA[DISC 2],Sheet1!A:A)=0,"",INDEX(NOTA[DISC 2],Sheet1!A:A))</f>
        <v/>
      </c>
      <c r="AC16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6" s="43">
        <f>INDEX(NOTA[HARGA/ CTN_H],Sheet1!A:A)</f>
        <v>2304000</v>
      </c>
      <c r="AE166" s="43">
        <f>IF(Table17[[#This Row],[DISC 3]]="",Table17[[#This Row],[HRG / CTN]],Table17[[#This Row],[HRG / CTN]]-(Table17[[#This Row],[HRG / CTN]]*Table17[[#This Row],[DISC 3]]))</f>
        <v>2304000</v>
      </c>
      <c r="AF166" s="14">
        <f>IF(Table17[[#This Row],[Column2222]]&lt;1,Table17[[#This Row],[Column9]],Table17[[#This Row],[Column9]]*Table17[[#This Row],[Column2222]])</f>
        <v>4608000</v>
      </c>
      <c r="AG166" s="43" t="str">
        <f ca="1">IF(NOT(AL167=Table17[[#This Row],[Column6]]),SUMIF(Table17[Column6],Table17[[#This Row],[Column6]],Table17[Column7]),"")</f>
        <v/>
      </c>
      <c r="AH166" s="44">
        <f ca="1">INDEX(NOTA[TGL_H],Sheet1!A:A)</f>
        <v>45461</v>
      </c>
      <c r="AI166" s="44">
        <f ca="1">INDEX(NOTA[TGL.NOTA_H],Sheet1!A:A)</f>
        <v>45456</v>
      </c>
      <c r="AK166" t="str">
        <f>IF(INDEX(NOTA[KETERANGAN],A:A)="","",INDEX(NOTA[KETERANGAN],A:A))</f>
        <v/>
      </c>
      <c r="AL166" t="str">
        <f ca="1">INDEX(NOTA[NO.NOTA_H],Sheet1!A:A)</f>
        <v>JUF308/24</v>
      </c>
      <c r="AM166">
        <f>INDEX(NOTA[KETERANGAN],Sheet1!A:A)</f>
        <v>0</v>
      </c>
      <c r="AN166" t="str">
        <f ca="1">INDEX(NOTA[SUPPLIER_H],Sheet1!A:A)</f>
        <v>DB STATIONERY</v>
      </c>
      <c r="AO166" t="e">
        <f t="shared" ca="1" si="6"/>
        <v>#N/A</v>
      </c>
    </row>
    <row r="167" spans="1:44">
      <c r="A167" s="3">
        <v>202</v>
      </c>
      <c r="C167">
        <f>INDEX(NOTA[//DB],Sheet1!A:A)</f>
        <v>2207</v>
      </c>
      <c r="D167">
        <f>MATCH(Table17[[#This Row],[//db]],[3]!Table2[\\],0)</f>
        <v>2046</v>
      </c>
      <c r="E167" t="str">
        <f>INDEX([3]!db[NB NOTA],Table17[[#This Row],[//db]])</f>
        <v>MEKANIK PENSIL TIZO TM 01500</v>
      </c>
      <c r="F167" t="str">
        <f>INDEX([3]!db[NB BM],Table17[[#This Row],[//db]])</f>
        <v>Mechpen Tizo TM 01500</v>
      </c>
      <c r="G167" t="str">
        <f>_xlfn.IFNA(INDEX([3]!Table2[NAMA],Table17[[#This Row],[dbconcat]]),"")</f>
        <v>MECHPEN TIZO TM 01500</v>
      </c>
      <c r="H167" t="str">
        <f>INDEX([3]!Table2[KODE BARANG],Table17[[#This Row],[dbconcat]])</f>
        <v>MEC-TZ4</v>
      </c>
      <c r="I167" t="str">
        <f>IF(Table17[[#This Row],[Column3]]="",UPPER(Table17[[#This Row],[Column1]]),Table17[[#This Row],[Column3]])</f>
        <v>MECHPEN TIZO TM 01500</v>
      </c>
      <c r="J167">
        <f>INDEX(NOTA[C],Sheet1!A:A)</f>
        <v>2</v>
      </c>
      <c r="K167">
        <f>IF(OR(Table17[[#This Row],[Column5]]=0,Table17[[#This Row],[Column3]]=""),"",INDEX([3]!Table2[ISI2],Table17[[#This Row],[dbconcat]]))</f>
        <v>144</v>
      </c>
      <c r="L167" t="str">
        <f>IF(Table17[[#This Row],[isis]]="","",INDEX([3]!Table2[SATUAN3],Table17[[#This Row],[dbconcat]]))</f>
        <v>LSN</v>
      </c>
      <c r="M167" t="str">
        <f>IF(Table17[[#This Row],[Column5]]=0,"",IF(Table17[[#This Row],[Column3]]="",INDEX([3]!db[QTY B],Table17[[#This Row],[//db]]),""))</f>
        <v/>
      </c>
      <c r="N167" t="str">
        <f>IF(Table17[[#This Row],[isin]]="","",INDEX([3]!db[STN B],Table17[[#This Row],[//db]]))</f>
        <v/>
      </c>
      <c r="O167" t="str">
        <f>IF(AND(Table17[[#This Row],[isis]]="",Table17[[#This Row],[isin]]=""),INDEX(NOTA[QTY],Sheet1!A:A)/IF(Table17[[#This Row],[Column5]]=0,1,Table17[[#This Row],[Column5]]),"")</f>
        <v/>
      </c>
      <c r="P167" t="str">
        <f>IF(Table17[[#This Row],[Column2]]="","",INDEX(NOTA[STN],Sheet1!A:A))</f>
        <v/>
      </c>
      <c r="Q167" s="5" t="str">
        <f>INDEX([3]!db[QTY B],Table17[[#This Row],[//db]])</f>
        <v>144</v>
      </c>
      <c r="R167" t="str">
        <f>INDEX([3]!db[STN B],Table17[[#This Row],[//db]])</f>
        <v>LSN</v>
      </c>
      <c r="S167" s="40" t="str">
        <f>IF(Table17[[#This Row],[Column5]]=0,Table17[[#This Row],[Column23]]/Table17[[#This Row],[Column224]],"")</f>
        <v/>
      </c>
      <c r="T167" s="4">
        <f>IF(Table17[[#This Row],[Column222]]="",Table17[[#This Row],[Column5]],Table17[[#This Row],[Column222]])</f>
        <v>2</v>
      </c>
      <c r="U167" s="4" t="str">
        <f>IF(Table17[[#This Row],[Column223]]=Table17[[#This Row],[Column24]],"",1)</f>
        <v/>
      </c>
      <c r="V167" s="5">
        <f>IF(Table17[[#This Row],[isis]]="",IF(Table17[[#This Row],[isin]]="",Table17[[#This Row],[Column2]],Table17[[#This Row],[isin]]),Table17[[#This Row],[isis]])</f>
        <v>144</v>
      </c>
      <c r="W167" s="3" t="str">
        <f>IF(Table17[[#This Row],[isis]]="",IF(Table17[[#This Row],[isin]]="",Table17[[#This Row],[Column22]],Table17[[#This Row],[stnn]]),Table17[[#This Row],[stns]])</f>
        <v>LSN</v>
      </c>
      <c r="X167" s="5">
        <f>IF(Table17[[#This Row],[Column2222]]&lt;1,Table17[[#This Row],[Column23]],Table17[[#This Row],[Column23]]*Table17[[#This Row],[Column2222]])</f>
        <v>288</v>
      </c>
      <c r="Y167" s="3" t="str">
        <f>Table17[[#This Row],[Column24]]</f>
        <v>LSN</v>
      </c>
      <c r="Z167" s="5">
        <f>Table17[[#This Row],[HRG / CTN]]/Table17[[#This Row],[Column23]]</f>
        <v>13500</v>
      </c>
      <c r="AA167" s="42" t="str">
        <f>IF(INDEX(NOTA[DISC 1],Sheet1!A:A)=0,"",INDEX(NOTA[DISC 1],Sheet1!A:A))</f>
        <v/>
      </c>
      <c r="AB167" s="42" t="str">
        <f>IF(INDEX(NOTA[DISC 2],Sheet1!A:A)=0,"",INDEX(NOTA[DISC 2],Sheet1!A:A))</f>
        <v/>
      </c>
      <c r="AC16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7" s="43">
        <f>INDEX(NOTA[HARGA/ CTN_H],Sheet1!A:A)</f>
        <v>1944000</v>
      </c>
      <c r="AE167" s="43">
        <f>IF(Table17[[#This Row],[DISC 3]]="",Table17[[#This Row],[HRG / CTN]],Table17[[#This Row],[HRG / CTN]]-(Table17[[#This Row],[HRG / CTN]]*Table17[[#This Row],[DISC 3]]))</f>
        <v>1944000</v>
      </c>
      <c r="AF167" s="14">
        <f>IF(Table17[[#This Row],[Column2222]]&lt;1,Table17[[#This Row],[Column9]],Table17[[#This Row],[Column9]]*Table17[[#This Row],[Column2222]])</f>
        <v>3888000</v>
      </c>
      <c r="AG167" s="43" t="str">
        <f ca="1">IF(NOT(AL168=Table17[[#This Row],[Column6]]),SUMIF(Table17[Column6],Table17[[#This Row],[Column6]],Table17[Column7]),"")</f>
        <v/>
      </c>
      <c r="AH167" s="44">
        <f ca="1">INDEX(NOTA[TGL_H],Sheet1!A:A)</f>
        <v>45461</v>
      </c>
      <c r="AI167" s="44">
        <f ca="1">INDEX(NOTA[TGL.NOTA_H],Sheet1!A:A)</f>
        <v>45456</v>
      </c>
      <c r="AK167" t="str">
        <f>IF(INDEX(NOTA[KETERANGAN],A:A)="","",INDEX(NOTA[KETERANGAN],A:A))</f>
        <v/>
      </c>
      <c r="AL167" t="str">
        <f ca="1">INDEX(NOTA[NO.NOTA_H],Sheet1!A:A)</f>
        <v>JUF308/24</v>
      </c>
      <c r="AM167">
        <f>INDEX(NOTA[KETERANGAN],Sheet1!A:A)</f>
        <v>0</v>
      </c>
      <c r="AN167" t="str">
        <f ca="1">INDEX(NOTA[SUPPLIER_H],Sheet1!A:A)</f>
        <v>DB STATIONERY</v>
      </c>
      <c r="AO167" t="e">
        <f t="shared" ca="1" si="6"/>
        <v>#N/A</v>
      </c>
    </row>
    <row r="168" spans="1:44">
      <c r="A168" s="3">
        <v>203</v>
      </c>
      <c r="C168">
        <f>INDEX(NOTA[//DB],Sheet1!A:A)</f>
        <v>2709</v>
      </c>
      <c r="D168" t="e">
        <f>MATCH(Table17[[#This Row],[//db]],[3]!Table2[\\],0)</f>
        <v>#N/A</v>
      </c>
      <c r="E168" t="str">
        <f>INDEX([3]!db[NB NOTA],Table17[[#This Row],[//db]])</f>
        <v>PENSIL WARNA TWIN KY-CP1224</v>
      </c>
      <c r="F168" t="str">
        <f>INDEX([3]!db[NB BM],Table17[[#This Row],[//db]])</f>
        <v>PW Twin KY-CP1224</v>
      </c>
      <c r="G168" t="str">
        <f>_xlfn.IFNA(INDEX([3]!Table2[NAMA],Table17[[#This Row],[dbconcat]]),"")</f>
        <v/>
      </c>
      <c r="H168" t="e">
        <f>INDEX([3]!Table2[KODE BARANG],Table17[[#This Row],[dbconcat]])</f>
        <v>#N/A</v>
      </c>
      <c r="I168" t="str">
        <f>IF(Table17[[#This Row],[Column3]]="",UPPER(Table17[[#This Row],[Column1]]),Table17[[#This Row],[Column3]])</f>
        <v>PW TWIN KY-CP1224</v>
      </c>
      <c r="J168">
        <f>INDEX(NOTA[C],Sheet1!A:A)</f>
        <v>1</v>
      </c>
      <c r="K168" t="str">
        <f>IF(OR(Table17[[#This Row],[Column5]]=0,Table17[[#This Row],[Column3]]=""),"",INDEX([3]!Table2[ISI2],Table17[[#This Row],[dbconcat]]))</f>
        <v/>
      </c>
      <c r="L168" t="str">
        <f>IF(Table17[[#This Row],[isis]]="","",INDEX([3]!Table2[SATUAN3],Table17[[#This Row],[dbconcat]]))</f>
        <v/>
      </c>
      <c r="M168" t="str">
        <f>IF(Table17[[#This Row],[Column5]]=0,"",IF(Table17[[#This Row],[Column3]]="",INDEX([3]!db[QTY B],Table17[[#This Row],[//db]]),""))</f>
        <v>288</v>
      </c>
      <c r="N168" t="str">
        <f>IF(Table17[[#This Row],[isin]]="","",INDEX([3]!db[STN B],Table17[[#This Row],[//db]]))</f>
        <v>SET</v>
      </c>
      <c r="O168" t="str">
        <f>IF(AND(Table17[[#This Row],[isis]]="",Table17[[#This Row],[isin]]=""),INDEX(NOTA[QTY],Sheet1!A:A)/IF(Table17[[#This Row],[Column5]]=0,1,Table17[[#This Row],[Column5]]),"")</f>
        <v/>
      </c>
      <c r="P168" t="str">
        <f>IF(Table17[[#This Row],[Column2]]="","",INDEX(NOTA[STN],Sheet1!A:A))</f>
        <v/>
      </c>
      <c r="Q168" s="5" t="str">
        <f>INDEX([3]!db[QTY B],Table17[[#This Row],[//db]])</f>
        <v>288</v>
      </c>
      <c r="R168" t="str">
        <f>INDEX([3]!db[STN B],Table17[[#This Row],[//db]])</f>
        <v>SET</v>
      </c>
      <c r="S168" s="40" t="str">
        <f>IF(Table17[[#This Row],[Column5]]=0,Table17[[#This Row],[Column23]]/Table17[[#This Row],[Column224]],"")</f>
        <v/>
      </c>
      <c r="T168" s="4">
        <f>IF(Table17[[#This Row],[Column222]]="",Table17[[#This Row],[Column5]],Table17[[#This Row],[Column222]])</f>
        <v>1</v>
      </c>
      <c r="U168" s="4" t="str">
        <f>IF(Table17[[#This Row],[Column223]]=Table17[[#This Row],[Column24]],"",1)</f>
        <v/>
      </c>
      <c r="V168" s="5" t="str">
        <f>IF(Table17[[#This Row],[isis]]="",IF(Table17[[#This Row],[isin]]="",Table17[[#This Row],[Column2]],Table17[[#This Row],[isin]]),Table17[[#This Row],[isis]])</f>
        <v>288</v>
      </c>
      <c r="W168" s="3" t="str">
        <f>IF(Table17[[#This Row],[isis]]="",IF(Table17[[#This Row],[isin]]="",Table17[[#This Row],[Column22]],Table17[[#This Row],[stnn]]),Table17[[#This Row],[stns]])</f>
        <v>SET</v>
      </c>
      <c r="X168" s="5">
        <f>IF(Table17[[#This Row],[Column2222]]&lt;1,Table17[[#This Row],[Column23]],Table17[[#This Row],[Column23]]*Table17[[#This Row],[Column2222]])</f>
        <v>288</v>
      </c>
      <c r="Y168" s="3" t="str">
        <f>Table17[[#This Row],[Column24]]</f>
        <v>SET</v>
      </c>
      <c r="Z168" s="5">
        <f>Table17[[#This Row],[HRG / CTN]]/Table17[[#This Row],[Column23]]</f>
        <v>10800</v>
      </c>
      <c r="AA168" s="42" t="str">
        <f>IF(INDEX(NOTA[DISC 1],Sheet1!A:A)=0,"",INDEX(NOTA[DISC 1],Sheet1!A:A))</f>
        <v/>
      </c>
      <c r="AB168" s="42" t="str">
        <f>IF(INDEX(NOTA[DISC 2],Sheet1!A:A)=0,"",INDEX(NOTA[DISC 2],Sheet1!A:A))</f>
        <v/>
      </c>
      <c r="AC16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8" s="43">
        <f>INDEX(NOTA[HARGA/ CTN_H],Sheet1!A:A)</f>
        <v>3110400</v>
      </c>
      <c r="AE168" s="43">
        <f>IF(Table17[[#This Row],[DISC 3]]="",Table17[[#This Row],[HRG / CTN]],Table17[[#This Row],[HRG / CTN]]-(Table17[[#This Row],[HRG / CTN]]*Table17[[#This Row],[DISC 3]]))</f>
        <v>3110400</v>
      </c>
      <c r="AF168" s="14">
        <f>IF(Table17[[#This Row],[Column2222]]&lt;1,Table17[[#This Row],[Column9]],Table17[[#This Row],[Column9]]*Table17[[#This Row],[Column2222]])</f>
        <v>3110400</v>
      </c>
      <c r="AG168" s="43" t="str">
        <f ca="1">IF(NOT(AL169=Table17[[#This Row],[Column6]]),SUMIF(Table17[Column6],Table17[[#This Row],[Column6]],Table17[Column7]),"")</f>
        <v/>
      </c>
      <c r="AH168" s="44">
        <f ca="1">INDEX(NOTA[TGL_H],Sheet1!A:A)</f>
        <v>45461</v>
      </c>
      <c r="AI168" s="44">
        <f ca="1">INDEX(NOTA[TGL.NOTA_H],Sheet1!A:A)</f>
        <v>45456</v>
      </c>
      <c r="AK168" t="str">
        <f>IF(INDEX(NOTA[KETERANGAN],A:A)="","",INDEX(NOTA[KETERANGAN],A:A))</f>
        <v/>
      </c>
      <c r="AL168" t="str">
        <f ca="1">INDEX(NOTA[NO.NOTA_H],Sheet1!A:A)</f>
        <v>JUF308/24</v>
      </c>
      <c r="AM168">
        <f>INDEX(NOTA[KETERANGAN],Sheet1!A:A)</f>
        <v>0</v>
      </c>
      <c r="AN168" t="str">
        <f ca="1">INDEX(NOTA[SUPPLIER_H],Sheet1!A:A)</f>
        <v>DB STATIONERY</v>
      </c>
      <c r="AO168" t="e">
        <f t="shared" ca="1" si="6"/>
        <v>#N/A</v>
      </c>
    </row>
    <row r="169" spans="1:44">
      <c r="A169" s="3">
        <v>204</v>
      </c>
      <c r="C169">
        <f>INDEX(NOTA[//DB],Sheet1!A:A)</f>
        <v>2657</v>
      </c>
      <c r="D169">
        <f>MATCH(Table17[[#This Row],[//db]],[3]!Table2[\\],0)</f>
        <v>2677</v>
      </c>
      <c r="E169" t="str">
        <f>INDEX([3]!db[NB NOTA],Table17[[#This Row],[//db]])</f>
        <v>PENSIL 12W PANJANG KY-CP1210</v>
      </c>
      <c r="F169" t="str">
        <f>INDEX([3]!db[NB BM],Table17[[#This Row],[//db]])</f>
        <v>PW 12W Kayagi KY-CP 1210 Panjang</v>
      </c>
      <c r="G169" t="str">
        <f>_xlfn.IFNA(INDEX([3]!Table2[NAMA],Table17[[#This Row],[dbconcat]]),"")</f>
        <v>PW 12W KAYAGI KY-CP 1210 PANJANG</v>
      </c>
      <c r="H169" t="str">
        <f>INDEX([3]!Table2[KODE BARANG],Table17[[#This Row],[dbconcat]])</f>
        <v>PWA-KY9</v>
      </c>
      <c r="I169" t="str">
        <f>IF(Table17[[#This Row],[Column3]]="",UPPER(Table17[[#This Row],[Column1]]),Table17[[#This Row],[Column3]])</f>
        <v>PW 12W KAYAGI KY-CP 1210 PANJANG</v>
      </c>
      <c r="J169">
        <f>INDEX(NOTA[C],Sheet1!A:A)</f>
        <v>1</v>
      </c>
      <c r="K169">
        <f>IF(OR(Table17[[#This Row],[Column5]]=0,Table17[[#This Row],[Column3]]=""),"",INDEX([3]!Table2[ISI2],Table17[[#This Row],[dbconcat]]))</f>
        <v>240</v>
      </c>
      <c r="L169" t="str">
        <f>IF(Table17[[#This Row],[isis]]="","",INDEX([3]!Table2[SATUAN3],Table17[[#This Row],[dbconcat]]))</f>
        <v>PCS</v>
      </c>
      <c r="M169" t="str">
        <f>IF(Table17[[#This Row],[Column5]]=0,"",IF(Table17[[#This Row],[Column3]]="",INDEX([3]!db[QTY B],Table17[[#This Row],[//db]]),""))</f>
        <v/>
      </c>
      <c r="N169" t="str">
        <f>IF(Table17[[#This Row],[isin]]="","",INDEX([3]!db[STN B],Table17[[#This Row],[//db]]))</f>
        <v/>
      </c>
      <c r="O169" t="str">
        <f>IF(AND(Table17[[#This Row],[isis]]="",Table17[[#This Row],[isin]]=""),INDEX(NOTA[QTY],Sheet1!A:A)/IF(Table17[[#This Row],[Column5]]=0,1,Table17[[#This Row],[Column5]]),"")</f>
        <v/>
      </c>
      <c r="P169" t="str">
        <f>IF(Table17[[#This Row],[Column2]]="","",INDEX(NOTA[STN],Sheet1!A:A))</f>
        <v/>
      </c>
      <c r="Q169" s="5" t="str">
        <f>INDEX([3]!db[QTY B],Table17[[#This Row],[//db]])</f>
        <v>240</v>
      </c>
      <c r="R169" t="str">
        <f>INDEX([3]!db[STN B],Table17[[#This Row],[//db]])</f>
        <v>SET</v>
      </c>
      <c r="S169" s="40" t="str">
        <f>IF(Table17[[#This Row],[Column5]]=0,Table17[[#This Row],[Column23]]/Table17[[#This Row],[Column224]],"")</f>
        <v/>
      </c>
      <c r="T169" s="4">
        <f>IF(Table17[[#This Row],[Column222]]="",Table17[[#This Row],[Column5]],Table17[[#This Row],[Column222]])</f>
        <v>1</v>
      </c>
      <c r="U169" s="4">
        <f>IF(Table17[[#This Row],[Column223]]=Table17[[#This Row],[Column24]],"",1)</f>
        <v>1</v>
      </c>
      <c r="V169" s="5">
        <f>IF(Table17[[#This Row],[isis]]="",IF(Table17[[#This Row],[isin]]="",Table17[[#This Row],[Column2]],Table17[[#This Row],[isin]]),Table17[[#This Row],[isis]])</f>
        <v>240</v>
      </c>
      <c r="W169" s="3" t="str">
        <f>IF(Table17[[#This Row],[isis]]="",IF(Table17[[#This Row],[isin]]="",Table17[[#This Row],[Column22]],Table17[[#This Row],[stnn]]),Table17[[#This Row],[stns]])</f>
        <v>PCS</v>
      </c>
      <c r="X169" s="5">
        <f>IF(Table17[[#This Row],[Column2222]]&lt;1,Table17[[#This Row],[Column23]],Table17[[#This Row],[Column23]]*Table17[[#This Row],[Column2222]])</f>
        <v>240</v>
      </c>
      <c r="Y169" s="3" t="str">
        <f>Table17[[#This Row],[Column24]]</f>
        <v>PCS</v>
      </c>
      <c r="Z169" s="5">
        <f>Table17[[#This Row],[HRG / CTN]]/Table17[[#This Row],[Column23]]</f>
        <v>8800</v>
      </c>
      <c r="AA169" s="42" t="str">
        <f>IF(INDEX(NOTA[DISC 1],Sheet1!A:A)=0,"",INDEX(NOTA[DISC 1],Sheet1!A:A))</f>
        <v/>
      </c>
      <c r="AB169" s="42" t="str">
        <f>IF(INDEX(NOTA[DISC 2],Sheet1!A:A)=0,"",INDEX(NOTA[DISC 2],Sheet1!A:A))</f>
        <v/>
      </c>
      <c r="AC16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9" s="43">
        <f>INDEX(NOTA[HARGA/ CTN_H],Sheet1!A:A)</f>
        <v>2112000</v>
      </c>
      <c r="AE169" s="43">
        <f>IF(Table17[[#This Row],[DISC 3]]="",Table17[[#This Row],[HRG / CTN]],Table17[[#This Row],[HRG / CTN]]-(Table17[[#This Row],[HRG / CTN]]*Table17[[#This Row],[DISC 3]]))</f>
        <v>2112000</v>
      </c>
      <c r="AF169" s="14">
        <f>IF(Table17[[#This Row],[Column2222]]&lt;1,Table17[[#This Row],[Column9]],Table17[[#This Row],[Column9]]*Table17[[#This Row],[Column2222]])</f>
        <v>2112000</v>
      </c>
      <c r="AG169" s="43" t="str">
        <f ca="1">IF(NOT(AL170=Table17[[#This Row],[Column6]]),SUMIF(Table17[Column6],Table17[[#This Row],[Column6]],Table17[Column7]),"")</f>
        <v/>
      </c>
      <c r="AH169" s="44">
        <f ca="1">INDEX(NOTA[TGL_H],Sheet1!A:A)</f>
        <v>45461</v>
      </c>
      <c r="AI169" s="44">
        <f ca="1">INDEX(NOTA[TGL.NOTA_H],Sheet1!A:A)</f>
        <v>45456</v>
      </c>
      <c r="AK169" t="str">
        <f>IF(INDEX(NOTA[KETERANGAN],A:A)="","",INDEX(NOTA[KETERANGAN],A:A))</f>
        <v/>
      </c>
      <c r="AL169" t="str">
        <f ca="1">INDEX(NOTA[NO.NOTA_H],Sheet1!A:A)</f>
        <v>JUF308/24</v>
      </c>
      <c r="AM169">
        <f>INDEX(NOTA[KETERANGAN],Sheet1!A:A)</f>
        <v>0</v>
      </c>
      <c r="AN169" t="str">
        <f ca="1">INDEX(NOTA[SUPPLIER_H],Sheet1!A:A)</f>
        <v>DB STATIONERY</v>
      </c>
      <c r="AO169" t="e">
        <f t="shared" ca="1" si="6"/>
        <v>#N/A</v>
      </c>
    </row>
    <row r="170" spans="1:44">
      <c r="A170" s="3">
        <v>205</v>
      </c>
      <c r="C170">
        <f>INDEX(NOTA[//DB],Sheet1!A:A)</f>
        <v>1259</v>
      </c>
      <c r="D170">
        <f>MATCH(Table17[[#This Row],[//db]],[3]!Table2[\\],0)</f>
        <v>720</v>
      </c>
      <c r="E170" t="str">
        <f>INDEX([3]!db[NB NOTA],Table17[[#This Row],[//db]])</f>
        <v>GEL TIZO TG31220</v>
      </c>
      <c r="F170" t="str">
        <f>INDEX([3]!db[NB BM],Table17[[#This Row],[//db]])</f>
        <v>BP GEL TIZO TG31220</v>
      </c>
      <c r="G170" t="str">
        <f>_xlfn.IFNA(INDEX([3]!Table2[NAMA],Table17[[#This Row],[dbconcat]]),"")</f>
        <v>BP GEL TIZO TG31220</v>
      </c>
      <c r="H170" t="str">
        <f>INDEX([3]!Table2[KODE BARANG],Table17[[#This Row],[dbconcat]])</f>
        <v>BOL-TZ346</v>
      </c>
      <c r="I170" t="str">
        <f>IF(Table17[[#This Row],[Column3]]="",UPPER(Table17[[#This Row],[Column1]]),Table17[[#This Row],[Column3]])</f>
        <v>BP GEL TIZO TG31220</v>
      </c>
      <c r="J170">
        <f>INDEX(NOTA[C],Sheet1!A:A)</f>
        <v>3</v>
      </c>
      <c r="K170">
        <f>IF(OR(Table17[[#This Row],[Column5]]=0,Table17[[#This Row],[Column3]]=""),"",INDEX([3]!Table2[ISI2],Table17[[#This Row],[dbconcat]]))</f>
        <v>144</v>
      </c>
      <c r="L170" t="str">
        <f>IF(Table17[[#This Row],[isis]]="","",INDEX([3]!Table2[SATUAN3],Table17[[#This Row],[dbconcat]]))</f>
        <v>LSN</v>
      </c>
      <c r="M170" t="str">
        <f>IF(Table17[[#This Row],[Column5]]=0,"",IF(Table17[[#This Row],[Column3]]="",INDEX([3]!db[QTY B],Table17[[#This Row],[//db]]),""))</f>
        <v/>
      </c>
      <c r="N170" t="str">
        <f>IF(Table17[[#This Row],[isin]]="","",INDEX([3]!db[STN B],Table17[[#This Row],[//db]]))</f>
        <v/>
      </c>
      <c r="O170" t="str">
        <f>IF(AND(Table17[[#This Row],[isis]]="",Table17[[#This Row],[isin]]=""),INDEX(NOTA[QTY],Sheet1!A:A)/IF(Table17[[#This Row],[Column5]]=0,1,Table17[[#This Row],[Column5]]),"")</f>
        <v/>
      </c>
      <c r="P170" t="str">
        <f>IF(Table17[[#This Row],[Column2]]="","",INDEX(NOTA[STN],Sheet1!A:A))</f>
        <v/>
      </c>
      <c r="Q170" s="5" t="str">
        <f>INDEX([3]!db[QTY B],Table17[[#This Row],[//db]])</f>
        <v>144</v>
      </c>
      <c r="R170" t="str">
        <f>INDEX([3]!db[STN B],Table17[[#This Row],[//db]])</f>
        <v>LSN</v>
      </c>
      <c r="S170" s="40" t="str">
        <f>IF(Table17[[#This Row],[Column5]]=0,Table17[[#This Row],[Column23]]/Table17[[#This Row],[Column224]],"")</f>
        <v/>
      </c>
      <c r="T170" s="4">
        <f>IF(Table17[[#This Row],[Column222]]="",Table17[[#This Row],[Column5]],Table17[[#This Row],[Column222]])</f>
        <v>3</v>
      </c>
      <c r="U170" s="4" t="str">
        <f>IF(Table17[[#This Row],[Column223]]=Table17[[#This Row],[Column24]],"",1)</f>
        <v/>
      </c>
      <c r="V170" s="5">
        <f>IF(Table17[[#This Row],[isis]]="",IF(Table17[[#This Row],[isin]]="",Table17[[#This Row],[Column2]],Table17[[#This Row],[isin]]),Table17[[#This Row],[isis]])</f>
        <v>144</v>
      </c>
      <c r="W170" s="3" t="str">
        <f>IF(Table17[[#This Row],[isis]]="",IF(Table17[[#This Row],[isin]]="",Table17[[#This Row],[Column22]],Table17[[#This Row],[stnn]]),Table17[[#This Row],[stns]])</f>
        <v>LSN</v>
      </c>
      <c r="X170" s="5">
        <f>IF(Table17[[#This Row],[Column2222]]&lt;1,Table17[[#This Row],[Column23]],Table17[[#This Row],[Column23]]*Table17[[#This Row],[Column2222]])</f>
        <v>432</v>
      </c>
      <c r="Y170" s="3" t="str">
        <f>Table17[[#This Row],[Column24]]</f>
        <v>LSN</v>
      </c>
      <c r="Z170" s="5">
        <f>Table17[[#This Row],[HRG / CTN]]/Table17[[#This Row],[Column23]]</f>
        <v>21000</v>
      </c>
      <c r="AA170" s="42" t="str">
        <f>IF(INDEX(NOTA[DISC 1],Sheet1!A:A)=0,"",INDEX(NOTA[DISC 1],Sheet1!A:A))</f>
        <v/>
      </c>
      <c r="AB170" s="42" t="str">
        <f>IF(INDEX(NOTA[DISC 2],Sheet1!A:A)=0,"",INDEX(NOTA[DISC 2],Sheet1!A:A))</f>
        <v/>
      </c>
      <c r="AC17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0" s="43">
        <f>INDEX(NOTA[HARGA/ CTN_H],Sheet1!A:A)</f>
        <v>3024000</v>
      </c>
      <c r="AE170" s="43">
        <f>IF(Table17[[#This Row],[DISC 3]]="",Table17[[#This Row],[HRG / CTN]],Table17[[#This Row],[HRG / CTN]]-(Table17[[#This Row],[HRG / CTN]]*Table17[[#This Row],[DISC 3]]))</f>
        <v>3024000</v>
      </c>
      <c r="AF170" s="14">
        <f>IF(Table17[[#This Row],[Column2222]]&lt;1,Table17[[#This Row],[Column9]],Table17[[#This Row],[Column9]]*Table17[[#This Row],[Column2222]])</f>
        <v>9072000</v>
      </c>
      <c r="AG170" s="43">
        <f ca="1">IF(NOT(AL171=Table17[[#This Row],[Column6]]),SUMIF(Table17[Column6],Table17[[#This Row],[Column6]],Table17[Column7]),"")</f>
        <v>94802400</v>
      </c>
      <c r="AH170" s="44">
        <f ca="1">INDEX(NOTA[TGL_H],Sheet1!A:A)</f>
        <v>45461</v>
      </c>
      <c r="AI170" s="44">
        <f ca="1">INDEX(NOTA[TGL.NOTA_H],Sheet1!A:A)</f>
        <v>45456</v>
      </c>
      <c r="AK170" t="str">
        <f>IF(INDEX(NOTA[KETERANGAN],A:A)="","",INDEX(NOTA[KETERANGAN],A:A))</f>
        <v/>
      </c>
      <c r="AL170" t="str">
        <f ca="1">INDEX(NOTA[NO.NOTA_H],Sheet1!A:A)</f>
        <v>JUF308/24</v>
      </c>
      <c r="AM170">
        <f>INDEX(NOTA[KETERANGAN],Sheet1!A:A)</f>
        <v>0</v>
      </c>
      <c r="AN170" t="str">
        <f ca="1">INDEX(NOTA[SUPPLIER_H],Sheet1!A:A)</f>
        <v>DB STATIONERY</v>
      </c>
      <c r="AO170" t="e">
        <f t="shared" ca="1" si="6"/>
        <v>#N/A</v>
      </c>
    </row>
    <row r="171" spans="1:44">
      <c r="A171" s="3">
        <v>207</v>
      </c>
      <c r="C171">
        <f>INDEX(NOTA[//DB],Sheet1!A:A)</f>
        <v>1993</v>
      </c>
      <c r="D171">
        <f>MATCH(Table17[[#This Row],[//db]],[3]!Table2[\\],0)</f>
        <v>1649</v>
      </c>
      <c r="E171" t="str">
        <f>INDEX([3]!db[NB NOTA],Table17[[#This Row],[//db]])</f>
        <v>LILIN SHINTOENG 12 BTG</v>
      </c>
      <c r="F171" t="str">
        <f>INDEX([3]!db[NB BM],Table17[[#This Row],[//db]])</f>
        <v>LILIN SHINTOENG 12 BATANG</v>
      </c>
      <c r="G171" t="str">
        <f>_xlfn.IFNA(INDEX([3]!Table2[NAMA],Table17[[#This Row],[dbconcat]]),"")</f>
        <v>LILIN SHINTOENG 12 BATANG</v>
      </c>
      <c r="H171" t="str">
        <f>INDEX([3]!Table2[KODE BARANG],Table17[[#This Row],[dbconcat]])</f>
        <v>LIL-SH4</v>
      </c>
      <c r="I171" t="str">
        <f>IF(Table17[[#This Row],[Column3]]="",UPPER(Table17[[#This Row],[Column1]]),Table17[[#This Row],[Column3]])</f>
        <v>LILIN SHINTOENG 12 BATANG</v>
      </c>
      <c r="J171">
        <f>INDEX(NOTA[C],Sheet1!A:A)</f>
        <v>0</v>
      </c>
      <c r="K171" t="str">
        <f>IF(OR(Table17[[#This Row],[Column5]]=0,Table17[[#This Row],[Column3]]=""),"",INDEX([3]!Table2[ISI2],Table17[[#This Row],[dbconcat]]))</f>
        <v/>
      </c>
      <c r="L171" t="str">
        <f>IF(Table17[[#This Row],[isis]]="","",INDEX([3]!Table2[SATUAN3],Table17[[#This Row],[dbconcat]]))</f>
        <v/>
      </c>
      <c r="M171" t="str">
        <f>IF(Table17[[#This Row],[Column5]]=0,"",IF(Table17[[#This Row],[Column3]]="",INDEX([3]!db[QTY B],Table17[[#This Row],[//db]]),""))</f>
        <v/>
      </c>
      <c r="N171" t="str">
        <f>IF(Table17[[#This Row],[isin]]="","",INDEX([3]!db[STN B],Table17[[#This Row],[//db]]))</f>
        <v/>
      </c>
      <c r="O171">
        <f>IF(AND(Table17[[#This Row],[isis]]="",Table17[[#This Row],[isin]]=""),INDEX(NOTA[QTY],Sheet1!A:A)/IF(Table17[[#This Row],[Column5]]=0,1,Table17[[#This Row],[Column5]]),"")</f>
        <v>6</v>
      </c>
      <c r="P171" t="str">
        <f>IF(Table17[[#This Row],[Column2]]="","",INDEX(NOTA[STN],Sheet1!A:A))</f>
        <v>LSN</v>
      </c>
      <c r="Q171" s="5" t="str">
        <f>INDEX([3]!db[QTY B],Table17[[#This Row],[//db]])</f>
        <v>50</v>
      </c>
      <c r="R171" t="str">
        <f>INDEX([3]!db[STN B],Table17[[#This Row],[//db]])</f>
        <v>LSN</v>
      </c>
      <c r="S171" s="40">
        <f>IF(Table17[[#This Row],[Column5]]=0,Table17[[#This Row],[Column23]]/Table17[[#This Row],[Column224]],"")</f>
        <v>0.12</v>
      </c>
      <c r="T171" s="4">
        <f>IF(Table17[[#This Row],[Column222]]="",Table17[[#This Row],[Column5]],Table17[[#This Row],[Column222]])</f>
        <v>0.12</v>
      </c>
      <c r="U171" s="4" t="str">
        <f>IF(Table17[[#This Row],[Column223]]=Table17[[#This Row],[Column24]],"",1)</f>
        <v/>
      </c>
      <c r="V171" s="5">
        <f>IF(Table17[[#This Row],[isis]]="",IF(Table17[[#This Row],[isin]]="",Table17[[#This Row],[Column2]],Table17[[#This Row],[isin]]),Table17[[#This Row],[isis]])</f>
        <v>6</v>
      </c>
      <c r="W171" s="3" t="str">
        <f>IF(Table17[[#This Row],[isis]]="",IF(Table17[[#This Row],[isin]]="",Table17[[#This Row],[Column22]],Table17[[#This Row],[stnn]]),Table17[[#This Row],[stns]])</f>
        <v>LSN</v>
      </c>
      <c r="X171" s="5">
        <f>IF(Table17[[#This Row],[Column2222]]&lt;1,Table17[[#This Row],[Column23]],Table17[[#This Row],[Column23]]*Table17[[#This Row],[Column2222]])</f>
        <v>6</v>
      </c>
      <c r="Y171" s="3" t="str">
        <f>Table17[[#This Row],[Column24]]</f>
        <v>LSN</v>
      </c>
      <c r="Z171" s="5">
        <f>Table17[[#This Row],[HRG / CTN]]/Table17[[#This Row],[Column23]]</f>
        <v>39000</v>
      </c>
      <c r="AA171" s="42" t="str">
        <f>IF(INDEX(NOTA[DISC 1],Sheet1!A:A)=0,"",INDEX(NOTA[DISC 1],Sheet1!A:A))</f>
        <v/>
      </c>
      <c r="AB171" s="42" t="str">
        <f>IF(INDEX(NOTA[DISC 2],Sheet1!A:A)=0,"",INDEX(NOTA[DISC 2],Sheet1!A:A))</f>
        <v/>
      </c>
      <c r="AC17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1" s="43">
        <f>INDEX(NOTA[HARGA/ CTN_H],Sheet1!A:A)</f>
        <v>234000</v>
      </c>
      <c r="AE171" s="43">
        <f>IF(Table17[[#This Row],[DISC 3]]="",Table17[[#This Row],[HRG / CTN]],Table17[[#This Row],[HRG / CTN]]-(Table17[[#This Row],[HRG / CTN]]*Table17[[#This Row],[DISC 3]]))</f>
        <v>234000</v>
      </c>
      <c r="AF171" s="14">
        <f>IF(Table17[[#This Row],[Column2222]]&lt;1,Table17[[#This Row],[Column9]],Table17[[#This Row],[Column9]]*Table17[[#This Row],[Column2222]])</f>
        <v>234000</v>
      </c>
      <c r="AG171" s="43" t="str">
        <f ca="1">IF(NOT(AL172=Table17[[#This Row],[Column6]]),SUMIF(Table17[Column6],Table17[[#This Row],[Column6]],Table17[Column7]),"")</f>
        <v/>
      </c>
      <c r="AH171" s="44">
        <f ca="1">INDEX(NOTA[TGL_H],Sheet1!A:A)</f>
        <v>45461</v>
      </c>
      <c r="AI171" s="44">
        <f ca="1">INDEX(NOTA[TGL.NOTA_H],Sheet1!A:A)</f>
        <v>45461</v>
      </c>
      <c r="AK171" t="str">
        <f>IF(INDEX(NOTA[KETERANGAN],A:A)="","",INDEX(NOTA[KETERANGAN],A:A))</f>
        <v/>
      </c>
      <c r="AL171" t="str">
        <f ca="1">INDEX(NOTA[NO.NOTA_H],Sheet1!A:A)</f>
        <v>HN062024160</v>
      </c>
      <c r="AM171">
        <f>INDEX(NOTA[KETERANGAN],Sheet1!A:A)</f>
        <v>0</v>
      </c>
      <c r="AN171" t="str">
        <f ca="1">INDEX(NOTA[SUPPLIER_H],Sheet1!A:A)</f>
        <v>HANSA</v>
      </c>
      <c r="AO171" t="e">
        <f t="shared" ca="1" si="6"/>
        <v>#N/A</v>
      </c>
    </row>
    <row r="172" spans="1:44">
      <c r="A172" s="3">
        <v>208</v>
      </c>
      <c r="C172">
        <f>INDEX(NOTA[//DB],Sheet1!A:A)</f>
        <v>2052</v>
      </c>
      <c r="D172">
        <f>MATCH(Table17[[#This Row],[//db]],[3]!Table2[\\],0)</f>
        <v>1744</v>
      </c>
      <c r="E172" t="str">
        <f>INDEX([3]!db[NB NOTA],Table17[[#This Row],[//db]])</f>
        <v>MALAM SHINTOENG B 1W POLOS</v>
      </c>
      <c r="F172" t="str">
        <f>INDEX([3]!db[NB BM],Table17[[#This Row],[//db]])</f>
        <v>Malam Shintoeng 1W polos B</v>
      </c>
      <c r="G172" t="str">
        <f>_xlfn.IFNA(INDEX([3]!Table2[NAMA],Table17[[#This Row],[dbconcat]]),"")</f>
        <v>MALAM SHINTOENG 1W POLOS B</v>
      </c>
      <c r="H172" t="str">
        <f>INDEX([3]!Table2[KODE BARANG],Table17[[#This Row],[dbconcat]])</f>
        <v>MAL-SH5</v>
      </c>
      <c r="I172" t="str">
        <f>IF(Table17[[#This Row],[Column3]]="",UPPER(Table17[[#This Row],[Column1]]),Table17[[#This Row],[Column3]])</f>
        <v>MALAM SHINTOENG 1W POLOS B</v>
      </c>
      <c r="J172">
        <f>INDEX(NOTA[C],Sheet1!A:A)</f>
        <v>0</v>
      </c>
      <c r="K172" t="str">
        <f>IF(OR(Table17[[#This Row],[Column5]]=0,Table17[[#This Row],[Column3]]=""),"",INDEX([3]!Table2[ISI2],Table17[[#This Row],[dbconcat]]))</f>
        <v/>
      </c>
      <c r="L172" t="str">
        <f>IF(Table17[[#This Row],[isis]]="","",INDEX([3]!Table2[SATUAN3],Table17[[#This Row],[dbconcat]]))</f>
        <v/>
      </c>
      <c r="M172" t="str">
        <f>IF(Table17[[#This Row],[Column5]]=0,"",IF(Table17[[#This Row],[Column3]]="",INDEX([3]!db[QTY B],Table17[[#This Row],[//db]]),""))</f>
        <v/>
      </c>
      <c r="N172" t="str">
        <f>IF(Table17[[#This Row],[isin]]="","",INDEX([3]!db[STN B],Table17[[#This Row],[//db]]))</f>
        <v/>
      </c>
      <c r="O172">
        <f>IF(AND(Table17[[#This Row],[isis]]="",Table17[[#This Row],[isin]]=""),INDEX(NOTA[QTY],Sheet1!A:A)/IF(Table17[[#This Row],[Column5]]=0,1,Table17[[#This Row],[Column5]]),"")</f>
        <v>10</v>
      </c>
      <c r="P172" t="str">
        <f>IF(Table17[[#This Row],[Column2]]="","",INDEX(NOTA[STN],Sheet1!A:A))</f>
        <v>PCS</v>
      </c>
      <c r="Q172" s="5" t="str">
        <f>INDEX([3]!db[QTY B],Table17[[#This Row],[//db]])</f>
        <v>180</v>
      </c>
      <c r="R172" t="str">
        <f>INDEX([3]!db[STN B],Table17[[#This Row],[//db]])</f>
        <v>PCS</v>
      </c>
      <c r="S172" s="40">
        <f>IF(Table17[[#This Row],[Column5]]=0,Table17[[#This Row],[Column23]]/Table17[[#This Row],[Column224]],"")</f>
        <v>5.5555555555555552E-2</v>
      </c>
      <c r="T172" s="4">
        <f>IF(Table17[[#This Row],[Column222]]="",Table17[[#This Row],[Column5]],Table17[[#This Row],[Column222]])</f>
        <v>5.5555555555555552E-2</v>
      </c>
      <c r="U172" s="4" t="str">
        <f>IF(Table17[[#This Row],[Column223]]=Table17[[#This Row],[Column24]],"",1)</f>
        <v/>
      </c>
      <c r="V172" s="5">
        <f>IF(Table17[[#This Row],[isis]]="",IF(Table17[[#This Row],[isin]]="",Table17[[#This Row],[Column2]],Table17[[#This Row],[isin]]),Table17[[#This Row],[isis]])</f>
        <v>10</v>
      </c>
      <c r="W172" s="3" t="str">
        <f>IF(Table17[[#This Row],[isis]]="",IF(Table17[[#This Row],[isin]]="",Table17[[#This Row],[Column22]],Table17[[#This Row],[stnn]]),Table17[[#This Row],[stns]])</f>
        <v>PCS</v>
      </c>
      <c r="X172" s="5">
        <f>IF(Table17[[#This Row],[Column2222]]&lt;1,Table17[[#This Row],[Column23]],Table17[[#This Row],[Column23]]*Table17[[#This Row],[Column2222]])</f>
        <v>10</v>
      </c>
      <c r="Y172" s="3" t="str">
        <f>Table17[[#This Row],[Column24]]</f>
        <v>PCS</v>
      </c>
      <c r="Z172" s="5">
        <f>Table17[[#This Row],[HRG / CTN]]/Table17[[#This Row],[Column23]]</f>
        <v>5770</v>
      </c>
      <c r="AA172" s="42" t="str">
        <f>IF(INDEX(NOTA[DISC 1],Sheet1!A:A)=0,"",INDEX(NOTA[DISC 1],Sheet1!A:A))</f>
        <v/>
      </c>
      <c r="AB172" s="42" t="str">
        <f>IF(INDEX(NOTA[DISC 2],Sheet1!A:A)=0,"",INDEX(NOTA[DISC 2],Sheet1!A:A))</f>
        <v/>
      </c>
      <c r="AC17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2" s="43">
        <f>INDEX(NOTA[HARGA/ CTN_H],Sheet1!A:A)</f>
        <v>57700</v>
      </c>
      <c r="AE172" s="43">
        <f>IF(Table17[[#This Row],[DISC 3]]="",Table17[[#This Row],[HRG / CTN]],Table17[[#This Row],[HRG / CTN]]-(Table17[[#This Row],[HRG / CTN]]*Table17[[#This Row],[DISC 3]]))</f>
        <v>57700</v>
      </c>
      <c r="AF172" s="14">
        <f>IF(Table17[[#This Row],[Column2222]]&lt;1,Table17[[#This Row],[Column9]],Table17[[#This Row],[Column9]]*Table17[[#This Row],[Column2222]])</f>
        <v>57700</v>
      </c>
      <c r="AG172" s="43" t="str">
        <f ca="1">IF(NOT(AL173=Table17[[#This Row],[Column6]]),SUMIF(Table17[Column6],Table17[[#This Row],[Column6]],Table17[Column7]),"")</f>
        <v/>
      </c>
      <c r="AH172" s="44">
        <f ca="1">INDEX(NOTA[TGL_H],Sheet1!A:A)</f>
        <v>45461</v>
      </c>
      <c r="AI172" s="44">
        <f ca="1">INDEX(NOTA[TGL.NOTA_H],Sheet1!A:A)</f>
        <v>45461</v>
      </c>
      <c r="AK172" t="str">
        <f>IF(INDEX(NOTA[KETERANGAN],A:A)="","",INDEX(NOTA[KETERANGAN],A:A))</f>
        <v/>
      </c>
      <c r="AL172" t="str">
        <f ca="1">INDEX(NOTA[NO.NOTA_H],Sheet1!A:A)</f>
        <v>HN062024160</v>
      </c>
      <c r="AM172">
        <f>INDEX(NOTA[KETERANGAN],Sheet1!A:A)</f>
        <v>0</v>
      </c>
      <c r="AN172" t="str">
        <f ca="1">INDEX(NOTA[SUPPLIER_H],Sheet1!A:A)</f>
        <v>HANSA</v>
      </c>
      <c r="AO172" t="e">
        <f t="shared" ca="1" si="6"/>
        <v>#N/A</v>
      </c>
    </row>
    <row r="173" spans="1:44">
      <c r="A173" s="3">
        <v>209</v>
      </c>
      <c r="C173">
        <f>INDEX(NOTA[//DB],Sheet1!A:A)</f>
        <v>2053</v>
      </c>
      <c r="D173">
        <f>MATCH(Table17[[#This Row],[//db]],[3]!Table2[\\],0)</f>
        <v>1745</v>
      </c>
      <c r="E173" t="str">
        <f>INDEX([3]!db[NB NOTA],Table17[[#This Row],[//db]])</f>
        <v>MALAM SHINTOENG B 6-12W</v>
      </c>
      <c r="F173" t="str">
        <f>INDEX([3]!db[NB BM],Table17[[#This Row],[//db]])</f>
        <v>Malam Shintoeng 6-12W B</v>
      </c>
      <c r="G173" t="str">
        <f>_xlfn.IFNA(INDEX([3]!Table2[NAMA],Table17[[#This Row],[dbconcat]]),"")</f>
        <v>MALAM SHINTOENG 6-12W B</v>
      </c>
      <c r="H173" t="str">
        <f>INDEX([3]!Table2[KODE BARANG],Table17[[#This Row],[dbconcat]])</f>
        <v>MAL-SH6</v>
      </c>
      <c r="I173" t="str">
        <f>IF(Table17[[#This Row],[Column3]]="",UPPER(Table17[[#This Row],[Column1]]),Table17[[#This Row],[Column3]])</f>
        <v>MALAM SHINTOENG 6-12W B</v>
      </c>
      <c r="J173">
        <f>INDEX(NOTA[C],Sheet1!A:A)</f>
        <v>0</v>
      </c>
      <c r="K173" t="str">
        <f>IF(OR(Table17[[#This Row],[Column5]]=0,Table17[[#This Row],[Column3]]=""),"",INDEX([3]!Table2[ISI2],Table17[[#This Row],[dbconcat]]))</f>
        <v/>
      </c>
      <c r="L173" t="str">
        <f>IF(Table17[[#This Row],[isis]]="","",INDEX([3]!Table2[SATUAN3],Table17[[#This Row],[dbconcat]]))</f>
        <v/>
      </c>
      <c r="M173" t="str">
        <f>IF(Table17[[#This Row],[Column5]]=0,"",IF(Table17[[#This Row],[Column3]]="",INDEX([3]!db[QTY B],Table17[[#This Row],[//db]]),""))</f>
        <v/>
      </c>
      <c r="N173" t="str">
        <f>IF(Table17[[#This Row],[isin]]="","",INDEX([3]!db[STN B],Table17[[#This Row],[//db]]))</f>
        <v/>
      </c>
      <c r="O173">
        <f>IF(AND(Table17[[#This Row],[isis]]="",Table17[[#This Row],[isin]]=""),INDEX(NOTA[QTY],Sheet1!A:A)/IF(Table17[[#This Row],[Column5]]=0,1,Table17[[#This Row],[Column5]]),"")</f>
        <v>10</v>
      </c>
      <c r="P173" t="str">
        <f>IF(Table17[[#This Row],[Column2]]="","",INDEX(NOTA[STN],Sheet1!A:A))</f>
        <v>PCS</v>
      </c>
      <c r="Q173" s="5" t="str">
        <f>INDEX([3]!db[QTY B],Table17[[#This Row],[//db]])</f>
        <v>150</v>
      </c>
      <c r="R173" t="str">
        <f>INDEX([3]!db[STN B],Table17[[#This Row],[//db]])</f>
        <v>PCS</v>
      </c>
      <c r="S173" s="40">
        <f>IF(Table17[[#This Row],[Column5]]=0,Table17[[#This Row],[Column23]]/Table17[[#This Row],[Column224]],"")</f>
        <v>6.6666666666666666E-2</v>
      </c>
      <c r="T173" s="4">
        <f>IF(Table17[[#This Row],[Column222]]="",Table17[[#This Row],[Column5]],Table17[[#This Row],[Column222]])</f>
        <v>6.6666666666666666E-2</v>
      </c>
      <c r="U173" s="4" t="str">
        <f>IF(Table17[[#This Row],[Column223]]=Table17[[#This Row],[Column24]],"",1)</f>
        <v/>
      </c>
      <c r="V173" s="5">
        <f>IF(Table17[[#This Row],[isis]]="",IF(Table17[[#This Row],[isin]]="",Table17[[#This Row],[Column2]],Table17[[#This Row],[isin]]),Table17[[#This Row],[isis]])</f>
        <v>10</v>
      </c>
      <c r="W173" s="3" t="str">
        <f>IF(Table17[[#This Row],[isis]]="",IF(Table17[[#This Row],[isin]]="",Table17[[#This Row],[Column22]],Table17[[#This Row],[stnn]]),Table17[[#This Row],[stns]])</f>
        <v>PCS</v>
      </c>
      <c r="X173" s="5">
        <f>IF(Table17[[#This Row],[Column2222]]&lt;1,Table17[[#This Row],[Column23]],Table17[[#This Row],[Column23]]*Table17[[#This Row],[Column2222]])</f>
        <v>10</v>
      </c>
      <c r="Y173" s="3" t="str">
        <f>Table17[[#This Row],[Column24]]</f>
        <v>PCS</v>
      </c>
      <c r="Z173" s="5">
        <f>Table17[[#This Row],[HRG / CTN]]/Table17[[#This Row],[Column23]]</f>
        <v>6100</v>
      </c>
      <c r="AA173" s="42" t="str">
        <f>IF(INDEX(NOTA[DISC 1],Sheet1!A:A)=0,"",INDEX(NOTA[DISC 1],Sheet1!A:A))</f>
        <v/>
      </c>
      <c r="AB173" s="42" t="str">
        <f>IF(INDEX(NOTA[DISC 2],Sheet1!A:A)=0,"",INDEX(NOTA[DISC 2],Sheet1!A:A))</f>
        <v/>
      </c>
      <c r="AC17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3" s="43">
        <f>INDEX(NOTA[HARGA/ CTN_H],Sheet1!A:A)</f>
        <v>61000</v>
      </c>
      <c r="AE173" s="43">
        <f>IF(Table17[[#This Row],[DISC 3]]="",Table17[[#This Row],[HRG / CTN]],Table17[[#This Row],[HRG / CTN]]-(Table17[[#This Row],[HRG / CTN]]*Table17[[#This Row],[DISC 3]]))</f>
        <v>61000</v>
      </c>
      <c r="AF173" s="14">
        <f>IF(Table17[[#This Row],[Column2222]]&lt;1,Table17[[#This Row],[Column9]],Table17[[#This Row],[Column9]]*Table17[[#This Row],[Column2222]])</f>
        <v>61000</v>
      </c>
      <c r="AG173" s="43">
        <f ca="1">IF(NOT(AL174=Table17[[#This Row],[Column6]]),SUMIF(Table17[Column6],Table17[[#This Row],[Column6]],Table17[Column7]),"")</f>
        <v>352700</v>
      </c>
      <c r="AH173" s="44">
        <f ca="1">INDEX(NOTA[TGL_H],Sheet1!A:A)</f>
        <v>45461</v>
      </c>
      <c r="AI173" s="44">
        <f ca="1">INDEX(NOTA[TGL.NOTA_H],Sheet1!A:A)</f>
        <v>45461</v>
      </c>
      <c r="AK173" t="str">
        <f>IF(INDEX(NOTA[KETERANGAN],A:A)="","",INDEX(NOTA[KETERANGAN],A:A))</f>
        <v/>
      </c>
      <c r="AL173" t="str">
        <f ca="1">INDEX(NOTA[NO.NOTA_H],Sheet1!A:A)</f>
        <v>HN062024160</v>
      </c>
      <c r="AM173">
        <f>INDEX(NOTA[KETERANGAN],Sheet1!A:A)</f>
        <v>0</v>
      </c>
      <c r="AN173" t="str">
        <f ca="1">INDEX(NOTA[SUPPLIER_H],Sheet1!A:A)</f>
        <v>HANSA</v>
      </c>
      <c r="AO173" t="e">
        <f t="shared" ca="1" si="6"/>
        <v>#N/A</v>
      </c>
    </row>
    <row r="174" spans="1:44">
      <c r="A174" s="3">
        <v>211</v>
      </c>
      <c r="C174">
        <f>INDEX(NOTA[//DB],Sheet1!A:A)</f>
        <v>2510</v>
      </c>
      <c r="D174">
        <f>MATCH(Table17[[#This Row],[//db]],[3]!Table2[\\],0)</f>
        <v>2074</v>
      </c>
      <c r="E174" t="str">
        <f>INDEX([3]!db[NB NOTA],Table17[[#This Row],[//db]])</f>
        <v>PELNA LAPTOP TABLE</v>
      </c>
      <c r="F174" t="str">
        <f>INDEX([3]!db[NB BM],Table17[[#This Row],[//db]])</f>
        <v>PELNA LAPTOP TABLE (MEJA BELAJAR PELNA)</v>
      </c>
      <c r="G174" t="str">
        <f>_xlfn.IFNA(INDEX([3]!Table2[NAMA],Table17[[#This Row],[dbconcat]]),"")</f>
        <v>PELNA LAPTOP TABLE (MEJA BELAJAR PELNA)</v>
      </c>
      <c r="H174" t="str">
        <f>INDEX([3]!Table2[KODE BARANG],Table17[[#This Row],[dbconcat]])</f>
        <v>MEJ-PL1</v>
      </c>
      <c r="I174" t="str">
        <f>IF(Table17[[#This Row],[Column3]]="",UPPER(Table17[[#This Row],[Column1]]),Table17[[#This Row],[Column3]])</f>
        <v>PELNA LAPTOP TABLE (MEJA BELAJAR PELNA)</v>
      </c>
      <c r="J174">
        <f>INDEX(NOTA[C],Sheet1!A:A)</f>
        <v>20</v>
      </c>
      <c r="K174">
        <f>IF(OR(Table17[[#This Row],[Column5]]=0,Table17[[#This Row],[Column3]]=""),"",INDEX([3]!Table2[ISI2],Table17[[#This Row],[dbconcat]]))</f>
        <v>10</v>
      </c>
      <c r="L174" t="str">
        <f>IF(Table17[[#This Row],[isis]]="","",INDEX([3]!Table2[SATUAN3],Table17[[#This Row],[dbconcat]]))</f>
        <v>PCS</v>
      </c>
      <c r="M174" t="str">
        <f>IF(Table17[[#This Row],[Column5]]=0,"",IF(Table17[[#This Row],[Column3]]="",INDEX([3]!db[QTY B],Table17[[#This Row],[//db]]),""))</f>
        <v/>
      </c>
      <c r="N174" t="str">
        <f>IF(Table17[[#This Row],[isin]]="","",INDEX([3]!db[STN B],Table17[[#This Row],[//db]]))</f>
        <v/>
      </c>
      <c r="O174" t="str">
        <f>IF(AND(Table17[[#This Row],[isis]]="",Table17[[#This Row],[isin]]=""),INDEX(NOTA[QTY],Sheet1!A:A)/IF(Table17[[#This Row],[Column5]]=0,1,Table17[[#This Row],[Column5]]),"")</f>
        <v/>
      </c>
      <c r="P174" t="str">
        <f>IF(Table17[[#This Row],[Column2]]="","",INDEX(NOTA[STN],Sheet1!A:A))</f>
        <v/>
      </c>
      <c r="Q174" s="5" t="str">
        <f>INDEX([3]!db[QTY B],Table17[[#This Row],[//db]])</f>
        <v>10</v>
      </c>
      <c r="R174" t="str">
        <f>INDEX([3]!db[STN B],Table17[[#This Row],[//db]])</f>
        <v>PCS</v>
      </c>
      <c r="S174" s="40" t="str">
        <f>IF(Table17[[#This Row],[Column5]]=0,Table17[[#This Row],[Column23]]/Table17[[#This Row],[Column224]],"")</f>
        <v/>
      </c>
      <c r="T174" s="4">
        <f>IF(Table17[[#This Row],[Column222]]="",Table17[[#This Row],[Column5]],Table17[[#This Row],[Column222]])</f>
        <v>20</v>
      </c>
      <c r="U174" s="4" t="str">
        <f>IF(Table17[[#This Row],[Column223]]=Table17[[#This Row],[Column24]],"",1)</f>
        <v/>
      </c>
      <c r="V174" s="5">
        <f>IF(Table17[[#This Row],[isis]]="",IF(Table17[[#This Row],[isin]]="",Table17[[#This Row],[Column2]],Table17[[#This Row],[isin]]),Table17[[#This Row],[isis]])</f>
        <v>10</v>
      </c>
      <c r="W174" s="3" t="str">
        <f>IF(Table17[[#This Row],[isis]]="",IF(Table17[[#This Row],[isin]]="",Table17[[#This Row],[Column22]],Table17[[#This Row],[stnn]]),Table17[[#This Row],[stns]])</f>
        <v>PCS</v>
      </c>
      <c r="X174" s="5">
        <f>IF(Table17[[#This Row],[Column2222]]&lt;1,Table17[[#This Row],[Column23]],Table17[[#This Row],[Column23]]*Table17[[#This Row],[Column2222]])</f>
        <v>200</v>
      </c>
      <c r="Y174" s="3" t="str">
        <f>Table17[[#This Row],[Column24]]</f>
        <v>PCS</v>
      </c>
      <c r="Z174" s="5">
        <f>Table17[[#This Row],[HRG / CTN]]/Table17[[#This Row],[Column23]]</f>
        <v>60000</v>
      </c>
      <c r="AA174" s="42" t="str">
        <f>IF(INDEX(NOTA[DISC 1],Sheet1!A:A)=0,"",INDEX(NOTA[DISC 1],Sheet1!A:A))</f>
        <v/>
      </c>
      <c r="AB174" s="42" t="str">
        <f>IF(INDEX(NOTA[DISC 2],Sheet1!A:A)=0,"",INDEX(NOTA[DISC 2],Sheet1!A:A))</f>
        <v/>
      </c>
      <c r="AC17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4" s="43">
        <f>INDEX(NOTA[HARGA/ CTN_H],Sheet1!A:A)</f>
        <v>600000</v>
      </c>
      <c r="AE174" s="43">
        <f>IF(Table17[[#This Row],[DISC 3]]="",Table17[[#This Row],[HRG / CTN]],Table17[[#This Row],[HRG / CTN]]-(Table17[[#This Row],[HRG / CTN]]*Table17[[#This Row],[DISC 3]]))</f>
        <v>600000</v>
      </c>
      <c r="AF174" s="14">
        <f>IF(Table17[[#This Row],[Column2222]]&lt;1,Table17[[#This Row],[Column9]],Table17[[#This Row],[Column9]]*Table17[[#This Row],[Column2222]])</f>
        <v>12000000</v>
      </c>
      <c r="AG174" s="43" t="str">
        <f ca="1">IF(NOT(AL175=Table17[[#This Row],[Column6]]),SUMIF(Table17[Column6],Table17[[#This Row],[Column6]],Table17[Column7]),"")</f>
        <v/>
      </c>
      <c r="AH174" s="44">
        <f ca="1">INDEX(NOTA[TGL_H],Sheet1!A:A)</f>
        <v>45461</v>
      </c>
      <c r="AI174" s="44">
        <f ca="1">INDEX(NOTA[TGL.NOTA_H],Sheet1!A:A)</f>
        <v>45456</v>
      </c>
      <c r="AK174" t="str">
        <f>IF(INDEX(NOTA[KETERANGAN],A:A)="","",INDEX(NOTA[KETERANGAN],A:A))</f>
        <v/>
      </c>
      <c r="AL174">
        <f ca="1">INDEX(NOTA[NO.NOTA_H],Sheet1!A:A)</f>
        <v>0</v>
      </c>
      <c r="AM174">
        <f>INDEX(NOTA[KETERANGAN],Sheet1!A:A)</f>
        <v>0</v>
      </c>
      <c r="AN174" t="str">
        <f ca="1">INDEX(NOTA[SUPPLIER_H],Sheet1!A:A)</f>
        <v>PELNA</v>
      </c>
      <c r="AO174" t="e">
        <f t="shared" ca="1" si="6"/>
        <v>#N/A</v>
      </c>
    </row>
    <row r="175" spans="1:44">
      <c r="A175" s="3">
        <v>212</v>
      </c>
      <c r="C175">
        <f>INDEX(NOTA[//DB],Sheet1!A:A)</f>
        <v>2510</v>
      </c>
      <c r="D175">
        <f>MATCH(Table17[[#This Row],[//db]],[3]!Table2[\\],0)</f>
        <v>2074</v>
      </c>
      <c r="E175" t="str">
        <f>INDEX([3]!db[NB NOTA],Table17[[#This Row],[//db]])</f>
        <v>PELNA LAPTOP TABLE</v>
      </c>
      <c r="F175" t="str">
        <f>INDEX([3]!db[NB BM],Table17[[#This Row],[//db]])</f>
        <v>PELNA LAPTOP TABLE (MEJA BELAJAR PELNA)</v>
      </c>
      <c r="G175" t="str">
        <f>_xlfn.IFNA(INDEX([3]!Table2[NAMA],Table17[[#This Row],[dbconcat]]),"")</f>
        <v>PELNA LAPTOP TABLE (MEJA BELAJAR PELNA)</v>
      </c>
      <c r="H175" t="str">
        <f>INDEX([3]!Table2[KODE BARANG],Table17[[#This Row],[dbconcat]])</f>
        <v>MEJ-PL1</v>
      </c>
      <c r="I175" t="str">
        <f>IF(Table17[[#This Row],[Column3]]="",UPPER(Table17[[#This Row],[Column1]]),Table17[[#This Row],[Column3]])</f>
        <v>PELNA LAPTOP TABLE (MEJA BELAJAR PELNA)</v>
      </c>
      <c r="J175">
        <f>INDEX(NOTA[C],Sheet1!A:A)</f>
        <v>1</v>
      </c>
      <c r="K175">
        <f>IF(OR(Table17[[#This Row],[Column5]]=0,Table17[[#This Row],[Column3]]=""),"",INDEX([3]!Table2[ISI2],Table17[[#This Row],[dbconcat]]))</f>
        <v>10</v>
      </c>
      <c r="L175" t="str">
        <f>IF(Table17[[#This Row],[isis]]="","",INDEX([3]!Table2[SATUAN3],Table17[[#This Row],[dbconcat]]))</f>
        <v>PCS</v>
      </c>
      <c r="M175" t="str">
        <f>IF(Table17[[#This Row],[Column5]]=0,"",IF(Table17[[#This Row],[Column3]]="",INDEX([3]!db[QTY B],Table17[[#This Row],[//db]]),""))</f>
        <v/>
      </c>
      <c r="N175" t="str">
        <f>IF(Table17[[#This Row],[isin]]="","",INDEX([3]!db[STN B],Table17[[#This Row],[//db]]))</f>
        <v/>
      </c>
      <c r="O175" t="str">
        <f>IF(AND(Table17[[#This Row],[isis]]="",Table17[[#This Row],[isin]]=""),INDEX(NOTA[QTY],Sheet1!A:A)/IF(Table17[[#This Row],[Column5]]=0,1,Table17[[#This Row],[Column5]]),"")</f>
        <v/>
      </c>
      <c r="P175" t="str">
        <f>IF(Table17[[#This Row],[Column2]]="","",INDEX(NOTA[STN],Sheet1!A:A))</f>
        <v/>
      </c>
      <c r="Q175" s="5" t="str">
        <f>INDEX([3]!db[QTY B],Table17[[#This Row],[//db]])</f>
        <v>10</v>
      </c>
      <c r="R175" t="str">
        <f>INDEX([3]!db[STN B],Table17[[#This Row],[//db]])</f>
        <v>PCS</v>
      </c>
      <c r="S175" s="40" t="str">
        <f>IF(Table17[[#This Row],[Column5]]=0,Table17[[#This Row],[Column23]]/Table17[[#This Row],[Column224]],"")</f>
        <v/>
      </c>
      <c r="T175" s="4">
        <f>IF(Table17[[#This Row],[Column222]]="",Table17[[#This Row],[Column5]],Table17[[#This Row],[Column222]])</f>
        <v>1</v>
      </c>
      <c r="U175" s="4" t="str">
        <f>IF(Table17[[#This Row],[Column223]]=Table17[[#This Row],[Column24]],"",1)</f>
        <v/>
      </c>
      <c r="V175" s="5">
        <f>IF(Table17[[#This Row],[isis]]="",IF(Table17[[#This Row],[isin]]="",Table17[[#This Row],[Column2]],Table17[[#This Row],[isin]]),Table17[[#This Row],[isis]])</f>
        <v>10</v>
      </c>
      <c r="W175" s="3" t="str">
        <f>IF(Table17[[#This Row],[isis]]="",IF(Table17[[#This Row],[isin]]="",Table17[[#This Row],[Column22]],Table17[[#This Row],[stnn]]),Table17[[#This Row],[stns]])</f>
        <v>PCS</v>
      </c>
      <c r="X175" s="5">
        <f>IF(Table17[[#This Row],[Column2222]]&lt;1,Table17[[#This Row],[Column23]],Table17[[#This Row],[Column23]]*Table17[[#This Row],[Column2222]])</f>
        <v>10</v>
      </c>
      <c r="Y175" s="3" t="str">
        <f>Table17[[#This Row],[Column24]]</f>
        <v>PCS</v>
      </c>
      <c r="Z175" s="5">
        <f>Table17[[#This Row],[HRG / CTN]]/Table17[[#This Row],[Column23]]</f>
        <v>0</v>
      </c>
      <c r="AA175" s="42" t="str">
        <f>IF(INDEX(NOTA[DISC 1],Sheet1!A:A)=0,"",INDEX(NOTA[DISC 1],Sheet1!A:A))</f>
        <v/>
      </c>
      <c r="AB175" s="42" t="str">
        <f>IF(INDEX(NOTA[DISC 2],Sheet1!A:A)=0,"",INDEX(NOTA[DISC 2],Sheet1!A:A))</f>
        <v/>
      </c>
      <c r="AC17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5" s="43">
        <f>INDEX(NOTA[HARGA/ CTN_H],Sheet1!A:A)</f>
        <v>0</v>
      </c>
      <c r="AE175" s="43">
        <f>IF(Table17[[#This Row],[DISC 3]]="",Table17[[#This Row],[HRG / CTN]],Table17[[#This Row],[HRG / CTN]]-(Table17[[#This Row],[HRG / CTN]]*Table17[[#This Row],[DISC 3]]))</f>
        <v>0</v>
      </c>
      <c r="AF175" s="14">
        <f>IF(Table17[[#This Row],[Column2222]]&lt;1,Table17[[#This Row],[Column9]],Table17[[#This Row],[Column9]]*Table17[[#This Row],[Column2222]])</f>
        <v>0</v>
      </c>
      <c r="AG175" s="43" t="e">
        <f ca="1">IF(NOT(AL176=Table17[[#This Row],[Column6]]),SUMIF(Table17[Column6],Table17[[#This Row],[Column6]],Table17[Column7]),"")</f>
        <v>#N/A</v>
      </c>
      <c r="AH175" s="44">
        <f ca="1">INDEX(NOTA[TGL_H],Sheet1!A:A)</f>
        <v>45461</v>
      </c>
      <c r="AI175" s="44">
        <f ca="1">INDEX(NOTA[TGL.NOTA_H],Sheet1!A:A)</f>
        <v>45456</v>
      </c>
      <c r="AK175" t="str">
        <f>IF(INDEX(NOTA[KETERANGAN],A:A)="","",INDEX(NOTA[KETERANGAN],A:A))</f>
        <v>BONUS PROMO</v>
      </c>
      <c r="AL175">
        <f ca="1">INDEX(NOTA[NO.NOTA_H],Sheet1!A:A)</f>
        <v>0</v>
      </c>
      <c r="AM175" t="str">
        <f>INDEX(NOTA[KETERANGAN],Sheet1!A:A)</f>
        <v>BONUS PROMO</v>
      </c>
      <c r="AN175" t="str">
        <f ca="1">INDEX(NOTA[SUPPLIER_H],Sheet1!A:A)</f>
        <v>PELNA</v>
      </c>
      <c r="AO175" t="e">
        <f t="shared" ca="1" si="6"/>
        <v>#N/A</v>
      </c>
    </row>
    <row r="176" spans="1:44">
      <c r="A176" s="3">
        <v>214</v>
      </c>
      <c r="C176">
        <f>INDEX(NOTA[//DB],Sheet1!A:A)</f>
        <v>3348</v>
      </c>
      <c r="D176">
        <f>MATCH(Table17[[#This Row],[//db]],[3]!Table2[\\],0)</f>
        <v>770</v>
      </c>
      <c r="E176" t="str">
        <f>INDEX([3]!db[NB NOTA],Table17[[#This Row],[//db]])</f>
        <v>GEL PEN KOALA GP-168-A MERAH</v>
      </c>
      <c r="F176" t="str">
        <f>INDEX([3]!db[NB BM],Table17[[#This Row],[//db]])</f>
        <v>BP GEL KOALA GP-168-A MERAH</v>
      </c>
      <c r="G176" t="str">
        <f>_xlfn.IFNA(INDEX([3]!Table2[NAMA],Table17[[#This Row],[dbconcat]]),"")</f>
        <v>BP GEL KOALA GP-168-A MERAH</v>
      </c>
      <c r="H176" t="str">
        <f>INDEX([3]!Table2[KODE BARANG],Table17[[#This Row],[dbconcat]])</f>
        <v>BOL-KO398</v>
      </c>
      <c r="I176" t="str">
        <f>IF(Table17[[#This Row],[Column3]]="",UPPER(Table17[[#This Row],[Column1]]),Table17[[#This Row],[Column3]])</f>
        <v>BP GEL KOALA GP-168-A MERAH</v>
      </c>
      <c r="J176">
        <f>INDEX(NOTA[C],Sheet1!A:A)</f>
        <v>0</v>
      </c>
      <c r="K176" t="str">
        <f>IF(OR(Table17[[#This Row],[Column5]]=0,Table17[[#This Row],[Column3]]=""),"",INDEX([3]!Table2[ISI2],Table17[[#This Row],[dbconcat]]))</f>
        <v/>
      </c>
      <c r="L176" t="str">
        <f>IF(Table17[[#This Row],[isis]]="","",INDEX([3]!Table2[SATUAN3],Table17[[#This Row],[dbconcat]]))</f>
        <v/>
      </c>
      <c r="M176" t="str">
        <f>IF(Table17[[#This Row],[Column5]]=0,"",IF(Table17[[#This Row],[Column3]]="",INDEX([3]!db[QTY B],Table17[[#This Row],[//db]]),""))</f>
        <v/>
      </c>
      <c r="N176" t="str">
        <f>IF(Table17[[#This Row],[isin]]="","",INDEX([3]!db[STN B],Table17[[#This Row],[//db]]))</f>
        <v/>
      </c>
      <c r="O176">
        <f>IF(AND(Table17[[#This Row],[isis]]="",Table17[[#This Row],[isin]]=""),INDEX(NOTA[QTY],Sheet1!A:A)/IF(Table17[[#This Row],[Column5]]=0,1,Table17[[#This Row],[Column5]]),"")</f>
        <v>48</v>
      </c>
      <c r="P176" t="str">
        <f>IF(Table17[[#This Row],[Column2]]="","",INDEX(NOTA[STN],Sheet1!A:A))</f>
        <v>LSN</v>
      </c>
      <c r="Q176" s="5" t="str">
        <f>INDEX([3]!db[QTY B],Table17[[#This Row],[//db]])</f>
        <v>144</v>
      </c>
      <c r="R176" t="str">
        <f>INDEX([3]!db[STN B],Table17[[#This Row],[//db]])</f>
        <v>LSN</v>
      </c>
      <c r="S176" s="40">
        <f>IF(Table17[[#This Row],[Column5]]=0,Table17[[#This Row],[Column23]]/Table17[[#This Row],[Column224]],"")</f>
        <v>0.33333333333333331</v>
      </c>
      <c r="T176" s="4">
        <f>IF(Table17[[#This Row],[Column222]]="",Table17[[#This Row],[Column5]],Table17[[#This Row],[Column222]])</f>
        <v>0.33333333333333331</v>
      </c>
      <c r="U176" s="4" t="str">
        <f>IF(Table17[[#This Row],[Column223]]=Table17[[#This Row],[Column24]],"",1)</f>
        <v/>
      </c>
      <c r="V176" s="5">
        <f>IF(Table17[[#This Row],[isis]]="",IF(Table17[[#This Row],[isin]]="",Table17[[#This Row],[Column2]],Table17[[#This Row],[isin]]),Table17[[#This Row],[isis]])</f>
        <v>48</v>
      </c>
      <c r="W176" s="3" t="str">
        <f>IF(Table17[[#This Row],[isis]]="",IF(Table17[[#This Row],[isin]]="",Table17[[#This Row],[Column22]],Table17[[#This Row],[stnn]]),Table17[[#This Row],[stns]])</f>
        <v>LSN</v>
      </c>
      <c r="X176" s="5">
        <f>IF(Table17[[#This Row],[Column2222]]&lt;1,Table17[[#This Row],[Column23]],Table17[[#This Row],[Column23]]*Table17[[#This Row],[Column2222]])</f>
        <v>48</v>
      </c>
      <c r="Y176" s="3" t="str">
        <f>Table17[[#This Row],[Column24]]</f>
        <v>LSN</v>
      </c>
      <c r="Z176" s="5">
        <f>Table17[[#This Row],[HRG / CTN]]/Table17[[#This Row],[Column23]]</f>
        <v>22500</v>
      </c>
      <c r="AA176" s="42" t="str">
        <f>IF(INDEX(NOTA[DISC 1],Sheet1!A:A)=0,"",INDEX(NOTA[DISC 1],Sheet1!A:A))</f>
        <v/>
      </c>
      <c r="AB176" s="42" t="str">
        <f>IF(INDEX(NOTA[DISC 2],Sheet1!A:A)=0,"",INDEX(NOTA[DISC 2],Sheet1!A:A))</f>
        <v/>
      </c>
      <c r="AC17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6" s="43">
        <f>INDEX(NOTA[HARGA/ CTN_H],Sheet1!A:A)</f>
        <v>1080000</v>
      </c>
      <c r="AE176" s="43">
        <f>IF(Table17[[#This Row],[DISC 3]]="",Table17[[#This Row],[HRG / CTN]],Table17[[#This Row],[HRG / CTN]]-(Table17[[#This Row],[HRG / CTN]]*Table17[[#This Row],[DISC 3]]))</f>
        <v>1080000</v>
      </c>
      <c r="AF176" s="14">
        <f>IF(Table17[[#This Row],[Column2222]]&lt;1,Table17[[#This Row],[Column9]],Table17[[#This Row],[Column9]]*Table17[[#This Row],[Column2222]])</f>
        <v>1080000</v>
      </c>
      <c r="AG176" s="43" t="str">
        <f ca="1">IF(NOT(AL177=Table17[[#This Row],[Column6]]),SUMIF(Table17[Column6],Table17[[#This Row],[Column6]],Table17[Column7]),"")</f>
        <v/>
      </c>
      <c r="AH176" s="44">
        <f ca="1">INDEX(NOTA[TGL_H],Sheet1!A:A)</f>
        <v>45461</v>
      </c>
      <c r="AI176" s="44">
        <f ca="1">INDEX(NOTA[TGL.NOTA_H],Sheet1!A:A)</f>
        <v>45451</v>
      </c>
      <c r="AK176" t="str">
        <f>IF(INDEX(NOTA[KETERANGAN],A:A)="","",INDEX(NOTA[KETERANGAN],A:A))</f>
        <v/>
      </c>
      <c r="AL176" t="str">
        <f ca="1">INDEX(NOTA[NO.NOTA_H],Sheet1!A:A)</f>
        <v>SO2024060086054</v>
      </c>
      <c r="AM176">
        <f>INDEX(NOTA[KETERANGAN],Sheet1!A:A)</f>
        <v>0</v>
      </c>
      <c r="AN176" t="str">
        <f ca="1">INDEX(NOTA[SUPPLIER_H],Sheet1!A:A)</f>
        <v>BINTANG SAUDARA</v>
      </c>
      <c r="AO176" t="e">
        <f t="shared" ca="1" si="6"/>
        <v>#N/A</v>
      </c>
    </row>
    <row r="177" spans="1:41">
      <c r="A177" s="3">
        <v>215</v>
      </c>
      <c r="C177">
        <f>INDEX(NOTA[//DB],Sheet1!A:A)</f>
        <v>3349</v>
      </c>
      <c r="D177">
        <f>MATCH(Table17[[#This Row],[//db]],[3]!Table2[\\],0)</f>
        <v>771</v>
      </c>
      <c r="E177" t="str">
        <f>INDEX([3]!db[NB NOTA],Table17[[#This Row],[//db]])</f>
        <v>GEL PEN KOALA GP-168-B BR</v>
      </c>
      <c r="F177" t="str">
        <f>INDEX([3]!db[NB BM],Table17[[#This Row],[//db]])</f>
        <v>BP GEL KOALA GP-168-B BR</v>
      </c>
      <c r="G177" t="str">
        <f>_xlfn.IFNA(INDEX([3]!Table2[NAMA],Table17[[#This Row],[dbconcat]]),"")</f>
        <v>BP GEL KOALA GP-168-B BR</v>
      </c>
      <c r="H177" t="str">
        <f>INDEX([3]!Table2[KODE BARANG],Table17[[#This Row],[dbconcat]])</f>
        <v>BOL-KO399</v>
      </c>
      <c r="I177" t="str">
        <f>IF(Table17[[#This Row],[Column3]]="",UPPER(Table17[[#This Row],[Column1]]),Table17[[#This Row],[Column3]])</f>
        <v>BP GEL KOALA GP-168-B BR</v>
      </c>
      <c r="J177">
        <f>INDEX(NOTA[C],Sheet1!A:A)</f>
        <v>0</v>
      </c>
      <c r="K177" t="str">
        <f>IF(OR(Table17[[#This Row],[Column5]]=0,Table17[[#This Row],[Column3]]=""),"",INDEX([3]!Table2[ISI2],Table17[[#This Row],[dbconcat]]))</f>
        <v/>
      </c>
      <c r="L177" t="str">
        <f>IF(Table17[[#This Row],[isis]]="","",INDEX([3]!Table2[SATUAN3],Table17[[#This Row],[dbconcat]]))</f>
        <v/>
      </c>
      <c r="M177" t="str">
        <f>IF(Table17[[#This Row],[Column5]]=0,"",IF(Table17[[#This Row],[Column3]]="",INDEX([3]!db[QTY B],Table17[[#This Row],[//db]]),""))</f>
        <v/>
      </c>
      <c r="N177" t="str">
        <f>IF(Table17[[#This Row],[isin]]="","",INDEX([3]!db[STN B],Table17[[#This Row],[//db]]))</f>
        <v/>
      </c>
      <c r="O177">
        <f>IF(AND(Table17[[#This Row],[isis]]="",Table17[[#This Row],[isin]]=""),INDEX(NOTA[QTY],Sheet1!A:A)/IF(Table17[[#This Row],[Column5]]=0,1,Table17[[#This Row],[Column5]]),"")</f>
        <v>48</v>
      </c>
      <c r="P177" t="str">
        <f>IF(Table17[[#This Row],[Column2]]="","",INDEX(NOTA[STN],Sheet1!A:A))</f>
        <v>LSN</v>
      </c>
      <c r="Q177" s="5" t="str">
        <f>INDEX([3]!db[QTY B],Table17[[#This Row],[//db]])</f>
        <v>144</v>
      </c>
      <c r="R177" t="str">
        <f>INDEX([3]!db[STN B],Table17[[#This Row],[//db]])</f>
        <v>LSN</v>
      </c>
      <c r="S177" s="40">
        <f>IF(Table17[[#This Row],[Column5]]=0,Table17[[#This Row],[Column23]]/Table17[[#This Row],[Column224]],"")</f>
        <v>0.33333333333333331</v>
      </c>
      <c r="T177" s="4">
        <f>IF(Table17[[#This Row],[Column222]]="",Table17[[#This Row],[Column5]],Table17[[#This Row],[Column222]])</f>
        <v>0.33333333333333331</v>
      </c>
      <c r="U177" s="4" t="str">
        <f>IF(Table17[[#This Row],[Column223]]=Table17[[#This Row],[Column24]],"",1)</f>
        <v/>
      </c>
      <c r="V177" s="5">
        <f>IF(Table17[[#This Row],[isis]]="",IF(Table17[[#This Row],[isin]]="",Table17[[#This Row],[Column2]],Table17[[#This Row],[isin]]),Table17[[#This Row],[isis]])</f>
        <v>48</v>
      </c>
      <c r="W177" s="3" t="str">
        <f>IF(Table17[[#This Row],[isis]]="",IF(Table17[[#This Row],[isin]]="",Table17[[#This Row],[Column22]],Table17[[#This Row],[stnn]]),Table17[[#This Row],[stns]])</f>
        <v>LSN</v>
      </c>
      <c r="X177" s="5">
        <f>IF(Table17[[#This Row],[Column2222]]&lt;1,Table17[[#This Row],[Column23]],Table17[[#This Row],[Column23]]*Table17[[#This Row],[Column2222]])</f>
        <v>48</v>
      </c>
      <c r="Y177" s="3" t="str">
        <f>Table17[[#This Row],[Column24]]</f>
        <v>LSN</v>
      </c>
      <c r="Z177" s="5">
        <f>Table17[[#This Row],[HRG / CTN]]/Table17[[#This Row],[Column23]]</f>
        <v>22500</v>
      </c>
      <c r="AA177" s="42" t="str">
        <f>IF(INDEX(NOTA[DISC 1],Sheet1!A:A)=0,"",INDEX(NOTA[DISC 1],Sheet1!A:A))</f>
        <v/>
      </c>
      <c r="AB177" s="42" t="str">
        <f>IF(INDEX(NOTA[DISC 2],Sheet1!A:A)=0,"",INDEX(NOTA[DISC 2],Sheet1!A:A))</f>
        <v/>
      </c>
      <c r="AC17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7" s="43">
        <f>INDEX(NOTA[HARGA/ CTN_H],Sheet1!A:A)</f>
        <v>1080000</v>
      </c>
      <c r="AE177" s="43">
        <f>IF(Table17[[#This Row],[DISC 3]]="",Table17[[#This Row],[HRG / CTN]],Table17[[#This Row],[HRG / CTN]]-(Table17[[#This Row],[HRG / CTN]]*Table17[[#This Row],[DISC 3]]))</f>
        <v>1080000</v>
      </c>
      <c r="AF177" s="14">
        <f>IF(Table17[[#This Row],[Column2222]]&lt;1,Table17[[#This Row],[Column9]],Table17[[#This Row],[Column9]]*Table17[[#This Row],[Column2222]])</f>
        <v>1080000</v>
      </c>
      <c r="AG177" s="43" t="str">
        <f ca="1">IF(NOT(AL178=Table17[[#This Row],[Column6]]),SUMIF(Table17[Column6],Table17[[#This Row],[Column6]],Table17[Column7]),"")</f>
        <v/>
      </c>
      <c r="AH177" s="44">
        <f ca="1">INDEX(NOTA[TGL_H],Sheet1!A:A)</f>
        <v>45461</v>
      </c>
      <c r="AI177" s="44">
        <f ca="1">INDEX(NOTA[TGL.NOTA_H],Sheet1!A:A)</f>
        <v>45451</v>
      </c>
      <c r="AK177" t="str">
        <f>IF(INDEX(NOTA[KETERANGAN],A:A)="","",INDEX(NOTA[KETERANGAN],A:A))</f>
        <v/>
      </c>
      <c r="AL177" t="str">
        <f ca="1">INDEX(NOTA[NO.NOTA_H],Sheet1!A:A)</f>
        <v>SO2024060086054</v>
      </c>
      <c r="AM177">
        <f>INDEX(NOTA[KETERANGAN],Sheet1!A:A)</f>
        <v>0</v>
      </c>
      <c r="AN177" t="str">
        <f ca="1">INDEX(NOTA[SUPPLIER_H],Sheet1!A:A)</f>
        <v>BINTANG SAUDARA</v>
      </c>
      <c r="AO177" t="e">
        <f t="shared" ca="1" si="6"/>
        <v>#N/A</v>
      </c>
    </row>
    <row r="178" spans="1:41">
      <c r="A178" s="3">
        <v>216</v>
      </c>
      <c r="C178">
        <f>INDEX(NOTA[//DB],Sheet1!A:A)</f>
        <v>3350</v>
      </c>
      <c r="D178">
        <f>MATCH(Table17[[#This Row],[//db]],[3]!Table2[\\],0)</f>
        <v>772</v>
      </c>
      <c r="E178" t="str">
        <f>INDEX([3]!db[NB NOTA],Table17[[#This Row],[//db]])</f>
        <v>GEL PEN KOALA GP-168-C HJ</v>
      </c>
      <c r="F178" t="str">
        <f>INDEX([3]!db[NB BM],Table17[[#This Row],[//db]])</f>
        <v>BP GEL KOALA GP-168-C HJ</v>
      </c>
      <c r="G178" t="str">
        <f>_xlfn.IFNA(INDEX([3]!Table2[NAMA],Table17[[#This Row],[dbconcat]]),"")</f>
        <v>BP GEL KOALA GP-168-C HJ</v>
      </c>
      <c r="H178" t="str">
        <f>INDEX([3]!Table2[KODE BARANG],Table17[[#This Row],[dbconcat]])</f>
        <v>BOL-KO400</v>
      </c>
      <c r="I178" t="str">
        <f>IF(Table17[[#This Row],[Column3]]="",UPPER(Table17[[#This Row],[Column1]]),Table17[[#This Row],[Column3]])</f>
        <v>BP GEL KOALA GP-168-C HJ</v>
      </c>
      <c r="J178">
        <f>INDEX(NOTA[C],Sheet1!A:A)</f>
        <v>0</v>
      </c>
      <c r="K178" t="str">
        <f>IF(OR(Table17[[#This Row],[Column5]]=0,Table17[[#This Row],[Column3]]=""),"",INDEX([3]!Table2[ISI2],Table17[[#This Row],[dbconcat]]))</f>
        <v/>
      </c>
      <c r="L178" t="str">
        <f>IF(Table17[[#This Row],[isis]]="","",INDEX([3]!Table2[SATUAN3],Table17[[#This Row],[dbconcat]]))</f>
        <v/>
      </c>
      <c r="M178" t="str">
        <f>IF(Table17[[#This Row],[Column5]]=0,"",IF(Table17[[#This Row],[Column3]]="",INDEX([3]!db[QTY B],Table17[[#This Row],[//db]]),""))</f>
        <v/>
      </c>
      <c r="N178" t="str">
        <f>IF(Table17[[#This Row],[isin]]="","",INDEX([3]!db[STN B],Table17[[#This Row],[//db]]))</f>
        <v/>
      </c>
      <c r="O178">
        <f>IF(AND(Table17[[#This Row],[isis]]="",Table17[[#This Row],[isin]]=""),INDEX(NOTA[QTY],Sheet1!A:A)/IF(Table17[[#This Row],[Column5]]=0,1,Table17[[#This Row],[Column5]]),"")</f>
        <v>48</v>
      </c>
      <c r="P178" t="str">
        <f>IF(Table17[[#This Row],[Column2]]="","",INDEX(NOTA[STN],Sheet1!A:A))</f>
        <v>LSN</v>
      </c>
      <c r="Q178" s="5" t="str">
        <f>INDEX([3]!db[QTY B],Table17[[#This Row],[//db]])</f>
        <v>144</v>
      </c>
      <c r="R178" t="str">
        <f>INDEX([3]!db[STN B],Table17[[#This Row],[//db]])</f>
        <v>LSN</v>
      </c>
      <c r="S178" s="40">
        <f>IF(Table17[[#This Row],[Column5]]=0,Table17[[#This Row],[Column23]]/Table17[[#This Row],[Column224]],"")</f>
        <v>0.33333333333333331</v>
      </c>
      <c r="T178" s="4">
        <f>IF(Table17[[#This Row],[Column222]]="",Table17[[#This Row],[Column5]],Table17[[#This Row],[Column222]])</f>
        <v>0.33333333333333331</v>
      </c>
      <c r="U178" s="4" t="str">
        <f>IF(Table17[[#This Row],[Column223]]=Table17[[#This Row],[Column24]],"",1)</f>
        <v/>
      </c>
      <c r="V178" s="5">
        <f>IF(Table17[[#This Row],[isis]]="",IF(Table17[[#This Row],[isin]]="",Table17[[#This Row],[Column2]],Table17[[#This Row],[isin]]),Table17[[#This Row],[isis]])</f>
        <v>48</v>
      </c>
      <c r="W178" s="3" t="str">
        <f>IF(Table17[[#This Row],[isis]]="",IF(Table17[[#This Row],[isin]]="",Table17[[#This Row],[Column22]],Table17[[#This Row],[stnn]]),Table17[[#This Row],[stns]])</f>
        <v>LSN</v>
      </c>
      <c r="X178" s="5">
        <f>IF(Table17[[#This Row],[Column2222]]&lt;1,Table17[[#This Row],[Column23]],Table17[[#This Row],[Column23]]*Table17[[#This Row],[Column2222]])</f>
        <v>48</v>
      </c>
      <c r="Y178" s="3" t="str">
        <f>Table17[[#This Row],[Column24]]</f>
        <v>LSN</v>
      </c>
      <c r="Z178" s="5">
        <f>Table17[[#This Row],[HRG / CTN]]/Table17[[#This Row],[Column23]]</f>
        <v>22500</v>
      </c>
      <c r="AA178" s="42" t="str">
        <f>IF(INDEX(NOTA[DISC 1],Sheet1!A:A)=0,"",INDEX(NOTA[DISC 1],Sheet1!A:A))</f>
        <v/>
      </c>
      <c r="AB178" s="42" t="str">
        <f>IF(INDEX(NOTA[DISC 2],Sheet1!A:A)=0,"",INDEX(NOTA[DISC 2],Sheet1!A:A))</f>
        <v/>
      </c>
      <c r="AC17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8" s="43">
        <f>INDEX(NOTA[HARGA/ CTN_H],Sheet1!A:A)</f>
        <v>1080000</v>
      </c>
      <c r="AE178" s="43">
        <f>IF(Table17[[#This Row],[DISC 3]]="",Table17[[#This Row],[HRG / CTN]],Table17[[#This Row],[HRG / CTN]]-(Table17[[#This Row],[HRG / CTN]]*Table17[[#This Row],[DISC 3]]))</f>
        <v>1080000</v>
      </c>
      <c r="AF178" s="14">
        <f>IF(Table17[[#This Row],[Column2222]]&lt;1,Table17[[#This Row],[Column9]],Table17[[#This Row],[Column9]]*Table17[[#This Row],[Column2222]])</f>
        <v>1080000</v>
      </c>
      <c r="AG178" s="43" t="str">
        <f ca="1">IF(NOT(AL179=Table17[[#This Row],[Column6]]),SUMIF(Table17[Column6],Table17[[#This Row],[Column6]],Table17[Column7]),"")</f>
        <v/>
      </c>
      <c r="AH178" s="44">
        <f ca="1">INDEX(NOTA[TGL_H],Sheet1!A:A)</f>
        <v>45461</v>
      </c>
      <c r="AI178" s="44">
        <f ca="1">INDEX(NOTA[TGL.NOTA_H],Sheet1!A:A)</f>
        <v>45451</v>
      </c>
      <c r="AK178" t="str">
        <f>IF(INDEX(NOTA[KETERANGAN],A:A)="","",INDEX(NOTA[KETERANGAN],A:A))</f>
        <v/>
      </c>
      <c r="AL178" t="str">
        <f ca="1">INDEX(NOTA[NO.NOTA_H],Sheet1!A:A)</f>
        <v>SO2024060086054</v>
      </c>
      <c r="AM178">
        <f>INDEX(NOTA[KETERANGAN],Sheet1!A:A)</f>
        <v>0</v>
      </c>
      <c r="AN178" t="str">
        <f ca="1">INDEX(NOTA[SUPPLIER_H],Sheet1!A:A)</f>
        <v>BINTANG SAUDARA</v>
      </c>
      <c r="AO178" t="e">
        <f t="shared" ca="1" si="6"/>
        <v>#N/A</v>
      </c>
    </row>
    <row r="179" spans="1:41">
      <c r="A179" s="3">
        <v>217</v>
      </c>
      <c r="C179">
        <f>INDEX(NOTA[//DB],Sheet1!A:A)</f>
        <v>3351</v>
      </c>
      <c r="D179">
        <f>MATCH(Table17[[#This Row],[//db]],[3]!Table2[\\],0)</f>
        <v>773</v>
      </c>
      <c r="E179" t="str">
        <f>INDEX([3]!db[NB NOTA],Table17[[#This Row],[//db]])</f>
        <v>GEL PEN KOALA GP-168-D VL</v>
      </c>
      <c r="F179" t="str">
        <f>INDEX([3]!db[NB BM],Table17[[#This Row],[//db]])</f>
        <v>BP GEL KOALA GP-168-D VL</v>
      </c>
      <c r="G179" t="str">
        <f>_xlfn.IFNA(INDEX([3]!Table2[NAMA],Table17[[#This Row],[dbconcat]]),"")</f>
        <v>BP GEL KOALA GP-168-D VL</v>
      </c>
      <c r="H179" t="str">
        <f>INDEX([3]!Table2[KODE BARANG],Table17[[#This Row],[dbconcat]])</f>
        <v>BOL-KO401</v>
      </c>
      <c r="I179" t="str">
        <f>IF(Table17[[#This Row],[Column3]]="",UPPER(Table17[[#This Row],[Column1]]),Table17[[#This Row],[Column3]])</f>
        <v>BP GEL KOALA GP-168-D VL</v>
      </c>
      <c r="J179">
        <f>INDEX(NOTA[C],Sheet1!A:A)</f>
        <v>0</v>
      </c>
      <c r="K179" t="str">
        <f>IF(OR(Table17[[#This Row],[Column5]]=0,Table17[[#This Row],[Column3]]=""),"",INDEX([3]!Table2[ISI2],Table17[[#This Row],[dbconcat]]))</f>
        <v/>
      </c>
      <c r="L179" t="str">
        <f>IF(Table17[[#This Row],[isis]]="","",INDEX([3]!Table2[SATUAN3],Table17[[#This Row],[dbconcat]]))</f>
        <v/>
      </c>
      <c r="M179" t="str">
        <f>IF(Table17[[#This Row],[Column5]]=0,"",IF(Table17[[#This Row],[Column3]]="",INDEX([3]!db[QTY B],Table17[[#This Row],[//db]]),""))</f>
        <v/>
      </c>
      <c r="N179" t="str">
        <f>IF(Table17[[#This Row],[isin]]="","",INDEX([3]!db[STN B],Table17[[#This Row],[//db]]))</f>
        <v/>
      </c>
      <c r="O179">
        <f>IF(AND(Table17[[#This Row],[isis]]="",Table17[[#This Row],[isin]]=""),INDEX(NOTA[QTY],Sheet1!A:A)/IF(Table17[[#This Row],[Column5]]=0,1,Table17[[#This Row],[Column5]]),"")</f>
        <v>48</v>
      </c>
      <c r="P179" t="str">
        <f>IF(Table17[[#This Row],[Column2]]="","",INDEX(NOTA[STN],Sheet1!A:A))</f>
        <v>LSN</v>
      </c>
      <c r="Q179" s="5" t="str">
        <f>INDEX([3]!db[QTY B],Table17[[#This Row],[//db]])</f>
        <v>144</v>
      </c>
      <c r="R179" t="str">
        <f>INDEX([3]!db[STN B],Table17[[#This Row],[//db]])</f>
        <v>LSN</v>
      </c>
      <c r="S179" s="40">
        <f>IF(Table17[[#This Row],[Column5]]=0,Table17[[#This Row],[Column23]]/Table17[[#This Row],[Column224]],"")</f>
        <v>0.33333333333333331</v>
      </c>
      <c r="T179" s="4">
        <f>IF(Table17[[#This Row],[Column222]]="",Table17[[#This Row],[Column5]],Table17[[#This Row],[Column222]])</f>
        <v>0.33333333333333331</v>
      </c>
      <c r="U179" s="4" t="str">
        <f>IF(Table17[[#This Row],[Column223]]=Table17[[#This Row],[Column24]],"",1)</f>
        <v/>
      </c>
      <c r="V179" s="5">
        <f>IF(Table17[[#This Row],[isis]]="",IF(Table17[[#This Row],[isin]]="",Table17[[#This Row],[Column2]],Table17[[#This Row],[isin]]),Table17[[#This Row],[isis]])</f>
        <v>48</v>
      </c>
      <c r="W179" s="3" t="str">
        <f>IF(Table17[[#This Row],[isis]]="",IF(Table17[[#This Row],[isin]]="",Table17[[#This Row],[Column22]],Table17[[#This Row],[stnn]]),Table17[[#This Row],[stns]])</f>
        <v>LSN</v>
      </c>
      <c r="X179" s="5">
        <f>IF(Table17[[#This Row],[Column2222]]&lt;1,Table17[[#This Row],[Column23]],Table17[[#This Row],[Column23]]*Table17[[#This Row],[Column2222]])</f>
        <v>48</v>
      </c>
      <c r="Y179" s="3" t="str">
        <f>Table17[[#This Row],[Column24]]</f>
        <v>LSN</v>
      </c>
      <c r="Z179" s="5">
        <f>Table17[[#This Row],[HRG / CTN]]/Table17[[#This Row],[Column23]]</f>
        <v>22500</v>
      </c>
      <c r="AA179" s="42" t="str">
        <f>IF(INDEX(NOTA[DISC 1],Sheet1!A:A)=0,"",INDEX(NOTA[DISC 1],Sheet1!A:A))</f>
        <v/>
      </c>
      <c r="AB179" s="42" t="str">
        <f>IF(INDEX(NOTA[DISC 2],Sheet1!A:A)=0,"",INDEX(NOTA[DISC 2],Sheet1!A:A))</f>
        <v/>
      </c>
      <c r="AC17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9" s="43">
        <f>INDEX(NOTA[HARGA/ CTN_H],Sheet1!A:A)</f>
        <v>1080000</v>
      </c>
      <c r="AE179" s="43">
        <f>IF(Table17[[#This Row],[DISC 3]]="",Table17[[#This Row],[HRG / CTN]],Table17[[#This Row],[HRG / CTN]]-(Table17[[#This Row],[HRG / CTN]]*Table17[[#This Row],[DISC 3]]))</f>
        <v>1080000</v>
      </c>
      <c r="AF179" s="14">
        <f>IF(Table17[[#This Row],[Column2222]]&lt;1,Table17[[#This Row],[Column9]],Table17[[#This Row],[Column9]]*Table17[[#This Row],[Column2222]])</f>
        <v>1080000</v>
      </c>
      <c r="AG179" s="43" t="str">
        <f ca="1">IF(NOT(AL180=Table17[[#This Row],[Column6]]),SUMIF(Table17[Column6],Table17[[#This Row],[Column6]],Table17[Column7]),"")</f>
        <v/>
      </c>
      <c r="AH179" s="44">
        <f ca="1">INDEX(NOTA[TGL_H],Sheet1!A:A)</f>
        <v>45461</v>
      </c>
      <c r="AI179" s="44">
        <f ca="1">INDEX(NOTA[TGL.NOTA_H],Sheet1!A:A)</f>
        <v>45451</v>
      </c>
      <c r="AK179" t="str">
        <f>IF(INDEX(NOTA[KETERANGAN],A:A)="","",INDEX(NOTA[KETERANGAN],A:A))</f>
        <v/>
      </c>
      <c r="AL179" t="str">
        <f ca="1">INDEX(NOTA[NO.NOTA_H],Sheet1!A:A)</f>
        <v>SO2024060086054</v>
      </c>
      <c r="AM179">
        <f>INDEX(NOTA[KETERANGAN],Sheet1!A:A)</f>
        <v>0</v>
      </c>
      <c r="AN179" t="str">
        <f ca="1">INDEX(NOTA[SUPPLIER_H],Sheet1!A:A)</f>
        <v>BINTANG SAUDARA</v>
      </c>
      <c r="AO179" t="e">
        <f t="shared" ca="1" si="6"/>
        <v>#N/A</v>
      </c>
    </row>
    <row r="180" spans="1:41">
      <c r="A180" s="3">
        <v>218</v>
      </c>
      <c r="C180">
        <f>INDEX(NOTA[//DB],Sheet1!A:A)</f>
        <v>3352</v>
      </c>
      <c r="D180">
        <f>MATCH(Table17[[#This Row],[//db]],[3]!Table2[\\],0)</f>
        <v>774</v>
      </c>
      <c r="E180" t="str">
        <f>INDEX([3]!db[NB NOTA],Table17[[#This Row],[//db]])</f>
        <v>GEL PEN KOALA GP-168-E OR</v>
      </c>
      <c r="F180" t="str">
        <f>INDEX([3]!db[NB BM],Table17[[#This Row],[//db]])</f>
        <v>BP GEL KOALA GP-168-E OR</v>
      </c>
      <c r="G180" t="str">
        <f>_xlfn.IFNA(INDEX([3]!Table2[NAMA],Table17[[#This Row],[dbconcat]]),"")</f>
        <v>BP GEL KOALA GP-168-E OR</v>
      </c>
      <c r="H180" t="str">
        <f>INDEX([3]!Table2[KODE BARANG],Table17[[#This Row],[dbconcat]])</f>
        <v>BOL-KO402</v>
      </c>
      <c r="I180" t="str">
        <f>IF(Table17[[#This Row],[Column3]]="",UPPER(Table17[[#This Row],[Column1]]),Table17[[#This Row],[Column3]])</f>
        <v>BP GEL KOALA GP-168-E OR</v>
      </c>
      <c r="J180">
        <f>INDEX(NOTA[C],Sheet1!A:A)</f>
        <v>0</v>
      </c>
      <c r="K180" t="str">
        <f>IF(OR(Table17[[#This Row],[Column5]]=0,Table17[[#This Row],[Column3]]=""),"",INDEX([3]!Table2[ISI2],Table17[[#This Row],[dbconcat]]))</f>
        <v/>
      </c>
      <c r="L180" t="str">
        <f>IF(Table17[[#This Row],[isis]]="","",INDEX([3]!Table2[SATUAN3],Table17[[#This Row],[dbconcat]]))</f>
        <v/>
      </c>
      <c r="M180" t="str">
        <f>IF(Table17[[#This Row],[Column5]]=0,"",IF(Table17[[#This Row],[Column3]]="",INDEX([3]!db[QTY B],Table17[[#This Row],[//db]]),""))</f>
        <v/>
      </c>
      <c r="N180" t="str">
        <f>IF(Table17[[#This Row],[isin]]="","",INDEX([3]!db[STN B],Table17[[#This Row],[//db]]))</f>
        <v/>
      </c>
      <c r="O180">
        <f>IF(AND(Table17[[#This Row],[isis]]="",Table17[[#This Row],[isin]]=""),INDEX(NOTA[QTY],Sheet1!A:A)/IF(Table17[[#This Row],[Column5]]=0,1,Table17[[#This Row],[Column5]]),"")</f>
        <v>48</v>
      </c>
      <c r="P180" t="str">
        <f>IF(Table17[[#This Row],[Column2]]="","",INDEX(NOTA[STN],Sheet1!A:A))</f>
        <v>LSN</v>
      </c>
      <c r="Q180" s="5" t="str">
        <f>INDEX([3]!db[QTY B],Table17[[#This Row],[//db]])</f>
        <v>144</v>
      </c>
      <c r="R180" t="str">
        <f>INDEX([3]!db[STN B],Table17[[#This Row],[//db]])</f>
        <v>LSN</v>
      </c>
      <c r="S180" s="40">
        <f>IF(Table17[[#This Row],[Column5]]=0,Table17[[#This Row],[Column23]]/Table17[[#This Row],[Column224]],"")</f>
        <v>0.33333333333333331</v>
      </c>
      <c r="T180" s="4">
        <f>IF(Table17[[#This Row],[Column222]]="",Table17[[#This Row],[Column5]],Table17[[#This Row],[Column222]])</f>
        <v>0.33333333333333331</v>
      </c>
      <c r="U180" s="4" t="str">
        <f>IF(Table17[[#This Row],[Column223]]=Table17[[#This Row],[Column24]],"",1)</f>
        <v/>
      </c>
      <c r="V180" s="5">
        <f>IF(Table17[[#This Row],[isis]]="",IF(Table17[[#This Row],[isin]]="",Table17[[#This Row],[Column2]],Table17[[#This Row],[isin]]),Table17[[#This Row],[isis]])</f>
        <v>48</v>
      </c>
      <c r="W180" s="3" t="str">
        <f>IF(Table17[[#This Row],[isis]]="",IF(Table17[[#This Row],[isin]]="",Table17[[#This Row],[Column22]],Table17[[#This Row],[stnn]]),Table17[[#This Row],[stns]])</f>
        <v>LSN</v>
      </c>
      <c r="X180" s="5">
        <f>IF(Table17[[#This Row],[Column2222]]&lt;1,Table17[[#This Row],[Column23]],Table17[[#This Row],[Column23]]*Table17[[#This Row],[Column2222]])</f>
        <v>48</v>
      </c>
      <c r="Y180" s="3" t="str">
        <f>Table17[[#This Row],[Column24]]</f>
        <v>LSN</v>
      </c>
      <c r="Z180" s="5">
        <f>Table17[[#This Row],[HRG / CTN]]/Table17[[#This Row],[Column23]]</f>
        <v>22500</v>
      </c>
      <c r="AA180" s="42" t="str">
        <f>IF(INDEX(NOTA[DISC 1],Sheet1!A:A)=0,"",INDEX(NOTA[DISC 1],Sheet1!A:A))</f>
        <v/>
      </c>
      <c r="AB180" s="42" t="str">
        <f>IF(INDEX(NOTA[DISC 2],Sheet1!A:A)=0,"",INDEX(NOTA[DISC 2],Sheet1!A:A))</f>
        <v/>
      </c>
      <c r="AC18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0" s="43">
        <f>INDEX(NOTA[HARGA/ CTN_H],Sheet1!A:A)</f>
        <v>1080000</v>
      </c>
      <c r="AE180" s="43">
        <f>IF(Table17[[#This Row],[DISC 3]]="",Table17[[#This Row],[HRG / CTN]],Table17[[#This Row],[HRG / CTN]]-(Table17[[#This Row],[HRG / CTN]]*Table17[[#This Row],[DISC 3]]))</f>
        <v>1080000</v>
      </c>
      <c r="AF180" s="14">
        <f>IF(Table17[[#This Row],[Column2222]]&lt;1,Table17[[#This Row],[Column9]],Table17[[#This Row],[Column9]]*Table17[[#This Row],[Column2222]])</f>
        <v>1080000</v>
      </c>
      <c r="AG180" s="43" t="str">
        <f ca="1">IF(NOT(AL181=Table17[[#This Row],[Column6]]),SUMIF(Table17[Column6],Table17[[#This Row],[Column6]],Table17[Column7]),"")</f>
        <v/>
      </c>
      <c r="AH180" s="44">
        <f ca="1">INDEX(NOTA[TGL_H],Sheet1!A:A)</f>
        <v>45461</v>
      </c>
      <c r="AI180" s="44">
        <f ca="1">INDEX(NOTA[TGL.NOTA_H],Sheet1!A:A)</f>
        <v>45451</v>
      </c>
      <c r="AK180" t="str">
        <f>IF(INDEX(NOTA[KETERANGAN],A:A)="","",INDEX(NOTA[KETERANGAN],A:A))</f>
        <v/>
      </c>
      <c r="AL180" t="str">
        <f ca="1">INDEX(NOTA[NO.NOTA_H],Sheet1!A:A)</f>
        <v>SO2024060086054</v>
      </c>
      <c r="AM180">
        <f>INDEX(NOTA[KETERANGAN],Sheet1!A:A)</f>
        <v>0</v>
      </c>
      <c r="AN180" t="str">
        <f ca="1">INDEX(NOTA[SUPPLIER_H],Sheet1!A:A)</f>
        <v>BINTANG SAUDARA</v>
      </c>
      <c r="AO180" t="e">
        <f t="shared" ca="1" si="6"/>
        <v>#N/A</v>
      </c>
    </row>
    <row r="181" spans="1:41">
      <c r="A181" s="3">
        <v>219</v>
      </c>
      <c r="C181">
        <f>INDEX(NOTA[//DB],Sheet1!A:A)</f>
        <v>3353</v>
      </c>
      <c r="D181">
        <f>MATCH(Table17[[#This Row],[//db]],[3]!Table2[\\],0)</f>
        <v>775</v>
      </c>
      <c r="E181" t="str">
        <f>INDEX([3]!db[NB NOTA],Table17[[#This Row],[//db]])</f>
        <v>GEL PEN KOALA GP-168-F BR TUA</v>
      </c>
      <c r="F181" t="str">
        <f>INDEX([3]!db[NB BM],Table17[[#This Row],[//db]])</f>
        <v>BP GEL KOALA GP-168-F BR TUA</v>
      </c>
      <c r="G181" t="str">
        <f>_xlfn.IFNA(INDEX([3]!Table2[NAMA],Table17[[#This Row],[dbconcat]]),"")</f>
        <v>BP GEL KOALA GP-168-F BR TUA</v>
      </c>
      <c r="H181" t="str">
        <f>INDEX([3]!Table2[KODE BARANG],Table17[[#This Row],[dbconcat]])</f>
        <v>BOL-KO403</v>
      </c>
      <c r="I181" t="str">
        <f>IF(Table17[[#This Row],[Column3]]="",UPPER(Table17[[#This Row],[Column1]]),Table17[[#This Row],[Column3]])</f>
        <v>BP GEL KOALA GP-168-F BR TUA</v>
      </c>
      <c r="J181">
        <f>INDEX(NOTA[C],Sheet1!A:A)</f>
        <v>0</v>
      </c>
      <c r="K181" t="str">
        <f>IF(OR(Table17[[#This Row],[Column5]]=0,Table17[[#This Row],[Column3]]=""),"",INDEX([3]!Table2[ISI2],Table17[[#This Row],[dbconcat]]))</f>
        <v/>
      </c>
      <c r="L181" t="str">
        <f>IF(Table17[[#This Row],[isis]]="","",INDEX([3]!Table2[SATUAN3],Table17[[#This Row],[dbconcat]]))</f>
        <v/>
      </c>
      <c r="M181" t="str">
        <f>IF(Table17[[#This Row],[Column5]]=0,"",IF(Table17[[#This Row],[Column3]]="",INDEX([3]!db[QTY B],Table17[[#This Row],[//db]]),""))</f>
        <v/>
      </c>
      <c r="N181" t="str">
        <f>IF(Table17[[#This Row],[isin]]="","",INDEX([3]!db[STN B],Table17[[#This Row],[//db]]))</f>
        <v/>
      </c>
      <c r="O181">
        <f>IF(AND(Table17[[#This Row],[isis]]="",Table17[[#This Row],[isin]]=""),INDEX(NOTA[QTY],Sheet1!A:A)/IF(Table17[[#This Row],[Column5]]=0,1,Table17[[#This Row],[Column5]]),"")</f>
        <v>48</v>
      </c>
      <c r="P181" t="str">
        <f>IF(Table17[[#This Row],[Column2]]="","",INDEX(NOTA[STN],Sheet1!A:A))</f>
        <v>LSN</v>
      </c>
      <c r="Q181" s="5" t="str">
        <f>INDEX([3]!db[QTY B],Table17[[#This Row],[//db]])</f>
        <v>144</v>
      </c>
      <c r="R181" t="str">
        <f>INDEX([3]!db[STN B],Table17[[#This Row],[//db]])</f>
        <v>LSN</v>
      </c>
      <c r="S181" s="40">
        <f>IF(Table17[[#This Row],[Column5]]=0,Table17[[#This Row],[Column23]]/Table17[[#This Row],[Column224]],"")</f>
        <v>0.33333333333333331</v>
      </c>
      <c r="T181" s="4">
        <f>IF(Table17[[#This Row],[Column222]]="",Table17[[#This Row],[Column5]],Table17[[#This Row],[Column222]])</f>
        <v>0.33333333333333331</v>
      </c>
      <c r="U181" s="4" t="str">
        <f>IF(Table17[[#This Row],[Column223]]=Table17[[#This Row],[Column24]],"",1)</f>
        <v/>
      </c>
      <c r="V181" s="5">
        <f>IF(Table17[[#This Row],[isis]]="",IF(Table17[[#This Row],[isin]]="",Table17[[#This Row],[Column2]],Table17[[#This Row],[isin]]),Table17[[#This Row],[isis]])</f>
        <v>48</v>
      </c>
      <c r="W181" s="3" t="str">
        <f>IF(Table17[[#This Row],[isis]]="",IF(Table17[[#This Row],[isin]]="",Table17[[#This Row],[Column22]],Table17[[#This Row],[stnn]]),Table17[[#This Row],[stns]])</f>
        <v>LSN</v>
      </c>
      <c r="X181" s="5">
        <f>IF(Table17[[#This Row],[Column2222]]&lt;1,Table17[[#This Row],[Column23]],Table17[[#This Row],[Column23]]*Table17[[#This Row],[Column2222]])</f>
        <v>48</v>
      </c>
      <c r="Y181" s="3" t="str">
        <f>Table17[[#This Row],[Column24]]</f>
        <v>LSN</v>
      </c>
      <c r="Z181" s="5">
        <f>Table17[[#This Row],[HRG / CTN]]/Table17[[#This Row],[Column23]]</f>
        <v>22500</v>
      </c>
      <c r="AA181" s="42" t="str">
        <f>IF(INDEX(NOTA[DISC 1],Sheet1!A:A)=0,"",INDEX(NOTA[DISC 1],Sheet1!A:A))</f>
        <v/>
      </c>
      <c r="AB181" s="42" t="str">
        <f>IF(INDEX(NOTA[DISC 2],Sheet1!A:A)=0,"",INDEX(NOTA[DISC 2],Sheet1!A:A))</f>
        <v/>
      </c>
      <c r="AC18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1" s="43">
        <f>INDEX(NOTA[HARGA/ CTN_H],Sheet1!A:A)</f>
        <v>1080000</v>
      </c>
      <c r="AE181" s="43">
        <f>IF(Table17[[#This Row],[DISC 3]]="",Table17[[#This Row],[HRG / CTN]],Table17[[#This Row],[HRG / CTN]]-(Table17[[#This Row],[HRG / CTN]]*Table17[[#This Row],[DISC 3]]))</f>
        <v>1080000</v>
      </c>
      <c r="AF181" s="14">
        <f>IF(Table17[[#This Row],[Column2222]]&lt;1,Table17[[#This Row],[Column9]],Table17[[#This Row],[Column9]]*Table17[[#This Row],[Column2222]])</f>
        <v>1080000</v>
      </c>
      <c r="AG181" s="43" t="str">
        <f ca="1">IF(NOT(AL182=Table17[[#This Row],[Column6]]),SUMIF(Table17[Column6],Table17[[#This Row],[Column6]],Table17[Column7]),"")</f>
        <v/>
      </c>
      <c r="AH181" s="44">
        <f ca="1">INDEX(NOTA[TGL_H],Sheet1!A:A)</f>
        <v>45461</v>
      </c>
      <c r="AI181" s="44">
        <f ca="1">INDEX(NOTA[TGL.NOTA_H],Sheet1!A:A)</f>
        <v>45451</v>
      </c>
      <c r="AK181" t="str">
        <f>IF(INDEX(NOTA[KETERANGAN],A:A)="","",INDEX(NOTA[KETERANGAN],A:A))</f>
        <v/>
      </c>
      <c r="AL181" t="str">
        <f ca="1">INDEX(NOTA[NO.NOTA_H],Sheet1!A:A)</f>
        <v>SO2024060086054</v>
      </c>
      <c r="AM181">
        <f>INDEX(NOTA[KETERANGAN],Sheet1!A:A)</f>
        <v>0</v>
      </c>
      <c r="AN181" t="str">
        <f ca="1">INDEX(NOTA[SUPPLIER_H],Sheet1!A:A)</f>
        <v>BINTANG SAUDARA</v>
      </c>
      <c r="AO181" t="e">
        <f t="shared" ca="1" si="6"/>
        <v>#N/A</v>
      </c>
    </row>
    <row r="182" spans="1:41">
      <c r="A182" s="3">
        <v>220</v>
      </c>
      <c r="C182">
        <f>INDEX(NOTA[//DB],Sheet1!A:A)</f>
        <v>3354</v>
      </c>
      <c r="D182">
        <f>MATCH(Table17[[#This Row],[//db]],[3]!Table2[\\],0)</f>
        <v>776</v>
      </c>
      <c r="E182" t="str">
        <f>INDEX([3]!db[NB NOTA],Table17[[#This Row],[//db]])</f>
        <v>GEL PEN KOALA GP-168-G PK</v>
      </c>
      <c r="F182" t="str">
        <f>INDEX([3]!db[NB BM],Table17[[#This Row],[//db]])</f>
        <v>BP GEL KOALA GP-168-G PK</v>
      </c>
      <c r="G182" t="str">
        <f>_xlfn.IFNA(INDEX([3]!Table2[NAMA],Table17[[#This Row],[dbconcat]]),"")</f>
        <v>BP GEL KOALA GP-168-G PK</v>
      </c>
      <c r="H182" t="str">
        <f>INDEX([3]!Table2[KODE BARANG],Table17[[#This Row],[dbconcat]])</f>
        <v>BOL-KO404</v>
      </c>
      <c r="I182" t="str">
        <f>IF(Table17[[#This Row],[Column3]]="",UPPER(Table17[[#This Row],[Column1]]),Table17[[#This Row],[Column3]])</f>
        <v>BP GEL KOALA GP-168-G PK</v>
      </c>
      <c r="J182">
        <f>INDEX(NOTA[C],Sheet1!A:A)</f>
        <v>0</v>
      </c>
      <c r="K182" t="str">
        <f>IF(OR(Table17[[#This Row],[Column5]]=0,Table17[[#This Row],[Column3]]=""),"",INDEX([3]!Table2[ISI2],Table17[[#This Row],[dbconcat]]))</f>
        <v/>
      </c>
      <c r="L182" t="str">
        <f>IF(Table17[[#This Row],[isis]]="","",INDEX([3]!Table2[SATUAN3],Table17[[#This Row],[dbconcat]]))</f>
        <v/>
      </c>
      <c r="M182" t="str">
        <f>IF(Table17[[#This Row],[Column5]]=0,"",IF(Table17[[#This Row],[Column3]]="",INDEX([3]!db[QTY B],Table17[[#This Row],[//db]]),""))</f>
        <v/>
      </c>
      <c r="N182" t="str">
        <f>IF(Table17[[#This Row],[isin]]="","",INDEX([3]!db[STN B],Table17[[#This Row],[//db]]))</f>
        <v/>
      </c>
      <c r="O182">
        <f>IF(AND(Table17[[#This Row],[isis]]="",Table17[[#This Row],[isin]]=""),INDEX(NOTA[QTY],Sheet1!A:A)/IF(Table17[[#This Row],[Column5]]=0,1,Table17[[#This Row],[Column5]]),"")</f>
        <v>48</v>
      </c>
      <c r="P182" t="str">
        <f>IF(Table17[[#This Row],[Column2]]="","",INDEX(NOTA[STN],Sheet1!A:A))</f>
        <v>LSN</v>
      </c>
      <c r="Q182" s="5" t="str">
        <f>INDEX([3]!db[QTY B],Table17[[#This Row],[//db]])</f>
        <v>144</v>
      </c>
      <c r="R182" t="str">
        <f>INDEX([3]!db[STN B],Table17[[#This Row],[//db]])</f>
        <v>LSN</v>
      </c>
      <c r="S182" s="40">
        <f>IF(Table17[[#This Row],[Column5]]=0,Table17[[#This Row],[Column23]]/Table17[[#This Row],[Column224]],"")</f>
        <v>0.33333333333333331</v>
      </c>
      <c r="T182" s="4">
        <f>IF(Table17[[#This Row],[Column222]]="",Table17[[#This Row],[Column5]],Table17[[#This Row],[Column222]])</f>
        <v>0.33333333333333331</v>
      </c>
      <c r="U182" s="4" t="str">
        <f>IF(Table17[[#This Row],[Column223]]=Table17[[#This Row],[Column24]],"",1)</f>
        <v/>
      </c>
      <c r="V182" s="5">
        <f>IF(Table17[[#This Row],[isis]]="",IF(Table17[[#This Row],[isin]]="",Table17[[#This Row],[Column2]],Table17[[#This Row],[isin]]),Table17[[#This Row],[isis]])</f>
        <v>48</v>
      </c>
      <c r="W182" s="3" t="str">
        <f>IF(Table17[[#This Row],[isis]]="",IF(Table17[[#This Row],[isin]]="",Table17[[#This Row],[Column22]],Table17[[#This Row],[stnn]]),Table17[[#This Row],[stns]])</f>
        <v>LSN</v>
      </c>
      <c r="X182" s="5">
        <f>IF(Table17[[#This Row],[Column2222]]&lt;1,Table17[[#This Row],[Column23]],Table17[[#This Row],[Column23]]*Table17[[#This Row],[Column2222]])</f>
        <v>48</v>
      </c>
      <c r="Y182" s="3" t="str">
        <f>Table17[[#This Row],[Column24]]</f>
        <v>LSN</v>
      </c>
      <c r="Z182" s="5">
        <f>Table17[[#This Row],[HRG / CTN]]/Table17[[#This Row],[Column23]]</f>
        <v>22500</v>
      </c>
      <c r="AA182" s="42" t="str">
        <f>IF(INDEX(NOTA[DISC 1],Sheet1!A:A)=0,"",INDEX(NOTA[DISC 1],Sheet1!A:A))</f>
        <v/>
      </c>
      <c r="AB182" s="42" t="str">
        <f>IF(INDEX(NOTA[DISC 2],Sheet1!A:A)=0,"",INDEX(NOTA[DISC 2],Sheet1!A:A))</f>
        <v/>
      </c>
      <c r="AC18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2" s="43">
        <f>INDEX(NOTA[HARGA/ CTN_H],Sheet1!A:A)</f>
        <v>1080000</v>
      </c>
      <c r="AE182" s="43">
        <f>IF(Table17[[#This Row],[DISC 3]]="",Table17[[#This Row],[HRG / CTN]],Table17[[#This Row],[HRG / CTN]]-(Table17[[#This Row],[HRG / CTN]]*Table17[[#This Row],[DISC 3]]))</f>
        <v>1080000</v>
      </c>
      <c r="AF182" s="14">
        <f>IF(Table17[[#This Row],[Column2222]]&lt;1,Table17[[#This Row],[Column9]],Table17[[#This Row],[Column9]]*Table17[[#This Row],[Column2222]])</f>
        <v>1080000</v>
      </c>
      <c r="AG182" s="43" t="str">
        <f ca="1">IF(NOT(AL183=Table17[[#This Row],[Column6]]),SUMIF(Table17[Column6],Table17[[#This Row],[Column6]],Table17[Column7]),"")</f>
        <v/>
      </c>
      <c r="AH182" s="44">
        <f ca="1">INDEX(NOTA[TGL_H],Sheet1!A:A)</f>
        <v>45461</v>
      </c>
      <c r="AI182" s="44">
        <f ca="1">INDEX(NOTA[TGL.NOTA_H],Sheet1!A:A)</f>
        <v>45451</v>
      </c>
      <c r="AK182" t="str">
        <f>IF(INDEX(NOTA[KETERANGAN],A:A)="","",INDEX(NOTA[KETERANGAN],A:A))</f>
        <v/>
      </c>
      <c r="AL182" t="str">
        <f ca="1">INDEX(NOTA[NO.NOTA_H],Sheet1!A:A)</f>
        <v>SO2024060086054</v>
      </c>
      <c r="AM182">
        <f>INDEX(NOTA[KETERANGAN],Sheet1!A:A)</f>
        <v>0</v>
      </c>
      <c r="AN182" t="str">
        <f ca="1">INDEX(NOTA[SUPPLIER_H],Sheet1!A:A)</f>
        <v>BINTANG SAUDARA</v>
      </c>
      <c r="AO182" t="e">
        <f t="shared" ref="AO182:AO215" ca="1" si="7">MATCH(AL:AL,AR:AR,0)</f>
        <v>#N/A</v>
      </c>
    </row>
    <row r="183" spans="1:41">
      <c r="A183" s="3">
        <v>221</v>
      </c>
      <c r="C183">
        <f>INDEX(NOTA[//DB],Sheet1!A:A)</f>
        <v>3355</v>
      </c>
      <c r="D183">
        <f>MATCH(Table17[[#This Row],[//db]],[3]!Table2[\\],0)</f>
        <v>777</v>
      </c>
      <c r="E183" t="str">
        <f>INDEX([3]!db[NB NOTA],Table17[[#This Row],[//db]])</f>
        <v>GEL PEN KOALA GP-168-H HJ MUDA</v>
      </c>
      <c r="F183" t="str">
        <f>INDEX([3]!db[NB BM],Table17[[#This Row],[//db]])</f>
        <v>BP GEL KOALA GP-168-H HJ MUDA</v>
      </c>
      <c r="G183" t="str">
        <f>_xlfn.IFNA(INDEX([3]!Table2[NAMA],Table17[[#This Row],[dbconcat]]),"")</f>
        <v>BP GEL KOALA GP-168-H HJ MUDA</v>
      </c>
      <c r="H183" t="str">
        <f>INDEX([3]!Table2[KODE BARANG],Table17[[#This Row],[dbconcat]])</f>
        <v>BOL-KO405</v>
      </c>
      <c r="I183" t="str">
        <f>IF(Table17[[#This Row],[Column3]]="",UPPER(Table17[[#This Row],[Column1]]),Table17[[#This Row],[Column3]])</f>
        <v>BP GEL KOALA GP-168-H HJ MUDA</v>
      </c>
      <c r="J183">
        <f>INDEX(NOTA[C],Sheet1!A:A)</f>
        <v>0</v>
      </c>
      <c r="K183" t="str">
        <f>IF(OR(Table17[[#This Row],[Column5]]=0,Table17[[#This Row],[Column3]]=""),"",INDEX([3]!Table2[ISI2],Table17[[#This Row],[dbconcat]]))</f>
        <v/>
      </c>
      <c r="L183" t="str">
        <f>IF(Table17[[#This Row],[isis]]="","",INDEX([3]!Table2[SATUAN3],Table17[[#This Row],[dbconcat]]))</f>
        <v/>
      </c>
      <c r="M183" t="str">
        <f>IF(Table17[[#This Row],[Column5]]=0,"",IF(Table17[[#This Row],[Column3]]="",INDEX([3]!db[QTY B],Table17[[#This Row],[//db]]),""))</f>
        <v/>
      </c>
      <c r="N183" t="str">
        <f>IF(Table17[[#This Row],[isin]]="","",INDEX([3]!db[STN B],Table17[[#This Row],[//db]]))</f>
        <v/>
      </c>
      <c r="O183">
        <f>IF(AND(Table17[[#This Row],[isis]]="",Table17[[#This Row],[isin]]=""),INDEX(NOTA[QTY],Sheet1!A:A)/IF(Table17[[#This Row],[Column5]]=0,1,Table17[[#This Row],[Column5]]),"")</f>
        <v>48</v>
      </c>
      <c r="P183" t="str">
        <f>IF(Table17[[#This Row],[Column2]]="","",INDEX(NOTA[STN],Sheet1!A:A))</f>
        <v>LSN</v>
      </c>
      <c r="Q183" s="5" t="str">
        <f>INDEX([3]!db[QTY B],Table17[[#This Row],[//db]])</f>
        <v>144</v>
      </c>
      <c r="R183" t="str">
        <f>INDEX([3]!db[STN B],Table17[[#This Row],[//db]])</f>
        <v>LSN</v>
      </c>
      <c r="S183" s="40">
        <f>IF(Table17[[#This Row],[Column5]]=0,Table17[[#This Row],[Column23]]/Table17[[#This Row],[Column224]],"")</f>
        <v>0.33333333333333331</v>
      </c>
      <c r="T183" s="4">
        <f>IF(Table17[[#This Row],[Column222]]="",Table17[[#This Row],[Column5]],Table17[[#This Row],[Column222]])</f>
        <v>0.33333333333333331</v>
      </c>
      <c r="U183" s="4" t="str">
        <f>IF(Table17[[#This Row],[Column223]]=Table17[[#This Row],[Column24]],"",1)</f>
        <v/>
      </c>
      <c r="V183" s="5">
        <f>IF(Table17[[#This Row],[isis]]="",IF(Table17[[#This Row],[isin]]="",Table17[[#This Row],[Column2]],Table17[[#This Row],[isin]]),Table17[[#This Row],[isis]])</f>
        <v>48</v>
      </c>
      <c r="W183" s="3" t="str">
        <f>IF(Table17[[#This Row],[isis]]="",IF(Table17[[#This Row],[isin]]="",Table17[[#This Row],[Column22]],Table17[[#This Row],[stnn]]),Table17[[#This Row],[stns]])</f>
        <v>LSN</v>
      </c>
      <c r="X183" s="5">
        <f>IF(Table17[[#This Row],[Column2222]]&lt;1,Table17[[#This Row],[Column23]],Table17[[#This Row],[Column23]]*Table17[[#This Row],[Column2222]])</f>
        <v>48</v>
      </c>
      <c r="Y183" s="3" t="str">
        <f>Table17[[#This Row],[Column24]]</f>
        <v>LSN</v>
      </c>
      <c r="Z183" s="5">
        <f>Table17[[#This Row],[HRG / CTN]]/Table17[[#This Row],[Column23]]</f>
        <v>22500</v>
      </c>
      <c r="AA183" s="42" t="str">
        <f>IF(INDEX(NOTA[DISC 1],Sheet1!A:A)=0,"",INDEX(NOTA[DISC 1],Sheet1!A:A))</f>
        <v/>
      </c>
      <c r="AB183" s="42" t="str">
        <f>IF(INDEX(NOTA[DISC 2],Sheet1!A:A)=0,"",INDEX(NOTA[DISC 2],Sheet1!A:A))</f>
        <v/>
      </c>
      <c r="AC18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3" s="43">
        <f>INDEX(NOTA[HARGA/ CTN_H],Sheet1!A:A)</f>
        <v>1080000</v>
      </c>
      <c r="AE183" s="43">
        <f>IF(Table17[[#This Row],[DISC 3]]="",Table17[[#This Row],[HRG / CTN]],Table17[[#This Row],[HRG / CTN]]-(Table17[[#This Row],[HRG / CTN]]*Table17[[#This Row],[DISC 3]]))</f>
        <v>1080000</v>
      </c>
      <c r="AF183" s="14">
        <f>IF(Table17[[#This Row],[Column2222]]&lt;1,Table17[[#This Row],[Column9]],Table17[[#This Row],[Column9]]*Table17[[#This Row],[Column2222]])</f>
        <v>1080000</v>
      </c>
      <c r="AG183" s="43" t="str">
        <f ca="1">IF(NOT(AL184=Table17[[#This Row],[Column6]]),SUMIF(Table17[Column6],Table17[[#This Row],[Column6]],Table17[Column7]),"")</f>
        <v/>
      </c>
      <c r="AH183" s="44">
        <f ca="1">INDEX(NOTA[TGL_H],Sheet1!A:A)</f>
        <v>45461</v>
      </c>
      <c r="AI183" s="44">
        <f ca="1">INDEX(NOTA[TGL.NOTA_H],Sheet1!A:A)</f>
        <v>45451</v>
      </c>
      <c r="AK183" t="str">
        <f>IF(INDEX(NOTA[KETERANGAN],A:A)="","",INDEX(NOTA[KETERANGAN],A:A))</f>
        <v/>
      </c>
      <c r="AL183" t="str">
        <f ca="1">INDEX(NOTA[NO.NOTA_H],Sheet1!A:A)</f>
        <v>SO2024060086054</v>
      </c>
      <c r="AM183">
        <f>INDEX(NOTA[KETERANGAN],Sheet1!A:A)</f>
        <v>0</v>
      </c>
      <c r="AN183" t="str">
        <f ca="1">INDEX(NOTA[SUPPLIER_H],Sheet1!A:A)</f>
        <v>BINTANG SAUDARA</v>
      </c>
      <c r="AO183" t="e">
        <f t="shared" ca="1" si="7"/>
        <v>#N/A</v>
      </c>
    </row>
    <row r="184" spans="1:41">
      <c r="A184" s="3">
        <v>222</v>
      </c>
      <c r="C184">
        <f>INDEX(NOTA[//DB],Sheet1!A:A)</f>
        <v>3356</v>
      </c>
      <c r="D184">
        <f>MATCH(Table17[[#This Row],[//db]],[3]!Table2[\\],0)</f>
        <v>778</v>
      </c>
      <c r="E184" t="str">
        <f>INDEX([3]!db[NB NOTA],Table17[[#This Row],[//db]])</f>
        <v>GEL PEN KOALA GP-168-I COKLAT</v>
      </c>
      <c r="F184" t="str">
        <f>INDEX([3]!db[NB BM],Table17[[#This Row],[//db]])</f>
        <v>BP GEL KOALA GP-168-I COKLAT</v>
      </c>
      <c r="G184" t="str">
        <f>_xlfn.IFNA(INDEX([3]!Table2[NAMA],Table17[[#This Row],[dbconcat]]),"")</f>
        <v>BP GEL KOALA GP-168-I COKLAT</v>
      </c>
      <c r="H184" t="str">
        <f>INDEX([3]!Table2[KODE BARANG],Table17[[#This Row],[dbconcat]])</f>
        <v>BOL-KO406</v>
      </c>
      <c r="I184" t="str">
        <f>IF(Table17[[#This Row],[Column3]]="",UPPER(Table17[[#This Row],[Column1]]),Table17[[#This Row],[Column3]])</f>
        <v>BP GEL KOALA GP-168-I COKLAT</v>
      </c>
      <c r="J184">
        <f>INDEX(NOTA[C],Sheet1!A:A)</f>
        <v>0</v>
      </c>
      <c r="K184" t="str">
        <f>IF(OR(Table17[[#This Row],[Column5]]=0,Table17[[#This Row],[Column3]]=""),"",INDEX([3]!Table2[ISI2],Table17[[#This Row],[dbconcat]]))</f>
        <v/>
      </c>
      <c r="L184" t="str">
        <f>IF(Table17[[#This Row],[isis]]="","",INDEX([3]!Table2[SATUAN3],Table17[[#This Row],[dbconcat]]))</f>
        <v/>
      </c>
      <c r="M184" t="str">
        <f>IF(Table17[[#This Row],[Column5]]=0,"",IF(Table17[[#This Row],[Column3]]="",INDEX([3]!db[QTY B],Table17[[#This Row],[//db]]),""))</f>
        <v/>
      </c>
      <c r="N184" t="str">
        <f>IF(Table17[[#This Row],[isin]]="","",INDEX([3]!db[STN B],Table17[[#This Row],[//db]]))</f>
        <v/>
      </c>
      <c r="O184">
        <f>IF(AND(Table17[[#This Row],[isis]]="",Table17[[#This Row],[isin]]=""),INDEX(NOTA[QTY],Sheet1!A:A)/IF(Table17[[#This Row],[Column5]]=0,1,Table17[[#This Row],[Column5]]),"")</f>
        <v>48</v>
      </c>
      <c r="P184" t="str">
        <f>IF(Table17[[#This Row],[Column2]]="","",INDEX(NOTA[STN],Sheet1!A:A))</f>
        <v>LSN</v>
      </c>
      <c r="Q184" s="5" t="str">
        <f>INDEX([3]!db[QTY B],Table17[[#This Row],[//db]])</f>
        <v>144</v>
      </c>
      <c r="R184" t="str">
        <f>INDEX([3]!db[STN B],Table17[[#This Row],[//db]])</f>
        <v>LSN</v>
      </c>
      <c r="S184" s="40">
        <f>IF(Table17[[#This Row],[Column5]]=0,Table17[[#This Row],[Column23]]/Table17[[#This Row],[Column224]],"")</f>
        <v>0.33333333333333331</v>
      </c>
      <c r="T184" s="4">
        <f>IF(Table17[[#This Row],[Column222]]="",Table17[[#This Row],[Column5]],Table17[[#This Row],[Column222]])</f>
        <v>0.33333333333333331</v>
      </c>
      <c r="U184" s="4" t="str">
        <f>IF(Table17[[#This Row],[Column223]]=Table17[[#This Row],[Column24]],"",1)</f>
        <v/>
      </c>
      <c r="V184" s="5">
        <f>IF(Table17[[#This Row],[isis]]="",IF(Table17[[#This Row],[isin]]="",Table17[[#This Row],[Column2]],Table17[[#This Row],[isin]]),Table17[[#This Row],[isis]])</f>
        <v>48</v>
      </c>
      <c r="W184" s="3" t="str">
        <f>IF(Table17[[#This Row],[isis]]="",IF(Table17[[#This Row],[isin]]="",Table17[[#This Row],[Column22]],Table17[[#This Row],[stnn]]),Table17[[#This Row],[stns]])</f>
        <v>LSN</v>
      </c>
      <c r="X184" s="5">
        <f>IF(Table17[[#This Row],[Column2222]]&lt;1,Table17[[#This Row],[Column23]],Table17[[#This Row],[Column23]]*Table17[[#This Row],[Column2222]])</f>
        <v>48</v>
      </c>
      <c r="Y184" s="3" t="str">
        <f>Table17[[#This Row],[Column24]]</f>
        <v>LSN</v>
      </c>
      <c r="Z184" s="5">
        <f>Table17[[#This Row],[HRG / CTN]]/Table17[[#This Row],[Column23]]</f>
        <v>22500</v>
      </c>
      <c r="AA184" s="42" t="str">
        <f>IF(INDEX(NOTA[DISC 1],Sheet1!A:A)=0,"",INDEX(NOTA[DISC 1],Sheet1!A:A))</f>
        <v/>
      </c>
      <c r="AB184" s="42" t="str">
        <f>IF(INDEX(NOTA[DISC 2],Sheet1!A:A)=0,"",INDEX(NOTA[DISC 2],Sheet1!A:A))</f>
        <v/>
      </c>
      <c r="AC18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4" s="43">
        <f>INDEX(NOTA[HARGA/ CTN_H],Sheet1!A:A)</f>
        <v>1080000</v>
      </c>
      <c r="AE184" s="43">
        <f>IF(Table17[[#This Row],[DISC 3]]="",Table17[[#This Row],[HRG / CTN]],Table17[[#This Row],[HRG / CTN]]-(Table17[[#This Row],[HRG / CTN]]*Table17[[#This Row],[DISC 3]]))</f>
        <v>1080000</v>
      </c>
      <c r="AF184" s="14">
        <f>IF(Table17[[#This Row],[Column2222]]&lt;1,Table17[[#This Row],[Column9]],Table17[[#This Row],[Column9]]*Table17[[#This Row],[Column2222]])</f>
        <v>1080000</v>
      </c>
      <c r="AG184" s="43" t="str">
        <f ca="1">IF(NOT(AL185=Table17[[#This Row],[Column6]]),SUMIF(Table17[Column6],Table17[[#This Row],[Column6]],Table17[Column7]),"")</f>
        <v/>
      </c>
      <c r="AH184" s="44">
        <f ca="1">INDEX(NOTA[TGL_H],Sheet1!A:A)</f>
        <v>45461</v>
      </c>
      <c r="AI184" s="44">
        <f ca="1">INDEX(NOTA[TGL.NOTA_H],Sheet1!A:A)</f>
        <v>45451</v>
      </c>
      <c r="AK184" t="str">
        <f>IF(INDEX(NOTA[KETERANGAN],A:A)="","",INDEX(NOTA[KETERANGAN],A:A))</f>
        <v/>
      </c>
      <c r="AL184" t="str">
        <f ca="1">INDEX(NOTA[NO.NOTA_H],Sheet1!A:A)</f>
        <v>SO2024060086054</v>
      </c>
      <c r="AM184">
        <f>INDEX(NOTA[KETERANGAN],Sheet1!A:A)</f>
        <v>0</v>
      </c>
      <c r="AN184" t="str">
        <f ca="1">INDEX(NOTA[SUPPLIER_H],Sheet1!A:A)</f>
        <v>BINTANG SAUDARA</v>
      </c>
      <c r="AO184" t="e">
        <f t="shared" ca="1" si="7"/>
        <v>#N/A</v>
      </c>
    </row>
    <row r="185" spans="1:41">
      <c r="A185" s="3">
        <v>223</v>
      </c>
      <c r="C185">
        <f>INDEX(NOTA[//DB],Sheet1!A:A)</f>
        <v>3357</v>
      </c>
      <c r="D185">
        <f>MATCH(Table17[[#This Row],[//db]],[3]!Table2[\\],0)</f>
        <v>779</v>
      </c>
      <c r="E185" t="str">
        <f>INDEX([3]!db[NB NOTA],Table17[[#This Row],[//db]])</f>
        <v>GEL PEN KOALA GP-168-J KNG</v>
      </c>
      <c r="F185" t="str">
        <f>INDEX([3]!db[NB BM],Table17[[#This Row],[//db]])</f>
        <v>BP GEL KOALA GP-168-J KNG</v>
      </c>
      <c r="G185" t="str">
        <f>_xlfn.IFNA(INDEX([3]!Table2[NAMA],Table17[[#This Row],[dbconcat]]),"")</f>
        <v>BP GEL KOALA GP-168-J KNG</v>
      </c>
      <c r="H185" t="str">
        <f>INDEX([3]!Table2[KODE BARANG],Table17[[#This Row],[dbconcat]])</f>
        <v>BOL-KO407</v>
      </c>
      <c r="I185" t="str">
        <f>IF(Table17[[#This Row],[Column3]]="",UPPER(Table17[[#This Row],[Column1]]),Table17[[#This Row],[Column3]])</f>
        <v>BP GEL KOALA GP-168-J KNG</v>
      </c>
      <c r="J185">
        <f>INDEX(NOTA[C],Sheet1!A:A)</f>
        <v>0</v>
      </c>
      <c r="K185" t="str">
        <f>IF(OR(Table17[[#This Row],[Column5]]=0,Table17[[#This Row],[Column3]]=""),"",INDEX([3]!Table2[ISI2],Table17[[#This Row],[dbconcat]]))</f>
        <v/>
      </c>
      <c r="L185" t="str">
        <f>IF(Table17[[#This Row],[isis]]="","",INDEX([3]!Table2[SATUAN3],Table17[[#This Row],[dbconcat]]))</f>
        <v/>
      </c>
      <c r="M185" t="str">
        <f>IF(Table17[[#This Row],[Column5]]=0,"",IF(Table17[[#This Row],[Column3]]="",INDEX([3]!db[QTY B],Table17[[#This Row],[//db]]),""))</f>
        <v/>
      </c>
      <c r="N185" t="str">
        <f>IF(Table17[[#This Row],[isin]]="","",INDEX([3]!db[STN B],Table17[[#This Row],[//db]]))</f>
        <v/>
      </c>
      <c r="O185">
        <f>IF(AND(Table17[[#This Row],[isis]]="",Table17[[#This Row],[isin]]=""),INDEX(NOTA[QTY],Sheet1!A:A)/IF(Table17[[#This Row],[Column5]]=0,1,Table17[[#This Row],[Column5]]),"")</f>
        <v>48</v>
      </c>
      <c r="P185" t="str">
        <f>IF(Table17[[#This Row],[Column2]]="","",INDEX(NOTA[STN],Sheet1!A:A))</f>
        <v>LSN</v>
      </c>
      <c r="Q185" s="5" t="str">
        <f>INDEX([3]!db[QTY B],Table17[[#This Row],[//db]])</f>
        <v>144</v>
      </c>
      <c r="R185" t="str">
        <f>INDEX([3]!db[STN B],Table17[[#This Row],[//db]])</f>
        <v>LSN</v>
      </c>
      <c r="S185" s="40">
        <f>IF(Table17[[#This Row],[Column5]]=0,Table17[[#This Row],[Column23]]/Table17[[#This Row],[Column224]],"")</f>
        <v>0.33333333333333331</v>
      </c>
      <c r="T185" s="4">
        <f>IF(Table17[[#This Row],[Column222]]="",Table17[[#This Row],[Column5]],Table17[[#This Row],[Column222]])</f>
        <v>0.33333333333333331</v>
      </c>
      <c r="U185" s="4" t="str">
        <f>IF(Table17[[#This Row],[Column223]]=Table17[[#This Row],[Column24]],"",1)</f>
        <v/>
      </c>
      <c r="V185" s="5">
        <f>IF(Table17[[#This Row],[isis]]="",IF(Table17[[#This Row],[isin]]="",Table17[[#This Row],[Column2]],Table17[[#This Row],[isin]]),Table17[[#This Row],[isis]])</f>
        <v>48</v>
      </c>
      <c r="W185" s="3" t="str">
        <f>IF(Table17[[#This Row],[isis]]="",IF(Table17[[#This Row],[isin]]="",Table17[[#This Row],[Column22]],Table17[[#This Row],[stnn]]),Table17[[#This Row],[stns]])</f>
        <v>LSN</v>
      </c>
      <c r="X185" s="5">
        <f>IF(Table17[[#This Row],[Column2222]]&lt;1,Table17[[#This Row],[Column23]],Table17[[#This Row],[Column23]]*Table17[[#This Row],[Column2222]])</f>
        <v>48</v>
      </c>
      <c r="Y185" s="3" t="str">
        <f>Table17[[#This Row],[Column24]]</f>
        <v>LSN</v>
      </c>
      <c r="Z185" s="5">
        <f>Table17[[#This Row],[HRG / CTN]]/Table17[[#This Row],[Column23]]</f>
        <v>22500</v>
      </c>
      <c r="AA185" s="42" t="str">
        <f>IF(INDEX(NOTA[DISC 1],Sheet1!A:A)=0,"",INDEX(NOTA[DISC 1],Sheet1!A:A))</f>
        <v/>
      </c>
      <c r="AB185" s="42" t="str">
        <f>IF(INDEX(NOTA[DISC 2],Sheet1!A:A)=0,"",INDEX(NOTA[DISC 2],Sheet1!A:A))</f>
        <v/>
      </c>
      <c r="AC18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5" s="43">
        <f>INDEX(NOTA[HARGA/ CTN_H],Sheet1!A:A)</f>
        <v>1080000</v>
      </c>
      <c r="AE185" s="43">
        <f>IF(Table17[[#This Row],[DISC 3]]="",Table17[[#This Row],[HRG / CTN]],Table17[[#This Row],[HRG / CTN]]-(Table17[[#This Row],[HRG / CTN]]*Table17[[#This Row],[DISC 3]]))</f>
        <v>1080000</v>
      </c>
      <c r="AF185" s="14">
        <f>IF(Table17[[#This Row],[Column2222]]&lt;1,Table17[[#This Row],[Column9]],Table17[[#This Row],[Column9]]*Table17[[#This Row],[Column2222]])</f>
        <v>1080000</v>
      </c>
      <c r="AG185" s="43">
        <f ca="1">IF(NOT(AL186=Table17[[#This Row],[Column6]]),SUMIF(Table17[Column6],Table17[[#This Row],[Column6]],Table17[Column7]),"")</f>
        <v>10800000</v>
      </c>
      <c r="AH185" s="44">
        <f ca="1">INDEX(NOTA[TGL_H],Sheet1!A:A)</f>
        <v>45461</v>
      </c>
      <c r="AI185" s="44">
        <f ca="1">INDEX(NOTA[TGL.NOTA_H],Sheet1!A:A)</f>
        <v>45451</v>
      </c>
      <c r="AK185" t="str">
        <f>IF(INDEX(NOTA[KETERANGAN],A:A)="","",INDEX(NOTA[KETERANGAN],A:A))</f>
        <v/>
      </c>
      <c r="AL185" t="str">
        <f ca="1">INDEX(NOTA[NO.NOTA_H],Sheet1!A:A)</f>
        <v>SO2024060086054</v>
      </c>
      <c r="AM185">
        <f>INDEX(NOTA[KETERANGAN],Sheet1!A:A)</f>
        <v>0</v>
      </c>
      <c r="AN185" t="str">
        <f ca="1">INDEX(NOTA[SUPPLIER_H],Sheet1!A:A)</f>
        <v>BINTANG SAUDARA</v>
      </c>
      <c r="AO185" t="e">
        <f t="shared" ca="1" si="7"/>
        <v>#N/A</v>
      </c>
    </row>
    <row r="186" spans="1:41">
      <c r="A186" s="3">
        <v>225</v>
      </c>
      <c r="C186">
        <f>INDEX(NOTA[//DB],Sheet1!A:A)</f>
        <v>654</v>
      </c>
      <c r="D186">
        <f>MATCH(Table17[[#This Row],[//db]],[3]!Table2[\\],0)</f>
        <v>3702</v>
      </c>
      <c r="E186" t="str">
        <f>INDEX([3]!db[NB NOTA],Table17[[#This Row],[//db]])</f>
        <v>CELENGAN (S)</v>
      </c>
      <c r="F186" t="str">
        <f>INDEX([3]!db[NB BM],Table17[[#This Row],[//db]])</f>
        <v>Celengan (S)</v>
      </c>
      <c r="G186" t="str">
        <f>_xlfn.IFNA(INDEX([3]!Table2[NAMA],Table17[[#This Row],[dbconcat]]),"")</f>
        <v>CELENGAN S</v>
      </c>
      <c r="H186">
        <f>INDEX([3]!Table2[KODE BARANG],Table17[[#This Row],[dbconcat]])</f>
        <v>0</v>
      </c>
      <c r="I186" t="str">
        <f>IF(Table17[[#This Row],[Column3]]="",UPPER(Table17[[#This Row],[Column1]]),Table17[[#This Row],[Column3]])</f>
        <v>CELENGAN S</v>
      </c>
      <c r="J186">
        <f>INDEX(NOTA[C],Sheet1!A:A)</f>
        <v>1</v>
      </c>
      <c r="K186">
        <f>IF(OR(Table17[[#This Row],[Column5]]=0,Table17[[#This Row],[Column3]]=""),"",INDEX([3]!Table2[ISI2],Table17[[#This Row],[dbconcat]]))</f>
        <v>16</v>
      </c>
      <c r="L186" t="str">
        <f>IF(Table17[[#This Row],[isis]]="","",INDEX([3]!Table2[SATUAN3],Table17[[#This Row],[dbconcat]]))</f>
        <v>LSN</v>
      </c>
      <c r="M186" t="str">
        <f>IF(Table17[[#This Row],[Column5]]=0,"",IF(Table17[[#This Row],[Column3]]="",INDEX([3]!db[QTY B],Table17[[#This Row],[//db]]),""))</f>
        <v/>
      </c>
      <c r="N186" t="str">
        <f>IF(Table17[[#This Row],[isin]]="","",INDEX([3]!db[STN B],Table17[[#This Row],[//db]]))</f>
        <v/>
      </c>
      <c r="O186" t="str">
        <f>IF(AND(Table17[[#This Row],[isis]]="",Table17[[#This Row],[isin]]=""),INDEX(NOTA[QTY],Sheet1!A:A)/IF(Table17[[#This Row],[Column5]]=0,1,Table17[[#This Row],[Column5]]),"")</f>
        <v/>
      </c>
      <c r="P186" t="str">
        <f>IF(Table17[[#This Row],[Column2]]="","",INDEX(NOTA[STN],Sheet1!A:A))</f>
        <v/>
      </c>
      <c r="Q186" s="5" t="str">
        <f>INDEX([3]!db[QTY B],Table17[[#This Row],[//db]])</f>
        <v>16</v>
      </c>
      <c r="R186" t="str">
        <f>INDEX([3]!db[STN B],Table17[[#This Row],[//db]])</f>
        <v>LSN</v>
      </c>
      <c r="S186" s="40" t="str">
        <f>IF(Table17[[#This Row],[Column5]]=0,Table17[[#This Row],[Column23]]/Table17[[#This Row],[Column224]],"")</f>
        <v/>
      </c>
      <c r="T186" s="4">
        <f>IF(Table17[[#This Row],[Column222]]="",Table17[[#This Row],[Column5]],Table17[[#This Row],[Column222]])</f>
        <v>1</v>
      </c>
      <c r="U186" s="4" t="str">
        <f>IF(Table17[[#This Row],[Column223]]=Table17[[#This Row],[Column24]],"",1)</f>
        <v/>
      </c>
      <c r="V186" s="5">
        <f>IF(Table17[[#This Row],[isis]]="",IF(Table17[[#This Row],[isin]]="",Table17[[#This Row],[Column2]],Table17[[#This Row],[isin]]),Table17[[#This Row],[isis]])</f>
        <v>16</v>
      </c>
      <c r="W186" s="3" t="str">
        <f>IF(Table17[[#This Row],[isis]]="",IF(Table17[[#This Row],[isin]]="",Table17[[#This Row],[Column22]],Table17[[#This Row],[stnn]]),Table17[[#This Row],[stns]])</f>
        <v>LSN</v>
      </c>
      <c r="X186" s="5">
        <f>IF(Table17[[#This Row],[Column2222]]&lt;1,Table17[[#This Row],[Column23]],Table17[[#This Row],[Column23]]*Table17[[#This Row],[Column2222]])</f>
        <v>16</v>
      </c>
      <c r="Y186" s="3" t="str">
        <f>Table17[[#This Row],[Column24]]</f>
        <v>LSN</v>
      </c>
      <c r="Z186" s="5">
        <f>Table17[[#This Row],[HRG / CTN]]/Table17[[#This Row],[Column23]]</f>
        <v>47000</v>
      </c>
      <c r="AA186" s="42" t="str">
        <f>IF(INDEX(NOTA[DISC 1],Sheet1!A:A)=0,"",INDEX(NOTA[DISC 1],Sheet1!A:A))</f>
        <v/>
      </c>
      <c r="AB186" s="42" t="str">
        <f>IF(INDEX(NOTA[DISC 2],Sheet1!A:A)=0,"",INDEX(NOTA[DISC 2],Sheet1!A:A))</f>
        <v/>
      </c>
      <c r="AC18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6" s="43">
        <f>INDEX(NOTA[HARGA/ CTN_H],Sheet1!A:A)</f>
        <v>752000</v>
      </c>
      <c r="AE186" s="43">
        <f>IF(Table17[[#This Row],[DISC 3]]="",Table17[[#This Row],[HRG / CTN]],Table17[[#This Row],[HRG / CTN]]-(Table17[[#This Row],[HRG / CTN]]*Table17[[#This Row],[DISC 3]]))</f>
        <v>752000</v>
      </c>
      <c r="AF186" s="14">
        <f>IF(Table17[[#This Row],[Column2222]]&lt;1,Table17[[#This Row],[Column9]],Table17[[#This Row],[Column9]]*Table17[[#This Row],[Column2222]])</f>
        <v>752000</v>
      </c>
      <c r="AG186" s="43" t="str">
        <f ca="1">IF(NOT(AL187=Table17[[#This Row],[Column6]]),SUMIF(Table17[Column6],Table17[[#This Row],[Column6]],Table17[Column7]),"")</f>
        <v/>
      </c>
      <c r="AH186" s="44">
        <f ca="1">INDEX(NOTA[TGL_H],Sheet1!A:A)</f>
        <v>45461</v>
      </c>
      <c r="AI186" s="44">
        <f ca="1">INDEX(NOTA[TGL.NOTA_H],Sheet1!A:A)</f>
        <v>45456</v>
      </c>
      <c r="AK186" t="str">
        <f>IF(INDEX(NOTA[KETERANGAN],A:A)="","",INDEX(NOTA[KETERANGAN],A:A))</f>
        <v/>
      </c>
      <c r="AL186">
        <f ca="1">INDEX(NOTA[NO.NOTA_H],Sheet1!A:A)</f>
        <v>0</v>
      </c>
      <c r="AM186">
        <f>INDEX(NOTA[KETERANGAN],Sheet1!A:A)</f>
        <v>0</v>
      </c>
      <c r="AN186" t="str">
        <f ca="1">INDEX(NOTA[SUPPLIER_H],Sheet1!A:A)</f>
        <v>PMJP</v>
      </c>
      <c r="AO186" t="e">
        <f t="shared" ca="1" si="7"/>
        <v>#N/A</v>
      </c>
    </row>
    <row r="187" spans="1:41">
      <c r="A187" s="3">
        <v>226</v>
      </c>
      <c r="C187">
        <f>INDEX(NOTA[//DB],Sheet1!A:A)</f>
        <v>653</v>
      </c>
      <c r="D187">
        <f>MATCH(Table17[[#This Row],[//db]],[3]!Table2[\\],0)</f>
        <v>3701</v>
      </c>
      <c r="E187" t="str">
        <f>INDEX([3]!db[NB NOTA],Table17[[#This Row],[//db]])</f>
        <v>CELENGAN (M)</v>
      </c>
      <c r="F187" t="str">
        <f>INDEX([3]!db[NB BM],Table17[[#This Row],[//db]])</f>
        <v>Celengan M</v>
      </c>
      <c r="G187" t="str">
        <f>_xlfn.IFNA(INDEX([3]!Table2[NAMA],Table17[[#This Row],[dbconcat]]),"")</f>
        <v>CELENGAN M</v>
      </c>
      <c r="H187">
        <f>INDEX([3]!Table2[KODE BARANG],Table17[[#This Row],[dbconcat]])</f>
        <v>0</v>
      </c>
      <c r="I187" t="str">
        <f>IF(Table17[[#This Row],[Column3]]="",UPPER(Table17[[#This Row],[Column1]]),Table17[[#This Row],[Column3]])</f>
        <v>CELENGAN M</v>
      </c>
      <c r="J187">
        <f>INDEX(NOTA[C],Sheet1!A:A)</f>
        <v>1</v>
      </c>
      <c r="K187">
        <f>IF(OR(Table17[[#This Row],[Column5]]=0,Table17[[#This Row],[Column3]]=""),"",INDEX([3]!Table2[ISI2],Table17[[#This Row],[dbconcat]]))</f>
        <v>16</v>
      </c>
      <c r="L187" t="str">
        <f>IF(Table17[[#This Row],[isis]]="","",INDEX([3]!Table2[SATUAN3],Table17[[#This Row],[dbconcat]]))</f>
        <v>LSN</v>
      </c>
      <c r="M187" t="str">
        <f>IF(Table17[[#This Row],[Column5]]=0,"",IF(Table17[[#This Row],[Column3]]="",INDEX([3]!db[QTY B],Table17[[#This Row],[//db]]),""))</f>
        <v/>
      </c>
      <c r="N187" t="str">
        <f>IF(Table17[[#This Row],[isin]]="","",INDEX([3]!db[STN B],Table17[[#This Row],[//db]]))</f>
        <v/>
      </c>
      <c r="O187" t="str">
        <f>IF(AND(Table17[[#This Row],[isis]]="",Table17[[#This Row],[isin]]=""),INDEX(NOTA[QTY],Sheet1!A:A)/IF(Table17[[#This Row],[Column5]]=0,1,Table17[[#This Row],[Column5]]),"")</f>
        <v/>
      </c>
      <c r="P187" t="str">
        <f>IF(Table17[[#This Row],[Column2]]="","",INDEX(NOTA[STN],Sheet1!A:A))</f>
        <v/>
      </c>
      <c r="Q187" s="5" t="str">
        <f>INDEX([3]!db[QTY B],Table17[[#This Row],[//db]])</f>
        <v>10</v>
      </c>
      <c r="R187" t="str">
        <f>INDEX([3]!db[STN B],Table17[[#This Row],[//db]])</f>
        <v>LSN</v>
      </c>
      <c r="S187" s="40" t="str">
        <f>IF(Table17[[#This Row],[Column5]]=0,Table17[[#This Row],[Column23]]/Table17[[#This Row],[Column224]],"")</f>
        <v/>
      </c>
      <c r="T187" s="4">
        <f>IF(Table17[[#This Row],[Column222]]="",Table17[[#This Row],[Column5]],Table17[[#This Row],[Column222]])</f>
        <v>1</v>
      </c>
      <c r="U187" s="4" t="str">
        <f>IF(Table17[[#This Row],[Column223]]=Table17[[#This Row],[Column24]],"",1)</f>
        <v/>
      </c>
      <c r="V187" s="5">
        <f>IF(Table17[[#This Row],[isis]]="",IF(Table17[[#This Row],[isin]]="",Table17[[#This Row],[Column2]],Table17[[#This Row],[isin]]),Table17[[#This Row],[isis]])</f>
        <v>16</v>
      </c>
      <c r="W187" s="3" t="str">
        <f>IF(Table17[[#This Row],[isis]]="",IF(Table17[[#This Row],[isin]]="",Table17[[#This Row],[Column22]],Table17[[#This Row],[stnn]]),Table17[[#This Row],[stns]])</f>
        <v>LSN</v>
      </c>
      <c r="X187" s="5">
        <f>IF(Table17[[#This Row],[Column2222]]&lt;1,Table17[[#This Row],[Column23]],Table17[[#This Row],[Column23]]*Table17[[#This Row],[Column2222]])</f>
        <v>16</v>
      </c>
      <c r="Y187" s="3" t="str">
        <f>Table17[[#This Row],[Column24]]</f>
        <v>LSN</v>
      </c>
      <c r="Z187" s="5">
        <f>Table17[[#This Row],[HRG / CTN]]/Table17[[#This Row],[Column23]]</f>
        <v>56000</v>
      </c>
      <c r="AA187" s="42" t="str">
        <f>IF(INDEX(NOTA[DISC 1],Sheet1!A:A)=0,"",INDEX(NOTA[DISC 1],Sheet1!A:A))</f>
        <v/>
      </c>
      <c r="AB187" s="42" t="str">
        <f>IF(INDEX(NOTA[DISC 2],Sheet1!A:A)=0,"",INDEX(NOTA[DISC 2],Sheet1!A:A))</f>
        <v/>
      </c>
      <c r="AC18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7" s="43">
        <f>INDEX(NOTA[HARGA/ CTN_H],Sheet1!A:A)</f>
        <v>896000</v>
      </c>
      <c r="AE187" s="43">
        <f>IF(Table17[[#This Row],[DISC 3]]="",Table17[[#This Row],[HRG / CTN]],Table17[[#This Row],[HRG / CTN]]-(Table17[[#This Row],[HRG / CTN]]*Table17[[#This Row],[DISC 3]]))</f>
        <v>896000</v>
      </c>
      <c r="AF187" s="14">
        <f>IF(Table17[[#This Row],[Column2222]]&lt;1,Table17[[#This Row],[Column9]],Table17[[#This Row],[Column9]]*Table17[[#This Row],[Column2222]])</f>
        <v>896000</v>
      </c>
      <c r="AG187" s="43" t="str">
        <f ca="1">IF(NOT(AL188=Table17[[#This Row],[Column6]]),SUMIF(Table17[Column6],Table17[[#This Row],[Column6]],Table17[Column7]),"")</f>
        <v/>
      </c>
      <c r="AH187" s="44">
        <f ca="1">INDEX(NOTA[TGL_H],Sheet1!A:A)</f>
        <v>45461</v>
      </c>
      <c r="AI187" s="44">
        <f ca="1">INDEX(NOTA[TGL.NOTA_H],Sheet1!A:A)</f>
        <v>45456</v>
      </c>
      <c r="AK187" t="str">
        <f>IF(INDEX(NOTA[KETERANGAN],A:A)="","",INDEX(NOTA[KETERANGAN],A:A))</f>
        <v/>
      </c>
      <c r="AL187">
        <f ca="1">INDEX(NOTA[NO.NOTA_H],Sheet1!A:A)</f>
        <v>0</v>
      </c>
      <c r="AM187">
        <f>INDEX(NOTA[KETERANGAN],Sheet1!A:A)</f>
        <v>0</v>
      </c>
      <c r="AN187" t="str">
        <f ca="1">INDEX(NOTA[SUPPLIER_H],Sheet1!A:A)</f>
        <v>PMJP</v>
      </c>
      <c r="AO187" t="e">
        <f t="shared" ca="1" si="7"/>
        <v>#N/A</v>
      </c>
    </row>
    <row r="188" spans="1:41">
      <c r="A188" s="3">
        <v>227</v>
      </c>
      <c r="C188">
        <f>INDEX(NOTA[//DB],Sheet1!A:A)</f>
        <v>652</v>
      </c>
      <c r="D188">
        <f>MATCH(Table17[[#This Row],[//db]],[3]!Table2[\\],0)</f>
        <v>3700</v>
      </c>
      <c r="E188" t="str">
        <f>INDEX([3]!db[NB NOTA],Table17[[#This Row],[//db]])</f>
        <v>CELENGAN (L)</v>
      </c>
      <c r="F188" t="str">
        <f>INDEX([3]!db[NB BM],Table17[[#This Row],[//db]])</f>
        <v>Celengan (L)</v>
      </c>
      <c r="G188" t="str">
        <f>_xlfn.IFNA(INDEX([3]!Table2[NAMA],Table17[[#This Row],[dbconcat]]),"")</f>
        <v>CELENGAN L</v>
      </c>
      <c r="H188">
        <f>INDEX([3]!Table2[KODE BARANG],Table17[[#This Row],[dbconcat]])</f>
        <v>0</v>
      </c>
      <c r="I188" t="str">
        <f>IF(Table17[[#This Row],[Column3]]="",UPPER(Table17[[#This Row],[Column1]]),Table17[[#This Row],[Column3]])</f>
        <v>CELENGAN L</v>
      </c>
      <c r="J188">
        <f>INDEX(NOTA[C],Sheet1!A:A)</f>
        <v>1</v>
      </c>
      <c r="K188">
        <f>IF(OR(Table17[[#This Row],[Column5]]=0,Table17[[#This Row],[Column3]]=""),"",INDEX([3]!Table2[ISI2],Table17[[#This Row],[dbconcat]]))</f>
        <v>10</v>
      </c>
      <c r="L188" t="str">
        <f>IF(Table17[[#This Row],[isis]]="","",INDEX([3]!Table2[SATUAN3],Table17[[#This Row],[dbconcat]]))</f>
        <v>LSN</v>
      </c>
      <c r="M188" t="str">
        <f>IF(Table17[[#This Row],[Column5]]=0,"",IF(Table17[[#This Row],[Column3]]="",INDEX([3]!db[QTY B],Table17[[#This Row],[//db]]),""))</f>
        <v/>
      </c>
      <c r="N188" t="str">
        <f>IF(Table17[[#This Row],[isin]]="","",INDEX([3]!db[STN B],Table17[[#This Row],[//db]]))</f>
        <v/>
      </c>
      <c r="O188" t="str">
        <f>IF(AND(Table17[[#This Row],[isis]]="",Table17[[#This Row],[isin]]=""),INDEX(NOTA[QTY],Sheet1!A:A)/IF(Table17[[#This Row],[Column5]]=0,1,Table17[[#This Row],[Column5]]),"")</f>
        <v/>
      </c>
      <c r="P188" t="str">
        <f>IF(Table17[[#This Row],[Column2]]="","",INDEX(NOTA[STN],Sheet1!A:A))</f>
        <v/>
      </c>
      <c r="Q188" s="5" t="str">
        <f>INDEX([3]!db[QTY B],Table17[[#This Row],[//db]])</f>
        <v>10</v>
      </c>
      <c r="R188" t="str">
        <f>INDEX([3]!db[STN B],Table17[[#This Row],[//db]])</f>
        <v>LSN</v>
      </c>
      <c r="S188" s="40" t="str">
        <f>IF(Table17[[#This Row],[Column5]]=0,Table17[[#This Row],[Column23]]/Table17[[#This Row],[Column224]],"")</f>
        <v/>
      </c>
      <c r="T188" s="4">
        <f>IF(Table17[[#This Row],[Column222]]="",Table17[[#This Row],[Column5]],Table17[[#This Row],[Column222]])</f>
        <v>1</v>
      </c>
      <c r="U188" s="4" t="str">
        <f>IF(Table17[[#This Row],[Column223]]=Table17[[#This Row],[Column24]],"",1)</f>
        <v/>
      </c>
      <c r="V188" s="5">
        <f>IF(Table17[[#This Row],[isis]]="",IF(Table17[[#This Row],[isin]]="",Table17[[#This Row],[Column2]],Table17[[#This Row],[isin]]),Table17[[#This Row],[isis]])</f>
        <v>10</v>
      </c>
      <c r="W188" s="3" t="str">
        <f>IF(Table17[[#This Row],[isis]]="",IF(Table17[[#This Row],[isin]]="",Table17[[#This Row],[Column22]],Table17[[#This Row],[stnn]]),Table17[[#This Row],[stns]])</f>
        <v>LSN</v>
      </c>
      <c r="X188" s="5">
        <f>IF(Table17[[#This Row],[Column2222]]&lt;1,Table17[[#This Row],[Column23]],Table17[[#This Row],[Column23]]*Table17[[#This Row],[Column2222]])</f>
        <v>10</v>
      </c>
      <c r="Y188" s="3" t="str">
        <f>Table17[[#This Row],[Column24]]</f>
        <v>LSN</v>
      </c>
      <c r="Z188" s="5">
        <f>Table17[[#This Row],[HRG / CTN]]/Table17[[#This Row],[Column23]]</f>
        <v>70000</v>
      </c>
      <c r="AA188" s="42" t="str">
        <f>IF(INDEX(NOTA[DISC 1],Sheet1!A:A)=0,"",INDEX(NOTA[DISC 1],Sheet1!A:A))</f>
        <v/>
      </c>
      <c r="AB188" s="42" t="str">
        <f>IF(INDEX(NOTA[DISC 2],Sheet1!A:A)=0,"",INDEX(NOTA[DISC 2],Sheet1!A:A))</f>
        <v/>
      </c>
      <c r="AC18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8" s="43">
        <f>INDEX(NOTA[HARGA/ CTN_H],Sheet1!A:A)</f>
        <v>700000</v>
      </c>
      <c r="AE188" s="43">
        <f>IF(Table17[[#This Row],[DISC 3]]="",Table17[[#This Row],[HRG / CTN]],Table17[[#This Row],[HRG / CTN]]-(Table17[[#This Row],[HRG / CTN]]*Table17[[#This Row],[DISC 3]]))</f>
        <v>700000</v>
      </c>
      <c r="AF188" s="14">
        <f>IF(Table17[[#This Row],[Column2222]]&lt;1,Table17[[#This Row],[Column9]],Table17[[#This Row],[Column9]]*Table17[[#This Row],[Column2222]])</f>
        <v>700000</v>
      </c>
      <c r="AG188" s="43" t="str">
        <f ca="1">IF(NOT(AL189=Table17[[#This Row],[Column6]]),SUMIF(Table17[Column6],Table17[[#This Row],[Column6]],Table17[Column7]),"")</f>
        <v/>
      </c>
      <c r="AH188" s="44">
        <f ca="1">INDEX(NOTA[TGL_H],Sheet1!A:A)</f>
        <v>45461</v>
      </c>
      <c r="AI188" s="44">
        <f ca="1">INDEX(NOTA[TGL.NOTA_H],Sheet1!A:A)</f>
        <v>45456</v>
      </c>
      <c r="AK188" t="str">
        <f>IF(INDEX(NOTA[KETERANGAN],A:A)="","",INDEX(NOTA[KETERANGAN],A:A))</f>
        <v/>
      </c>
      <c r="AL188">
        <f ca="1">INDEX(NOTA[NO.NOTA_H],Sheet1!A:A)</f>
        <v>0</v>
      </c>
      <c r="AM188">
        <f>INDEX(NOTA[KETERANGAN],Sheet1!A:A)</f>
        <v>0</v>
      </c>
      <c r="AN188" t="str">
        <f ca="1">INDEX(NOTA[SUPPLIER_H],Sheet1!A:A)</f>
        <v>PMJP</v>
      </c>
      <c r="AO188" t="e">
        <f t="shared" ca="1" si="7"/>
        <v>#N/A</v>
      </c>
    </row>
    <row r="189" spans="1:41">
      <c r="A189" s="3">
        <v>228</v>
      </c>
      <c r="C189">
        <f>INDEX(NOTA[//DB],Sheet1!A:A)</f>
        <v>655</v>
      </c>
      <c r="D189">
        <f>MATCH(Table17[[#This Row],[//db]],[3]!Table2[\\],0)</f>
        <v>3703</v>
      </c>
      <c r="E189" t="str">
        <f>INDEX([3]!db[NB NOTA],Table17[[#This Row],[//db]])</f>
        <v>CELENGAN (XL)</v>
      </c>
      <c r="F189" t="str">
        <f>INDEX([3]!db[NB BM],Table17[[#This Row],[//db]])</f>
        <v>Celengan (XL)</v>
      </c>
      <c r="G189" t="str">
        <f>_xlfn.IFNA(INDEX([3]!Table2[NAMA],Table17[[#This Row],[dbconcat]]),"")</f>
        <v>CELENGAN XL</v>
      </c>
      <c r="H189">
        <f>INDEX([3]!Table2[KODE BARANG],Table17[[#This Row],[dbconcat]])</f>
        <v>0</v>
      </c>
      <c r="I189" t="str">
        <f>IF(Table17[[#This Row],[Column3]]="",UPPER(Table17[[#This Row],[Column1]]),Table17[[#This Row],[Column3]])</f>
        <v>CELENGAN XL</v>
      </c>
      <c r="J189">
        <f>INDEX(NOTA[C],Sheet1!A:A)</f>
        <v>1</v>
      </c>
      <c r="K189">
        <f>IF(OR(Table17[[#This Row],[Column5]]=0,Table17[[#This Row],[Column3]]=""),"",INDEX([3]!Table2[ISI2],Table17[[#This Row],[dbconcat]]))</f>
        <v>6</v>
      </c>
      <c r="L189" t="str">
        <f>IF(Table17[[#This Row],[isis]]="","",INDEX([3]!Table2[SATUAN3],Table17[[#This Row],[dbconcat]]))</f>
        <v>LSN</v>
      </c>
      <c r="M189" t="str">
        <f>IF(Table17[[#This Row],[Column5]]=0,"",IF(Table17[[#This Row],[Column3]]="",INDEX([3]!db[QTY B],Table17[[#This Row],[//db]]),""))</f>
        <v/>
      </c>
      <c r="N189" t="str">
        <f>IF(Table17[[#This Row],[isin]]="","",INDEX([3]!db[STN B],Table17[[#This Row],[//db]]))</f>
        <v/>
      </c>
      <c r="O189" t="str">
        <f>IF(AND(Table17[[#This Row],[isis]]="",Table17[[#This Row],[isin]]=""),INDEX(NOTA[QTY],Sheet1!A:A)/IF(Table17[[#This Row],[Column5]]=0,1,Table17[[#This Row],[Column5]]),"")</f>
        <v/>
      </c>
      <c r="P189" t="str">
        <f>IF(Table17[[#This Row],[Column2]]="","",INDEX(NOTA[STN],Sheet1!A:A))</f>
        <v/>
      </c>
      <c r="Q189" s="5" t="str">
        <f>INDEX([3]!db[QTY B],Table17[[#This Row],[//db]])</f>
        <v>6</v>
      </c>
      <c r="R189" t="str">
        <f>INDEX([3]!db[STN B],Table17[[#This Row],[//db]])</f>
        <v>LSN</v>
      </c>
      <c r="S189" s="40" t="str">
        <f>IF(Table17[[#This Row],[Column5]]=0,Table17[[#This Row],[Column23]]/Table17[[#This Row],[Column224]],"")</f>
        <v/>
      </c>
      <c r="T189" s="4">
        <f>IF(Table17[[#This Row],[Column222]]="",Table17[[#This Row],[Column5]],Table17[[#This Row],[Column222]])</f>
        <v>1</v>
      </c>
      <c r="U189" s="4" t="str">
        <f>IF(Table17[[#This Row],[Column223]]=Table17[[#This Row],[Column24]],"",1)</f>
        <v/>
      </c>
      <c r="V189" s="5">
        <f>IF(Table17[[#This Row],[isis]]="",IF(Table17[[#This Row],[isin]]="",Table17[[#This Row],[Column2]],Table17[[#This Row],[isin]]),Table17[[#This Row],[isis]])</f>
        <v>6</v>
      </c>
      <c r="W189" s="3" t="str">
        <f>IF(Table17[[#This Row],[isis]]="",IF(Table17[[#This Row],[isin]]="",Table17[[#This Row],[Column22]],Table17[[#This Row],[stnn]]),Table17[[#This Row],[stns]])</f>
        <v>LSN</v>
      </c>
      <c r="X189" s="5">
        <f>IF(Table17[[#This Row],[Column2222]]&lt;1,Table17[[#This Row],[Column23]],Table17[[#This Row],[Column23]]*Table17[[#This Row],[Column2222]])</f>
        <v>6</v>
      </c>
      <c r="Y189" s="3" t="str">
        <f>Table17[[#This Row],[Column24]]</f>
        <v>LSN</v>
      </c>
      <c r="Z189" s="5">
        <f>Table17[[#This Row],[HRG / CTN]]/Table17[[#This Row],[Column23]]</f>
        <v>85000</v>
      </c>
      <c r="AA189" s="42" t="str">
        <f>IF(INDEX(NOTA[DISC 1],Sheet1!A:A)=0,"",INDEX(NOTA[DISC 1],Sheet1!A:A))</f>
        <v/>
      </c>
      <c r="AB189" s="42" t="str">
        <f>IF(INDEX(NOTA[DISC 2],Sheet1!A:A)=0,"",INDEX(NOTA[DISC 2],Sheet1!A:A))</f>
        <v/>
      </c>
      <c r="AC18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9" s="43">
        <f>INDEX(NOTA[HARGA/ CTN_H],Sheet1!A:A)</f>
        <v>510000</v>
      </c>
      <c r="AE189" s="43">
        <f>IF(Table17[[#This Row],[DISC 3]]="",Table17[[#This Row],[HRG / CTN]],Table17[[#This Row],[HRG / CTN]]-(Table17[[#This Row],[HRG / CTN]]*Table17[[#This Row],[DISC 3]]))</f>
        <v>510000</v>
      </c>
      <c r="AF189" s="14">
        <f>IF(Table17[[#This Row],[Column2222]]&lt;1,Table17[[#This Row],[Column9]],Table17[[#This Row],[Column9]]*Table17[[#This Row],[Column2222]])</f>
        <v>510000</v>
      </c>
      <c r="AG189" s="43" t="str">
        <f ca="1">IF(NOT(AL190=Table17[[#This Row],[Column6]]),SUMIF(Table17[Column6],Table17[[#This Row],[Column6]],Table17[Column7]),"")</f>
        <v/>
      </c>
      <c r="AH189" s="44">
        <f ca="1">INDEX(NOTA[TGL_H],Sheet1!A:A)</f>
        <v>45461</v>
      </c>
      <c r="AI189" s="44">
        <f ca="1">INDEX(NOTA[TGL.NOTA_H],Sheet1!A:A)</f>
        <v>45456</v>
      </c>
      <c r="AK189" t="str">
        <f>IF(INDEX(NOTA[KETERANGAN],A:A)="","",INDEX(NOTA[KETERANGAN],A:A))</f>
        <v/>
      </c>
      <c r="AL189">
        <f ca="1">INDEX(NOTA[NO.NOTA_H],Sheet1!A:A)</f>
        <v>0</v>
      </c>
      <c r="AM189">
        <f>INDEX(NOTA[KETERANGAN],Sheet1!A:A)</f>
        <v>0</v>
      </c>
      <c r="AN189" t="str">
        <f ca="1">INDEX(NOTA[SUPPLIER_H],Sheet1!A:A)</f>
        <v>PMJP</v>
      </c>
      <c r="AO189" t="e">
        <f t="shared" ca="1" si="7"/>
        <v>#N/A</v>
      </c>
    </row>
    <row r="190" spans="1:41">
      <c r="A190" s="3">
        <v>230</v>
      </c>
      <c r="C190" t="e">
        <f>INDEX(NOTA[//DB],Sheet1!A:A)</f>
        <v>#N/A</v>
      </c>
      <c r="D190" t="e">
        <f>MATCH(Table17[[#This Row],[//db]],[3]!Table2[\\],0)</f>
        <v>#N/A</v>
      </c>
      <c r="E190" t="e">
        <f>INDEX([3]!db[NB NOTA],Table17[[#This Row],[//db]])</f>
        <v>#N/A</v>
      </c>
      <c r="F190" t="e">
        <f>INDEX([3]!db[NB BM],Table17[[#This Row],[//db]])</f>
        <v>#N/A</v>
      </c>
      <c r="G190" t="str">
        <f>_xlfn.IFNA(INDEX([3]!Table2[NAMA],Table17[[#This Row],[dbconcat]]),"")</f>
        <v/>
      </c>
      <c r="H190" t="e">
        <f>INDEX([3]!Table2[KODE BARANG],Table17[[#This Row],[dbconcat]])</f>
        <v>#N/A</v>
      </c>
      <c r="I190" t="e">
        <f>IF(Table17[[#This Row],[Column3]]="",UPPER(Table17[[#This Row],[Column1]]),Table17[[#This Row],[Column3]])</f>
        <v>#N/A</v>
      </c>
      <c r="J190">
        <f>INDEX(NOTA[C],Sheet1!A:A)</f>
        <v>0</v>
      </c>
      <c r="K190" t="str">
        <f>IF(OR(Table17[[#This Row],[Column5]]=0,Table17[[#This Row],[Column3]]=""),"",INDEX([3]!Table2[ISI2],Table17[[#This Row],[dbconcat]]))</f>
        <v/>
      </c>
      <c r="L190" t="str">
        <f>IF(Table17[[#This Row],[isis]]="","",INDEX([3]!Table2[SATUAN3],Table17[[#This Row],[dbconcat]]))</f>
        <v/>
      </c>
      <c r="M190" t="str">
        <f>IF(Table17[[#This Row],[Column5]]=0,"",IF(Table17[[#This Row],[Column3]]="",INDEX([3]!db[QTY B],Table17[[#This Row],[//db]]),""))</f>
        <v/>
      </c>
      <c r="N190" t="str">
        <f>IF(Table17[[#This Row],[isin]]="","",INDEX([3]!db[STN B],Table17[[#This Row],[//db]]))</f>
        <v/>
      </c>
      <c r="O190">
        <f>IF(AND(Table17[[#This Row],[isis]]="",Table17[[#This Row],[isin]]=""),INDEX(NOTA[QTY],Sheet1!A:A)/IF(Table17[[#This Row],[Column5]]=0,1,Table17[[#This Row],[Column5]]),"")</f>
        <v>7</v>
      </c>
      <c r="P190" t="str">
        <f>IF(Table17[[#This Row],[Column2]]="","",INDEX(NOTA[STN],Sheet1!A:A))</f>
        <v>LSN</v>
      </c>
      <c r="Q190" s="5" t="e">
        <f>INDEX([3]!db[QTY B],Table17[[#This Row],[//db]])</f>
        <v>#N/A</v>
      </c>
      <c r="R190" t="e">
        <f>INDEX([3]!db[STN B],Table17[[#This Row],[//db]])</f>
        <v>#N/A</v>
      </c>
      <c r="S190" s="40" t="e">
        <f>IF(Table17[[#This Row],[Column5]]=0,Table17[[#This Row],[Column23]]/Table17[[#This Row],[Column224]],"")</f>
        <v>#N/A</v>
      </c>
      <c r="T190" s="4" t="e">
        <f>IF(Table17[[#This Row],[Column222]]="",Table17[[#This Row],[Column5]],Table17[[#This Row],[Column222]])</f>
        <v>#N/A</v>
      </c>
      <c r="U190" s="4" t="e">
        <f>IF(Table17[[#This Row],[Column223]]=Table17[[#This Row],[Column24]],"",1)</f>
        <v>#N/A</v>
      </c>
      <c r="V190" s="5">
        <f>IF(Table17[[#This Row],[isis]]="",IF(Table17[[#This Row],[isin]]="",Table17[[#This Row],[Column2]],Table17[[#This Row],[isin]]),Table17[[#This Row],[isis]])</f>
        <v>7</v>
      </c>
      <c r="W190" s="3" t="str">
        <f>IF(Table17[[#This Row],[isis]]="",IF(Table17[[#This Row],[isin]]="",Table17[[#This Row],[Column22]],Table17[[#This Row],[stnn]]),Table17[[#This Row],[stns]])</f>
        <v>LSN</v>
      </c>
      <c r="X190" s="5" t="e">
        <f>IF(Table17[[#This Row],[Column2222]]&lt;1,Table17[[#This Row],[Column23]],Table17[[#This Row],[Column23]]*Table17[[#This Row],[Column2222]])</f>
        <v>#N/A</v>
      </c>
      <c r="Y190" s="3" t="str">
        <f>Table17[[#This Row],[Column24]]</f>
        <v>LSN</v>
      </c>
      <c r="Z190" s="5">
        <f>Table17[[#This Row],[HRG / CTN]]/Table17[[#This Row],[Column23]]</f>
        <v>161000</v>
      </c>
      <c r="AA190" s="42" t="str">
        <f>IF(INDEX(NOTA[DISC 1],Sheet1!A:A)=0,"",INDEX(NOTA[DISC 1],Sheet1!A:A))</f>
        <v/>
      </c>
      <c r="AB190" s="42" t="str">
        <f>IF(INDEX(NOTA[DISC 2],Sheet1!A:A)=0,"",INDEX(NOTA[DISC 2],Sheet1!A:A))</f>
        <v/>
      </c>
      <c r="AC19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0" s="43">
        <f>INDEX(NOTA[HARGA/ CTN_H],Sheet1!A:A)</f>
        <v>1127000</v>
      </c>
      <c r="AE190" s="43">
        <f>IF(Table17[[#This Row],[DISC 3]]="",Table17[[#This Row],[HRG / CTN]],Table17[[#This Row],[HRG / CTN]]-(Table17[[#This Row],[HRG / CTN]]*Table17[[#This Row],[DISC 3]]))</f>
        <v>1127000</v>
      </c>
      <c r="AF190" s="14" t="e">
        <f>IF(Table17[[#This Row],[Column2222]]&lt;1,Table17[[#This Row],[Column9]],Table17[[#This Row],[Column9]]*Table17[[#This Row],[Column2222]])</f>
        <v>#N/A</v>
      </c>
      <c r="AG190" s="43" t="e">
        <f ca="1">IF(NOT(AL191=Table17[[#This Row],[Column6]]),SUMIF(Table17[Column6],Table17[[#This Row],[Column6]],Table17[Column7]),"")</f>
        <v>#N/A</v>
      </c>
      <c r="AH190" s="44">
        <f ca="1">INDEX(NOTA[TGL_H],Sheet1!A:A)</f>
        <v>45461</v>
      </c>
      <c r="AI190" s="44">
        <f ca="1">INDEX(NOTA[TGL.NOTA_H],Sheet1!A:A)</f>
        <v>45461</v>
      </c>
      <c r="AK190" t="str">
        <f>IF(INDEX(NOTA[KETERANGAN],A:A)="","",INDEX(NOTA[KETERANGAN],A:A))</f>
        <v>DISKON CASH 56.500 (5%)</v>
      </c>
      <c r="AL190">
        <f ca="1">INDEX(NOTA[NO.NOTA_H],Sheet1!A:A)</f>
        <v>0</v>
      </c>
      <c r="AM190" t="str">
        <f>INDEX(NOTA[KETERANGAN],Sheet1!A:A)</f>
        <v>DISKON CASH 56.500 (5%)</v>
      </c>
      <c r="AN190" t="str">
        <f ca="1">INDEX(NOTA[SUPPLIER_H],Sheet1!A:A)</f>
        <v>GLORY</v>
      </c>
      <c r="AO190" t="e">
        <f t="shared" ca="1" si="7"/>
        <v>#N/A</v>
      </c>
    </row>
    <row r="191" spans="1:41">
      <c r="A191" s="3">
        <v>232</v>
      </c>
      <c r="C191">
        <f>INDEX(NOTA[//DB],Sheet1!A:A)</f>
        <v>3426</v>
      </c>
      <c r="D191">
        <f>MATCH(Table17[[#This Row],[//db]],[3]!Table2[\\],0)</f>
        <v>2485</v>
      </c>
      <c r="E191" t="str">
        <f>INDEX([3]!db[NB NOTA],Table17[[#This Row],[//db]])</f>
        <v>TP BD XLG BD180-28</v>
      </c>
      <c r="F191" t="str">
        <f>INDEX([3]!db[NB BM],Table17[[#This Row],[//db]])</f>
        <v>P CASE XLG BD 180-28</v>
      </c>
      <c r="G191" t="str">
        <f>_xlfn.IFNA(INDEX([3]!Table2[NAMA],Table17[[#This Row],[dbconcat]]),"")</f>
        <v>P CASE XLG BD 180-28</v>
      </c>
      <c r="H191" t="str">
        <f>INDEX([3]!Table2[KODE BARANG],Table17[[#This Row],[dbconcat]])</f>
        <v>PCA-XL242</v>
      </c>
      <c r="I191" t="str">
        <f>IF(Table17[[#This Row],[Column3]]="",UPPER(Table17[[#This Row],[Column1]]),Table17[[#This Row],[Column3]])</f>
        <v>P CASE XLG BD 180-28</v>
      </c>
      <c r="J191">
        <f>INDEX(NOTA[C],Sheet1!A:A)</f>
        <v>3</v>
      </c>
      <c r="K191">
        <f>IF(OR(Table17[[#This Row],[Column5]]=0,Table17[[#This Row],[Column3]]=""),"",INDEX([3]!Table2[ISI2],Table17[[#This Row],[dbconcat]]))</f>
        <v>180</v>
      </c>
      <c r="L191" t="str">
        <f>IF(Table17[[#This Row],[isis]]="","",INDEX([3]!Table2[SATUAN3],Table17[[#This Row],[dbconcat]]))</f>
        <v>PCS</v>
      </c>
      <c r="M191" t="str">
        <f>IF(Table17[[#This Row],[Column5]]=0,"",IF(Table17[[#This Row],[Column3]]="",INDEX([3]!db[QTY B],Table17[[#This Row],[//db]]),""))</f>
        <v/>
      </c>
      <c r="N191" t="str">
        <f>IF(Table17[[#This Row],[isin]]="","",INDEX([3]!db[STN B],Table17[[#This Row],[//db]]))</f>
        <v/>
      </c>
      <c r="O191" t="str">
        <f>IF(AND(Table17[[#This Row],[isis]]="",Table17[[#This Row],[isin]]=""),INDEX(NOTA[QTY],Sheet1!A:A)/IF(Table17[[#This Row],[Column5]]=0,1,Table17[[#This Row],[Column5]]),"")</f>
        <v/>
      </c>
      <c r="P191" t="str">
        <f>IF(Table17[[#This Row],[Column2]]="","",INDEX(NOTA[STN],Sheet1!A:A))</f>
        <v/>
      </c>
      <c r="Q191" s="5" t="str">
        <f>INDEX([3]!db[QTY B],Table17[[#This Row],[//db]])</f>
        <v>180</v>
      </c>
      <c r="R191" t="str">
        <f>INDEX([3]!db[STN B],Table17[[#This Row],[//db]])</f>
        <v>PCS</v>
      </c>
      <c r="S191" s="40" t="str">
        <f>IF(Table17[[#This Row],[Column5]]=0,Table17[[#This Row],[Column23]]/Table17[[#This Row],[Column224]],"")</f>
        <v/>
      </c>
      <c r="T191" s="4">
        <f>IF(Table17[[#This Row],[Column222]]="",Table17[[#This Row],[Column5]],Table17[[#This Row],[Column222]])</f>
        <v>3</v>
      </c>
      <c r="U191" s="4" t="str">
        <f>IF(Table17[[#This Row],[Column223]]=Table17[[#This Row],[Column24]],"",1)</f>
        <v/>
      </c>
      <c r="V191" s="5">
        <f>IF(Table17[[#This Row],[isis]]="",IF(Table17[[#This Row],[isin]]="",Table17[[#This Row],[Column2]],Table17[[#This Row],[isin]]),Table17[[#This Row],[isis]])</f>
        <v>180</v>
      </c>
      <c r="W191" s="3" t="str">
        <f>IF(Table17[[#This Row],[isis]]="",IF(Table17[[#This Row],[isin]]="",Table17[[#This Row],[Column22]],Table17[[#This Row],[stnn]]),Table17[[#This Row],[stns]])</f>
        <v>PCS</v>
      </c>
      <c r="X191" s="5">
        <f>IF(Table17[[#This Row],[Column2222]]&lt;1,Table17[[#This Row],[Column23]],Table17[[#This Row],[Column23]]*Table17[[#This Row],[Column2222]])</f>
        <v>540</v>
      </c>
      <c r="Y191" s="3" t="str">
        <f>Table17[[#This Row],[Column24]]</f>
        <v>PCS</v>
      </c>
      <c r="Z191" s="5">
        <f>Table17[[#This Row],[HRG / CTN]]/Table17[[#This Row],[Column23]]</f>
        <v>11000</v>
      </c>
      <c r="AA191" s="42" t="str">
        <f>IF(INDEX(NOTA[DISC 1],Sheet1!A:A)=0,"",INDEX(NOTA[DISC 1],Sheet1!A:A))</f>
        <v/>
      </c>
      <c r="AB191" s="42" t="str">
        <f>IF(INDEX(NOTA[DISC 2],Sheet1!A:A)=0,"",INDEX(NOTA[DISC 2],Sheet1!A:A))</f>
        <v/>
      </c>
      <c r="AC19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1" s="43">
        <f>INDEX(NOTA[HARGA/ CTN_H],Sheet1!A:A)</f>
        <v>1980000</v>
      </c>
      <c r="AE191" s="43">
        <f>IF(Table17[[#This Row],[DISC 3]]="",Table17[[#This Row],[HRG / CTN]],Table17[[#This Row],[HRG / CTN]]-(Table17[[#This Row],[HRG / CTN]]*Table17[[#This Row],[DISC 3]]))</f>
        <v>1980000</v>
      </c>
      <c r="AF191" s="14">
        <f>IF(Table17[[#This Row],[Column2222]]&lt;1,Table17[[#This Row],[Column9]],Table17[[#This Row],[Column9]]*Table17[[#This Row],[Column2222]])</f>
        <v>5940000</v>
      </c>
      <c r="AG191" s="43" t="str">
        <f ca="1">IF(NOT(AL192=Table17[[#This Row],[Column6]]),SUMIF(Table17[Column6],Table17[[#This Row],[Column6]],Table17[Column7]),"")</f>
        <v/>
      </c>
      <c r="AH191" s="44">
        <f ca="1">INDEX(NOTA[TGL_H],Sheet1!A:A)</f>
        <v>45465</v>
      </c>
      <c r="AI191" s="44">
        <f ca="1">INDEX(NOTA[TGL.NOTA_H],Sheet1!A:A)</f>
        <v>45462</v>
      </c>
      <c r="AK191" t="str">
        <f>IF(INDEX(NOTA[KETERANGAN],A:A)="","",INDEX(NOTA[KETERANGAN],A:A))</f>
        <v>DISKON CASH 1.917.000 (2.5%)</v>
      </c>
      <c r="AL191" t="str">
        <f ca="1">INDEX(NOTA[NO.NOTA_H],Sheet1!A:A)</f>
        <v>JUF415/24</v>
      </c>
      <c r="AM191" t="str">
        <f>INDEX(NOTA[KETERANGAN],Sheet1!A:A)</f>
        <v>DISKON CASH 1.917.000 (2.5%)</v>
      </c>
      <c r="AN191" t="str">
        <f ca="1">INDEX(NOTA[SUPPLIER_H],Sheet1!A:A)</f>
        <v>DB STATIONERY</v>
      </c>
      <c r="AO191" t="e">
        <f t="shared" ca="1" si="7"/>
        <v>#N/A</v>
      </c>
    </row>
    <row r="192" spans="1:41">
      <c r="A192" s="3">
        <v>233</v>
      </c>
      <c r="C192">
        <f>INDEX(NOTA[//DB],Sheet1!A:A)</f>
        <v>3427</v>
      </c>
      <c r="D192">
        <f>MATCH(Table17[[#This Row],[//db]],[3]!Table2[\\],0)</f>
        <v>2486</v>
      </c>
      <c r="E192" t="str">
        <f>INDEX([3]!db[NB NOTA],Table17[[#This Row],[//db]])</f>
        <v>TP BD XLG BD180-F</v>
      </c>
      <c r="F192" t="str">
        <f>INDEX([3]!db[NB BM],Table17[[#This Row],[//db]])</f>
        <v>P CASE XLG BD 180-F</v>
      </c>
      <c r="G192" t="str">
        <f>_xlfn.IFNA(INDEX([3]!Table2[NAMA],Table17[[#This Row],[dbconcat]]),"")</f>
        <v>P CASE XLG BD 180-F</v>
      </c>
      <c r="H192" t="str">
        <f>INDEX([3]!Table2[KODE BARANG],Table17[[#This Row],[dbconcat]])</f>
        <v>PCA-XL243</v>
      </c>
      <c r="I192" t="str">
        <f>IF(Table17[[#This Row],[Column3]]="",UPPER(Table17[[#This Row],[Column1]]),Table17[[#This Row],[Column3]])</f>
        <v>P CASE XLG BD 180-F</v>
      </c>
      <c r="J192">
        <f>INDEX(NOTA[C],Sheet1!A:A)</f>
        <v>3</v>
      </c>
      <c r="K192">
        <f>IF(OR(Table17[[#This Row],[Column5]]=0,Table17[[#This Row],[Column3]]=""),"",INDEX([3]!Table2[ISI2],Table17[[#This Row],[dbconcat]]))</f>
        <v>180</v>
      </c>
      <c r="L192" t="str">
        <f>IF(Table17[[#This Row],[isis]]="","",INDEX([3]!Table2[SATUAN3],Table17[[#This Row],[dbconcat]]))</f>
        <v>PCS</v>
      </c>
      <c r="M192" t="str">
        <f>IF(Table17[[#This Row],[Column5]]=0,"",IF(Table17[[#This Row],[Column3]]="",INDEX([3]!db[QTY B],Table17[[#This Row],[//db]]),""))</f>
        <v/>
      </c>
      <c r="N192" t="str">
        <f>IF(Table17[[#This Row],[isin]]="","",INDEX([3]!db[STN B],Table17[[#This Row],[//db]]))</f>
        <v/>
      </c>
      <c r="O192" t="str">
        <f>IF(AND(Table17[[#This Row],[isis]]="",Table17[[#This Row],[isin]]=""),INDEX(NOTA[QTY],Sheet1!A:A)/IF(Table17[[#This Row],[Column5]]=0,1,Table17[[#This Row],[Column5]]),"")</f>
        <v/>
      </c>
      <c r="P192" t="str">
        <f>IF(Table17[[#This Row],[Column2]]="","",INDEX(NOTA[STN],Sheet1!A:A))</f>
        <v/>
      </c>
      <c r="Q192" s="5" t="str">
        <f>INDEX([3]!db[QTY B],Table17[[#This Row],[//db]])</f>
        <v>180</v>
      </c>
      <c r="R192" t="str">
        <f>INDEX([3]!db[STN B],Table17[[#This Row],[//db]])</f>
        <v>PCS</v>
      </c>
      <c r="S192" s="40" t="str">
        <f>IF(Table17[[#This Row],[Column5]]=0,Table17[[#This Row],[Column23]]/Table17[[#This Row],[Column224]],"")</f>
        <v/>
      </c>
      <c r="T192" s="4">
        <f>IF(Table17[[#This Row],[Column222]]="",Table17[[#This Row],[Column5]],Table17[[#This Row],[Column222]])</f>
        <v>3</v>
      </c>
      <c r="U192" s="4" t="str">
        <f>IF(Table17[[#This Row],[Column223]]=Table17[[#This Row],[Column24]],"",1)</f>
        <v/>
      </c>
      <c r="V192" s="5">
        <f>IF(Table17[[#This Row],[isis]]="",IF(Table17[[#This Row],[isin]]="",Table17[[#This Row],[Column2]],Table17[[#This Row],[isin]]),Table17[[#This Row],[isis]])</f>
        <v>180</v>
      </c>
      <c r="W192" s="3" t="str">
        <f>IF(Table17[[#This Row],[isis]]="",IF(Table17[[#This Row],[isin]]="",Table17[[#This Row],[Column22]],Table17[[#This Row],[stnn]]),Table17[[#This Row],[stns]])</f>
        <v>PCS</v>
      </c>
      <c r="X192" s="5">
        <f>IF(Table17[[#This Row],[Column2222]]&lt;1,Table17[[#This Row],[Column23]],Table17[[#This Row],[Column23]]*Table17[[#This Row],[Column2222]])</f>
        <v>540</v>
      </c>
      <c r="Y192" s="3" t="str">
        <f>Table17[[#This Row],[Column24]]</f>
        <v>PCS</v>
      </c>
      <c r="Z192" s="5">
        <f>Table17[[#This Row],[HRG / CTN]]/Table17[[#This Row],[Column23]]</f>
        <v>11500</v>
      </c>
      <c r="AA192" s="42" t="str">
        <f>IF(INDEX(NOTA[DISC 1],Sheet1!A:A)=0,"",INDEX(NOTA[DISC 1],Sheet1!A:A))</f>
        <v/>
      </c>
      <c r="AB192" s="42" t="str">
        <f>IF(INDEX(NOTA[DISC 2],Sheet1!A:A)=0,"",INDEX(NOTA[DISC 2],Sheet1!A:A))</f>
        <v/>
      </c>
      <c r="AC19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2" s="43">
        <f>INDEX(NOTA[HARGA/ CTN_H],Sheet1!A:A)</f>
        <v>2070000</v>
      </c>
      <c r="AE192" s="43">
        <f>IF(Table17[[#This Row],[DISC 3]]="",Table17[[#This Row],[HRG / CTN]],Table17[[#This Row],[HRG / CTN]]-(Table17[[#This Row],[HRG / CTN]]*Table17[[#This Row],[DISC 3]]))</f>
        <v>2070000</v>
      </c>
      <c r="AF192" s="14">
        <f>IF(Table17[[#This Row],[Column2222]]&lt;1,Table17[[#This Row],[Column9]],Table17[[#This Row],[Column9]]*Table17[[#This Row],[Column2222]])</f>
        <v>6210000</v>
      </c>
      <c r="AG192" s="43" t="str">
        <f ca="1">IF(NOT(AL193=Table17[[#This Row],[Column6]]),SUMIF(Table17[Column6],Table17[[#This Row],[Column6]],Table17[Column7]),"")</f>
        <v/>
      </c>
      <c r="AH192" s="44">
        <f ca="1">INDEX(NOTA[TGL_H],Sheet1!A:A)</f>
        <v>45465</v>
      </c>
      <c r="AI192" s="44">
        <f ca="1">INDEX(NOTA[TGL.NOTA_H],Sheet1!A:A)</f>
        <v>45462</v>
      </c>
      <c r="AK192" t="str">
        <f>IF(INDEX(NOTA[KETERANGAN],A:A)="","",INDEX(NOTA[KETERANGAN],A:A))</f>
        <v>DISKON CASH 1.917.000 (2.5%)</v>
      </c>
      <c r="AL192" t="str">
        <f ca="1">INDEX(NOTA[NO.NOTA_H],Sheet1!A:A)</f>
        <v>JUF415/24</v>
      </c>
      <c r="AM192" t="str">
        <f>INDEX(NOTA[KETERANGAN],Sheet1!A:A)</f>
        <v>DISKON CASH 1.917.000 (2.5%)</v>
      </c>
      <c r="AN192" t="str">
        <f ca="1">INDEX(NOTA[SUPPLIER_H],Sheet1!A:A)</f>
        <v>DB STATIONERY</v>
      </c>
      <c r="AO192" t="e">
        <f t="shared" ca="1" si="7"/>
        <v>#N/A</v>
      </c>
    </row>
    <row r="193" spans="1:41">
      <c r="A193" s="3">
        <v>234</v>
      </c>
      <c r="C193">
        <f>INDEX(NOTA[//DB],Sheet1!A:A)</f>
        <v>3428</v>
      </c>
      <c r="D193">
        <f>MATCH(Table17[[#This Row],[//db]],[3]!Table2[\\],0)</f>
        <v>2487</v>
      </c>
      <c r="E193" t="str">
        <f>INDEX([3]!db[NB NOTA],Table17[[#This Row],[//db]])</f>
        <v>TP BD XLG BD191-F</v>
      </c>
      <c r="F193" t="str">
        <f>INDEX([3]!db[NB BM],Table17[[#This Row],[//db]])</f>
        <v>P CASE XLG BD 191-F</v>
      </c>
      <c r="G193" t="str">
        <f>_xlfn.IFNA(INDEX([3]!Table2[NAMA],Table17[[#This Row],[dbconcat]]),"")</f>
        <v>P CASE XLG BD 191-F</v>
      </c>
      <c r="H193" t="str">
        <f>INDEX([3]!Table2[KODE BARANG],Table17[[#This Row],[dbconcat]])</f>
        <v>PCA-XL244</v>
      </c>
      <c r="I193" t="str">
        <f>IF(Table17[[#This Row],[Column3]]="",UPPER(Table17[[#This Row],[Column1]]),Table17[[#This Row],[Column3]])</f>
        <v>P CASE XLG BD 191-F</v>
      </c>
      <c r="J193">
        <f>INDEX(NOTA[C],Sheet1!A:A)</f>
        <v>3</v>
      </c>
      <c r="K193">
        <f>IF(OR(Table17[[#This Row],[Column5]]=0,Table17[[#This Row],[Column3]]=""),"",INDEX([3]!Table2[ISI2],Table17[[#This Row],[dbconcat]]))</f>
        <v>180</v>
      </c>
      <c r="L193" t="str">
        <f>IF(Table17[[#This Row],[isis]]="","",INDEX([3]!Table2[SATUAN3],Table17[[#This Row],[dbconcat]]))</f>
        <v>PCS</v>
      </c>
      <c r="M193" t="str">
        <f>IF(Table17[[#This Row],[Column5]]=0,"",IF(Table17[[#This Row],[Column3]]="",INDEX([3]!db[QTY B],Table17[[#This Row],[//db]]),""))</f>
        <v/>
      </c>
      <c r="N193" t="str">
        <f>IF(Table17[[#This Row],[isin]]="","",INDEX([3]!db[STN B],Table17[[#This Row],[//db]]))</f>
        <v/>
      </c>
      <c r="O193" t="str">
        <f>IF(AND(Table17[[#This Row],[isis]]="",Table17[[#This Row],[isin]]=""),INDEX(NOTA[QTY],Sheet1!A:A)/IF(Table17[[#This Row],[Column5]]=0,1,Table17[[#This Row],[Column5]]),"")</f>
        <v/>
      </c>
      <c r="P193" t="str">
        <f>IF(Table17[[#This Row],[Column2]]="","",INDEX(NOTA[STN],Sheet1!A:A))</f>
        <v/>
      </c>
      <c r="Q193" s="5" t="str">
        <f>INDEX([3]!db[QTY B],Table17[[#This Row],[//db]])</f>
        <v>180</v>
      </c>
      <c r="R193" t="str">
        <f>INDEX([3]!db[STN B],Table17[[#This Row],[//db]])</f>
        <v>PCS</v>
      </c>
      <c r="S193" s="40" t="str">
        <f>IF(Table17[[#This Row],[Column5]]=0,Table17[[#This Row],[Column23]]/Table17[[#This Row],[Column224]],"")</f>
        <v/>
      </c>
      <c r="T193" s="4">
        <f>IF(Table17[[#This Row],[Column222]]="",Table17[[#This Row],[Column5]],Table17[[#This Row],[Column222]])</f>
        <v>3</v>
      </c>
      <c r="U193" s="4" t="str">
        <f>IF(Table17[[#This Row],[Column223]]=Table17[[#This Row],[Column24]],"",1)</f>
        <v/>
      </c>
      <c r="V193" s="5">
        <f>IF(Table17[[#This Row],[isis]]="",IF(Table17[[#This Row],[isin]]="",Table17[[#This Row],[Column2]],Table17[[#This Row],[isin]]),Table17[[#This Row],[isis]])</f>
        <v>180</v>
      </c>
      <c r="W193" s="3" t="str">
        <f>IF(Table17[[#This Row],[isis]]="",IF(Table17[[#This Row],[isin]]="",Table17[[#This Row],[Column22]],Table17[[#This Row],[stnn]]),Table17[[#This Row],[stns]])</f>
        <v>PCS</v>
      </c>
      <c r="X193" s="5">
        <f>IF(Table17[[#This Row],[Column2222]]&lt;1,Table17[[#This Row],[Column23]],Table17[[#This Row],[Column23]]*Table17[[#This Row],[Column2222]])</f>
        <v>540</v>
      </c>
      <c r="Y193" s="3" t="str">
        <f>Table17[[#This Row],[Column24]]</f>
        <v>PCS</v>
      </c>
      <c r="Z193" s="5">
        <f>Table17[[#This Row],[HRG / CTN]]/Table17[[#This Row],[Column23]]</f>
        <v>17500</v>
      </c>
      <c r="AA193" s="42" t="str">
        <f>IF(INDEX(NOTA[DISC 1],Sheet1!A:A)=0,"",INDEX(NOTA[DISC 1],Sheet1!A:A))</f>
        <v/>
      </c>
      <c r="AB193" s="42" t="str">
        <f>IF(INDEX(NOTA[DISC 2],Sheet1!A:A)=0,"",INDEX(NOTA[DISC 2],Sheet1!A:A))</f>
        <v/>
      </c>
      <c r="AC19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3" s="43">
        <f>INDEX(NOTA[HARGA/ CTN_H],Sheet1!A:A)</f>
        <v>3150000</v>
      </c>
      <c r="AE193" s="43">
        <f>IF(Table17[[#This Row],[DISC 3]]="",Table17[[#This Row],[HRG / CTN]],Table17[[#This Row],[HRG / CTN]]-(Table17[[#This Row],[HRG / CTN]]*Table17[[#This Row],[DISC 3]]))</f>
        <v>3150000</v>
      </c>
      <c r="AF193" s="14">
        <f>IF(Table17[[#This Row],[Column2222]]&lt;1,Table17[[#This Row],[Column9]],Table17[[#This Row],[Column9]]*Table17[[#This Row],[Column2222]])</f>
        <v>9450000</v>
      </c>
      <c r="AG193" s="43" t="str">
        <f ca="1">IF(NOT(AL194=Table17[[#This Row],[Column6]]),SUMIF(Table17[Column6],Table17[[#This Row],[Column6]],Table17[Column7]),"")</f>
        <v/>
      </c>
      <c r="AH193" s="44">
        <f ca="1">INDEX(NOTA[TGL_H],Sheet1!A:A)</f>
        <v>45465</v>
      </c>
      <c r="AI193" s="44">
        <f ca="1">INDEX(NOTA[TGL.NOTA_H],Sheet1!A:A)</f>
        <v>45462</v>
      </c>
      <c r="AK193" t="str">
        <f>IF(INDEX(NOTA[KETERANGAN],A:A)="","",INDEX(NOTA[KETERANGAN],A:A))</f>
        <v>DISKON CASH 1.917.000 (2.5%)</v>
      </c>
      <c r="AL193" t="str">
        <f ca="1">INDEX(NOTA[NO.NOTA_H],Sheet1!A:A)</f>
        <v>JUF415/24</v>
      </c>
      <c r="AM193" t="str">
        <f>INDEX(NOTA[KETERANGAN],Sheet1!A:A)</f>
        <v>DISKON CASH 1.917.000 (2.5%)</v>
      </c>
      <c r="AN193" t="str">
        <f ca="1">INDEX(NOTA[SUPPLIER_H],Sheet1!A:A)</f>
        <v>DB STATIONERY</v>
      </c>
      <c r="AO193" t="e">
        <f t="shared" ca="1" si="7"/>
        <v>#N/A</v>
      </c>
    </row>
    <row r="194" spans="1:41">
      <c r="A194" s="3">
        <v>235</v>
      </c>
      <c r="C194">
        <f>INDEX(NOTA[//DB],Sheet1!A:A)</f>
        <v>3429</v>
      </c>
      <c r="D194">
        <f>MATCH(Table17[[#This Row],[//db]],[3]!Table2[\\],0)</f>
        <v>2488</v>
      </c>
      <c r="E194" t="str">
        <f>INDEX([3]!db[NB NOTA],Table17[[#This Row],[//db]])</f>
        <v>TP BD XLG BD191-27</v>
      </c>
      <c r="F194" t="str">
        <f>INDEX([3]!db[NB BM],Table17[[#This Row],[//db]])</f>
        <v>P CASE XLG BD 191-27</v>
      </c>
      <c r="G194" t="str">
        <f>_xlfn.IFNA(INDEX([3]!Table2[NAMA],Table17[[#This Row],[dbconcat]]),"")</f>
        <v>P CASE XLG BD 191-27</v>
      </c>
      <c r="H194" t="str">
        <f>INDEX([3]!Table2[KODE BARANG],Table17[[#This Row],[dbconcat]])</f>
        <v>PCA-XL245</v>
      </c>
      <c r="I194" t="str">
        <f>IF(Table17[[#This Row],[Column3]]="",UPPER(Table17[[#This Row],[Column1]]),Table17[[#This Row],[Column3]])</f>
        <v>P CASE XLG BD 191-27</v>
      </c>
      <c r="J194">
        <f>INDEX(NOTA[C],Sheet1!A:A)</f>
        <v>3</v>
      </c>
      <c r="K194">
        <f>IF(OR(Table17[[#This Row],[Column5]]=0,Table17[[#This Row],[Column3]]=""),"",INDEX([3]!Table2[ISI2],Table17[[#This Row],[dbconcat]]))</f>
        <v>180</v>
      </c>
      <c r="L194" t="str">
        <f>IF(Table17[[#This Row],[isis]]="","",INDEX([3]!Table2[SATUAN3],Table17[[#This Row],[dbconcat]]))</f>
        <v>PCS</v>
      </c>
      <c r="M194" t="str">
        <f>IF(Table17[[#This Row],[Column5]]=0,"",IF(Table17[[#This Row],[Column3]]="",INDEX([3]!db[QTY B],Table17[[#This Row],[//db]]),""))</f>
        <v/>
      </c>
      <c r="N194" t="str">
        <f>IF(Table17[[#This Row],[isin]]="","",INDEX([3]!db[STN B],Table17[[#This Row],[//db]]))</f>
        <v/>
      </c>
      <c r="O194" t="str">
        <f>IF(AND(Table17[[#This Row],[isis]]="",Table17[[#This Row],[isin]]=""),INDEX(NOTA[QTY],Sheet1!A:A)/IF(Table17[[#This Row],[Column5]]=0,1,Table17[[#This Row],[Column5]]),"")</f>
        <v/>
      </c>
      <c r="P194" t="str">
        <f>IF(Table17[[#This Row],[Column2]]="","",INDEX(NOTA[STN],Sheet1!A:A))</f>
        <v/>
      </c>
      <c r="Q194" s="5" t="str">
        <f>INDEX([3]!db[QTY B],Table17[[#This Row],[//db]])</f>
        <v>180</v>
      </c>
      <c r="R194" t="str">
        <f>INDEX([3]!db[STN B],Table17[[#This Row],[//db]])</f>
        <v>PCS</v>
      </c>
      <c r="S194" s="40" t="str">
        <f>IF(Table17[[#This Row],[Column5]]=0,Table17[[#This Row],[Column23]]/Table17[[#This Row],[Column224]],"")</f>
        <v/>
      </c>
      <c r="T194" s="4">
        <f>IF(Table17[[#This Row],[Column222]]="",Table17[[#This Row],[Column5]],Table17[[#This Row],[Column222]])</f>
        <v>3</v>
      </c>
      <c r="U194" s="4" t="str">
        <f>IF(Table17[[#This Row],[Column223]]=Table17[[#This Row],[Column24]],"",1)</f>
        <v/>
      </c>
      <c r="V194" s="5">
        <f>IF(Table17[[#This Row],[isis]]="",IF(Table17[[#This Row],[isin]]="",Table17[[#This Row],[Column2]],Table17[[#This Row],[isin]]),Table17[[#This Row],[isis]])</f>
        <v>180</v>
      </c>
      <c r="W194" s="3" t="str">
        <f>IF(Table17[[#This Row],[isis]]="",IF(Table17[[#This Row],[isin]]="",Table17[[#This Row],[Column22]],Table17[[#This Row],[stnn]]),Table17[[#This Row],[stns]])</f>
        <v>PCS</v>
      </c>
      <c r="X194" s="5">
        <f>IF(Table17[[#This Row],[Column2222]]&lt;1,Table17[[#This Row],[Column23]],Table17[[#This Row],[Column23]]*Table17[[#This Row],[Column2222]])</f>
        <v>540</v>
      </c>
      <c r="Y194" s="3" t="str">
        <f>Table17[[#This Row],[Column24]]</f>
        <v>PCS</v>
      </c>
      <c r="Z194" s="5">
        <f>Table17[[#This Row],[HRG / CTN]]/Table17[[#This Row],[Column23]]</f>
        <v>17000</v>
      </c>
      <c r="AA194" s="42" t="str">
        <f>IF(INDEX(NOTA[DISC 1],Sheet1!A:A)=0,"",INDEX(NOTA[DISC 1],Sheet1!A:A))</f>
        <v/>
      </c>
      <c r="AB194" s="42" t="str">
        <f>IF(INDEX(NOTA[DISC 2],Sheet1!A:A)=0,"",INDEX(NOTA[DISC 2],Sheet1!A:A))</f>
        <v/>
      </c>
      <c r="AC19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4" s="43">
        <f>INDEX(NOTA[HARGA/ CTN_H],Sheet1!A:A)</f>
        <v>3060000</v>
      </c>
      <c r="AE194" s="43">
        <f>IF(Table17[[#This Row],[DISC 3]]="",Table17[[#This Row],[HRG / CTN]],Table17[[#This Row],[HRG / CTN]]-(Table17[[#This Row],[HRG / CTN]]*Table17[[#This Row],[DISC 3]]))</f>
        <v>3060000</v>
      </c>
      <c r="AF194" s="14">
        <f>IF(Table17[[#This Row],[Column2222]]&lt;1,Table17[[#This Row],[Column9]],Table17[[#This Row],[Column9]]*Table17[[#This Row],[Column2222]])</f>
        <v>9180000</v>
      </c>
      <c r="AG194" s="43" t="str">
        <f ca="1">IF(NOT(AL195=Table17[[#This Row],[Column6]]),SUMIF(Table17[Column6],Table17[[#This Row],[Column6]],Table17[Column7]),"")</f>
        <v/>
      </c>
      <c r="AH194" s="44">
        <f ca="1">INDEX(NOTA[TGL_H],Sheet1!A:A)</f>
        <v>45465</v>
      </c>
      <c r="AI194" s="44">
        <f ca="1">INDEX(NOTA[TGL.NOTA_H],Sheet1!A:A)</f>
        <v>45462</v>
      </c>
      <c r="AK194" t="str">
        <f>IF(INDEX(NOTA[KETERANGAN],A:A)="","",INDEX(NOTA[KETERANGAN],A:A))</f>
        <v>DISKON CASH 1.917.000 (2.5%)</v>
      </c>
      <c r="AL194" t="str">
        <f ca="1">INDEX(NOTA[NO.NOTA_H],Sheet1!A:A)</f>
        <v>JUF415/24</v>
      </c>
      <c r="AM194" t="str">
        <f>INDEX(NOTA[KETERANGAN],Sheet1!A:A)</f>
        <v>DISKON CASH 1.917.000 (2.5%)</v>
      </c>
      <c r="AN194" t="str">
        <f ca="1">INDEX(NOTA[SUPPLIER_H],Sheet1!A:A)</f>
        <v>DB STATIONERY</v>
      </c>
      <c r="AO194" t="e">
        <f t="shared" ca="1" si="7"/>
        <v>#N/A</v>
      </c>
    </row>
    <row r="195" spans="1:41">
      <c r="A195" s="3">
        <v>236</v>
      </c>
      <c r="C195">
        <f>INDEX(NOTA[//DB],Sheet1!A:A)</f>
        <v>3430</v>
      </c>
      <c r="D195">
        <f>MATCH(Table17[[#This Row],[//db]],[3]!Table2[\\],0)</f>
        <v>2489</v>
      </c>
      <c r="E195" t="str">
        <f>INDEX([3]!db[NB NOTA],Table17[[#This Row],[//db]])</f>
        <v>TP BD XLG BD193-27</v>
      </c>
      <c r="F195" t="str">
        <f>INDEX([3]!db[NB BM],Table17[[#This Row],[//db]])</f>
        <v>P CASE XLG BD 193-27</v>
      </c>
      <c r="G195" t="str">
        <f>_xlfn.IFNA(INDEX([3]!Table2[NAMA],Table17[[#This Row],[dbconcat]]),"")</f>
        <v>P CASE XLG BD 193-27</v>
      </c>
      <c r="H195" t="str">
        <f>INDEX([3]!Table2[KODE BARANG],Table17[[#This Row],[dbconcat]])</f>
        <v>PCA-XL246</v>
      </c>
      <c r="I195" t="str">
        <f>IF(Table17[[#This Row],[Column3]]="",UPPER(Table17[[#This Row],[Column1]]),Table17[[#This Row],[Column3]])</f>
        <v>P CASE XLG BD 193-27</v>
      </c>
      <c r="J195">
        <f>INDEX(NOTA[C],Sheet1!A:A)</f>
        <v>3</v>
      </c>
      <c r="K195">
        <f>IF(OR(Table17[[#This Row],[Column5]]=0,Table17[[#This Row],[Column3]]=""),"",INDEX([3]!Table2[ISI2],Table17[[#This Row],[dbconcat]]))</f>
        <v>180</v>
      </c>
      <c r="L195" t="str">
        <f>IF(Table17[[#This Row],[isis]]="","",INDEX([3]!Table2[SATUAN3],Table17[[#This Row],[dbconcat]]))</f>
        <v>PCS</v>
      </c>
      <c r="M195" t="str">
        <f>IF(Table17[[#This Row],[Column5]]=0,"",IF(Table17[[#This Row],[Column3]]="",INDEX([3]!db[QTY B],Table17[[#This Row],[//db]]),""))</f>
        <v/>
      </c>
      <c r="N195" t="str">
        <f>IF(Table17[[#This Row],[isin]]="","",INDEX([3]!db[STN B],Table17[[#This Row],[//db]]))</f>
        <v/>
      </c>
      <c r="O195" t="str">
        <f>IF(AND(Table17[[#This Row],[isis]]="",Table17[[#This Row],[isin]]=""),INDEX(NOTA[QTY],Sheet1!A:A)/IF(Table17[[#This Row],[Column5]]=0,1,Table17[[#This Row],[Column5]]),"")</f>
        <v/>
      </c>
      <c r="P195" t="str">
        <f>IF(Table17[[#This Row],[Column2]]="","",INDEX(NOTA[STN],Sheet1!A:A))</f>
        <v/>
      </c>
      <c r="Q195" s="5" t="str">
        <f>INDEX([3]!db[QTY B],Table17[[#This Row],[//db]])</f>
        <v>180</v>
      </c>
      <c r="R195" t="str">
        <f>INDEX([3]!db[STN B],Table17[[#This Row],[//db]])</f>
        <v>PCS</v>
      </c>
      <c r="S195" s="40" t="str">
        <f>IF(Table17[[#This Row],[Column5]]=0,Table17[[#This Row],[Column23]]/Table17[[#This Row],[Column224]],"")</f>
        <v/>
      </c>
      <c r="T195" s="4">
        <f>IF(Table17[[#This Row],[Column222]]="",Table17[[#This Row],[Column5]],Table17[[#This Row],[Column222]])</f>
        <v>3</v>
      </c>
      <c r="U195" s="4" t="str">
        <f>IF(Table17[[#This Row],[Column223]]=Table17[[#This Row],[Column24]],"",1)</f>
        <v/>
      </c>
      <c r="V195" s="5">
        <f>IF(Table17[[#This Row],[isis]]="",IF(Table17[[#This Row],[isin]]="",Table17[[#This Row],[Column2]],Table17[[#This Row],[isin]]),Table17[[#This Row],[isis]])</f>
        <v>180</v>
      </c>
      <c r="W195" s="3" t="str">
        <f>IF(Table17[[#This Row],[isis]]="",IF(Table17[[#This Row],[isin]]="",Table17[[#This Row],[Column22]],Table17[[#This Row],[stnn]]),Table17[[#This Row],[stns]])</f>
        <v>PCS</v>
      </c>
      <c r="X195" s="5">
        <f>IF(Table17[[#This Row],[Column2222]]&lt;1,Table17[[#This Row],[Column23]],Table17[[#This Row],[Column23]]*Table17[[#This Row],[Column2222]])</f>
        <v>540</v>
      </c>
      <c r="Y195" s="3" t="str">
        <f>Table17[[#This Row],[Column24]]</f>
        <v>PCS</v>
      </c>
      <c r="Z195" s="5">
        <f>Table17[[#This Row],[HRG / CTN]]/Table17[[#This Row],[Column23]]</f>
        <v>16000</v>
      </c>
      <c r="AA195" s="42" t="str">
        <f>IF(INDEX(NOTA[DISC 1],Sheet1!A:A)=0,"",INDEX(NOTA[DISC 1],Sheet1!A:A))</f>
        <v/>
      </c>
      <c r="AB195" s="42" t="str">
        <f>IF(INDEX(NOTA[DISC 2],Sheet1!A:A)=0,"",INDEX(NOTA[DISC 2],Sheet1!A:A))</f>
        <v/>
      </c>
      <c r="AC19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5" s="43">
        <f>INDEX(NOTA[HARGA/ CTN_H],Sheet1!A:A)</f>
        <v>2880000</v>
      </c>
      <c r="AE195" s="43">
        <f>IF(Table17[[#This Row],[DISC 3]]="",Table17[[#This Row],[HRG / CTN]],Table17[[#This Row],[HRG / CTN]]-(Table17[[#This Row],[HRG / CTN]]*Table17[[#This Row],[DISC 3]]))</f>
        <v>2880000</v>
      </c>
      <c r="AF195" s="14">
        <f>IF(Table17[[#This Row],[Column2222]]&lt;1,Table17[[#This Row],[Column9]],Table17[[#This Row],[Column9]]*Table17[[#This Row],[Column2222]])</f>
        <v>8640000</v>
      </c>
      <c r="AG195" s="43" t="str">
        <f ca="1">IF(NOT(AL196=Table17[[#This Row],[Column6]]),SUMIF(Table17[Column6],Table17[[#This Row],[Column6]],Table17[Column7]),"")</f>
        <v/>
      </c>
      <c r="AH195" s="44">
        <f ca="1">INDEX(NOTA[TGL_H],Sheet1!A:A)</f>
        <v>45465</v>
      </c>
      <c r="AI195" s="44">
        <f ca="1">INDEX(NOTA[TGL.NOTA_H],Sheet1!A:A)</f>
        <v>45462</v>
      </c>
      <c r="AK195" t="str">
        <f>IF(INDEX(NOTA[KETERANGAN],A:A)="","",INDEX(NOTA[KETERANGAN],A:A))</f>
        <v>DISKON CASH 1.917.000 (2.5%)</v>
      </c>
      <c r="AL195" t="str">
        <f ca="1">INDEX(NOTA[NO.NOTA_H],Sheet1!A:A)</f>
        <v>JUF415/24</v>
      </c>
      <c r="AM195" t="str">
        <f>INDEX(NOTA[KETERANGAN],Sheet1!A:A)</f>
        <v>DISKON CASH 1.917.000 (2.5%)</v>
      </c>
      <c r="AN195" t="str">
        <f ca="1">INDEX(NOTA[SUPPLIER_H],Sheet1!A:A)</f>
        <v>DB STATIONERY</v>
      </c>
      <c r="AO195" t="e">
        <f t="shared" ca="1" si="7"/>
        <v>#N/A</v>
      </c>
    </row>
    <row r="196" spans="1:41">
      <c r="A196" s="3">
        <v>237</v>
      </c>
      <c r="C196">
        <f>INDEX(NOTA[//DB],Sheet1!A:A)</f>
        <v>3431</v>
      </c>
      <c r="D196">
        <f>MATCH(Table17[[#This Row],[//db]],[3]!Table2[\\],0)</f>
        <v>2490</v>
      </c>
      <c r="E196" t="str">
        <f>INDEX([3]!db[NB NOTA],Table17[[#This Row],[//db]])</f>
        <v>TP BD XLG BD194-26</v>
      </c>
      <c r="F196" t="str">
        <f>INDEX([3]!db[NB BM],Table17[[#This Row],[//db]])</f>
        <v>P CASE XLG BD 194-26</v>
      </c>
      <c r="G196" t="str">
        <f>_xlfn.IFNA(INDEX([3]!Table2[NAMA],Table17[[#This Row],[dbconcat]]),"")</f>
        <v>P CASE XLG BD 194-26</v>
      </c>
      <c r="H196" t="str">
        <f>INDEX([3]!Table2[KODE BARANG],Table17[[#This Row],[dbconcat]])</f>
        <v>PCA-XL247</v>
      </c>
      <c r="I196" t="str">
        <f>IF(Table17[[#This Row],[Column3]]="",UPPER(Table17[[#This Row],[Column1]]),Table17[[#This Row],[Column3]])</f>
        <v>P CASE XLG BD 194-26</v>
      </c>
      <c r="J196">
        <f>INDEX(NOTA[C],Sheet1!A:A)</f>
        <v>3</v>
      </c>
      <c r="K196">
        <f>IF(OR(Table17[[#This Row],[Column5]]=0,Table17[[#This Row],[Column3]]=""),"",INDEX([3]!Table2[ISI2],Table17[[#This Row],[dbconcat]]))</f>
        <v>180</v>
      </c>
      <c r="L196" t="str">
        <f>IF(Table17[[#This Row],[isis]]="","",INDEX([3]!Table2[SATUAN3],Table17[[#This Row],[dbconcat]]))</f>
        <v>PCS</v>
      </c>
      <c r="M196" t="str">
        <f>IF(Table17[[#This Row],[Column5]]=0,"",IF(Table17[[#This Row],[Column3]]="",INDEX([3]!db[QTY B],Table17[[#This Row],[//db]]),""))</f>
        <v/>
      </c>
      <c r="N196" t="str">
        <f>IF(Table17[[#This Row],[isin]]="","",INDEX([3]!db[STN B],Table17[[#This Row],[//db]]))</f>
        <v/>
      </c>
      <c r="O196" t="str">
        <f>IF(AND(Table17[[#This Row],[isis]]="",Table17[[#This Row],[isin]]=""),INDEX(NOTA[QTY],Sheet1!A:A)/IF(Table17[[#This Row],[Column5]]=0,1,Table17[[#This Row],[Column5]]),"")</f>
        <v/>
      </c>
      <c r="P196" t="str">
        <f>IF(Table17[[#This Row],[Column2]]="","",INDEX(NOTA[STN],Sheet1!A:A))</f>
        <v/>
      </c>
      <c r="Q196" s="5" t="str">
        <f>INDEX([3]!db[QTY B],Table17[[#This Row],[//db]])</f>
        <v>180</v>
      </c>
      <c r="R196" t="str">
        <f>INDEX([3]!db[STN B],Table17[[#This Row],[//db]])</f>
        <v>PCS</v>
      </c>
      <c r="S196" s="40" t="str">
        <f>IF(Table17[[#This Row],[Column5]]=0,Table17[[#This Row],[Column23]]/Table17[[#This Row],[Column224]],"")</f>
        <v/>
      </c>
      <c r="T196" s="4">
        <f>IF(Table17[[#This Row],[Column222]]="",Table17[[#This Row],[Column5]],Table17[[#This Row],[Column222]])</f>
        <v>3</v>
      </c>
      <c r="U196" s="4" t="str">
        <f>IF(Table17[[#This Row],[Column223]]=Table17[[#This Row],[Column24]],"",1)</f>
        <v/>
      </c>
      <c r="V196" s="5">
        <f>IF(Table17[[#This Row],[isis]]="",IF(Table17[[#This Row],[isin]]="",Table17[[#This Row],[Column2]],Table17[[#This Row],[isin]]),Table17[[#This Row],[isis]])</f>
        <v>180</v>
      </c>
      <c r="W196" s="3" t="str">
        <f>IF(Table17[[#This Row],[isis]]="",IF(Table17[[#This Row],[isin]]="",Table17[[#This Row],[Column22]],Table17[[#This Row],[stnn]]),Table17[[#This Row],[stns]])</f>
        <v>PCS</v>
      </c>
      <c r="X196" s="5">
        <f>IF(Table17[[#This Row],[Column2222]]&lt;1,Table17[[#This Row],[Column23]],Table17[[#This Row],[Column23]]*Table17[[#This Row],[Column2222]])</f>
        <v>540</v>
      </c>
      <c r="Y196" s="3" t="str">
        <f>Table17[[#This Row],[Column24]]</f>
        <v>PCS</v>
      </c>
      <c r="Z196" s="5">
        <f>Table17[[#This Row],[HRG / CTN]]/Table17[[#This Row],[Column23]]</f>
        <v>16000</v>
      </c>
      <c r="AA196" s="42" t="str">
        <f>IF(INDEX(NOTA[DISC 1],Sheet1!A:A)=0,"",INDEX(NOTA[DISC 1],Sheet1!A:A))</f>
        <v/>
      </c>
      <c r="AB196" s="42" t="str">
        <f>IF(INDEX(NOTA[DISC 2],Sheet1!A:A)=0,"",INDEX(NOTA[DISC 2],Sheet1!A:A))</f>
        <v/>
      </c>
      <c r="AC19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6" s="43">
        <f>INDEX(NOTA[HARGA/ CTN_H],Sheet1!A:A)</f>
        <v>2880000</v>
      </c>
      <c r="AE196" s="43">
        <f>IF(Table17[[#This Row],[DISC 3]]="",Table17[[#This Row],[HRG / CTN]],Table17[[#This Row],[HRG / CTN]]-(Table17[[#This Row],[HRG / CTN]]*Table17[[#This Row],[DISC 3]]))</f>
        <v>2880000</v>
      </c>
      <c r="AF196" s="14">
        <f>IF(Table17[[#This Row],[Column2222]]&lt;1,Table17[[#This Row],[Column9]],Table17[[#This Row],[Column9]]*Table17[[#This Row],[Column2222]])</f>
        <v>8640000</v>
      </c>
      <c r="AG196" s="43" t="str">
        <f ca="1">IF(NOT(AL197=Table17[[#This Row],[Column6]]),SUMIF(Table17[Column6],Table17[[#This Row],[Column6]],Table17[Column7]),"")</f>
        <v/>
      </c>
      <c r="AH196" s="44">
        <f ca="1">INDEX(NOTA[TGL_H],Sheet1!A:A)</f>
        <v>45465</v>
      </c>
      <c r="AI196" s="44">
        <f ca="1">INDEX(NOTA[TGL.NOTA_H],Sheet1!A:A)</f>
        <v>45462</v>
      </c>
      <c r="AK196" t="str">
        <f>IF(INDEX(NOTA[KETERANGAN],A:A)="","",INDEX(NOTA[KETERANGAN],A:A))</f>
        <v>DISKON CASH 1.917.000 (2.5%)</v>
      </c>
      <c r="AL196" t="str">
        <f ca="1">INDEX(NOTA[NO.NOTA_H],Sheet1!A:A)</f>
        <v>JUF415/24</v>
      </c>
      <c r="AM196" t="str">
        <f>INDEX(NOTA[KETERANGAN],Sheet1!A:A)</f>
        <v>DISKON CASH 1.917.000 (2.5%)</v>
      </c>
      <c r="AN196" t="str">
        <f ca="1">INDEX(NOTA[SUPPLIER_H],Sheet1!A:A)</f>
        <v>DB STATIONERY</v>
      </c>
      <c r="AO196" t="e">
        <f t="shared" ca="1" si="7"/>
        <v>#N/A</v>
      </c>
    </row>
    <row r="197" spans="1:41">
      <c r="A197" s="3">
        <v>238</v>
      </c>
      <c r="C197">
        <f>INDEX(NOTA[//DB],Sheet1!A:A)</f>
        <v>3432</v>
      </c>
      <c r="D197">
        <f>MATCH(Table17[[#This Row],[//db]],[3]!Table2[\\],0)</f>
        <v>2491</v>
      </c>
      <c r="E197" t="str">
        <f>INDEX([3]!db[NB NOTA],Table17[[#This Row],[//db]])</f>
        <v>TP BD XLG BD931-01</v>
      </c>
      <c r="F197" t="str">
        <f>INDEX([3]!db[NB BM],Table17[[#This Row],[//db]])</f>
        <v>P CASE XLG BD 931-01</v>
      </c>
      <c r="G197" t="str">
        <f>_xlfn.IFNA(INDEX([3]!Table2[NAMA],Table17[[#This Row],[dbconcat]]),"")</f>
        <v>P CASE XLG BD 931-01</v>
      </c>
      <c r="H197" t="str">
        <f>INDEX([3]!Table2[KODE BARANG],Table17[[#This Row],[dbconcat]])</f>
        <v>PCA-XL248</v>
      </c>
      <c r="I197" t="str">
        <f>IF(Table17[[#This Row],[Column3]]="",UPPER(Table17[[#This Row],[Column1]]),Table17[[#This Row],[Column3]])</f>
        <v>P CASE XLG BD 931-01</v>
      </c>
      <c r="J197">
        <f>INDEX(NOTA[C],Sheet1!A:A)</f>
        <v>3</v>
      </c>
      <c r="K197">
        <f>IF(OR(Table17[[#This Row],[Column5]]=0,Table17[[#This Row],[Column3]]=""),"",INDEX([3]!Table2[ISI2],Table17[[#This Row],[dbconcat]]))</f>
        <v>180</v>
      </c>
      <c r="L197" t="str">
        <f>IF(Table17[[#This Row],[isis]]="","",INDEX([3]!Table2[SATUAN3],Table17[[#This Row],[dbconcat]]))</f>
        <v>PCS</v>
      </c>
      <c r="M197" t="str">
        <f>IF(Table17[[#This Row],[Column5]]=0,"",IF(Table17[[#This Row],[Column3]]="",INDEX([3]!db[QTY B],Table17[[#This Row],[//db]]),""))</f>
        <v/>
      </c>
      <c r="N197" t="str">
        <f>IF(Table17[[#This Row],[isin]]="","",INDEX([3]!db[STN B],Table17[[#This Row],[//db]]))</f>
        <v/>
      </c>
      <c r="O197" t="str">
        <f>IF(AND(Table17[[#This Row],[isis]]="",Table17[[#This Row],[isin]]=""),INDEX(NOTA[QTY],Sheet1!A:A)/IF(Table17[[#This Row],[Column5]]=0,1,Table17[[#This Row],[Column5]]),"")</f>
        <v/>
      </c>
      <c r="P197" t="str">
        <f>IF(Table17[[#This Row],[Column2]]="","",INDEX(NOTA[STN],Sheet1!A:A))</f>
        <v/>
      </c>
      <c r="Q197" s="5" t="str">
        <f>INDEX([3]!db[QTY B],Table17[[#This Row],[//db]])</f>
        <v>180</v>
      </c>
      <c r="R197" t="str">
        <f>INDEX([3]!db[STN B],Table17[[#This Row],[//db]])</f>
        <v>PCS</v>
      </c>
      <c r="S197" s="40" t="str">
        <f>IF(Table17[[#This Row],[Column5]]=0,Table17[[#This Row],[Column23]]/Table17[[#This Row],[Column224]],"")</f>
        <v/>
      </c>
      <c r="T197" s="4">
        <f>IF(Table17[[#This Row],[Column222]]="",Table17[[#This Row],[Column5]],Table17[[#This Row],[Column222]])</f>
        <v>3</v>
      </c>
      <c r="U197" s="4" t="str">
        <f>IF(Table17[[#This Row],[Column223]]=Table17[[#This Row],[Column24]],"",1)</f>
        <v/>
      </c>
      <c r="V197" s="5">
        <f>IF(Table17[[#This Row],[isis]]="",IF(Table17[[#This Row],[isin]]="",Table17[[#This Row],[Column2]],Table17[[#This Row],[isin]]),Table17[[#This Row],[isis]])</f>
        <v>180</v>
      </c>
      <c r="W197" s="3" t="str">
        <f>IF(Table17[[#This Row],[isis]]="",IF(Table17[[#This Row],[isin]]="",Table17[[#This Row],[Column22]],Table17[[#This Row],[stnn]]),Table17[[#This Row],[stns]])</f>
        <v>PCS</v>
      </c>
      <c r="X197" s="5">
        <f>IF(Table17[[#This Row],[Column2222]]&lt;1,Table17[[#This Row],[Column23]],Table17[[#This Row],[Column23]]*Table17[[#This Row],[Column2222]])</f>
        <v>540</v>
      </c>
      <c r="Y197" s="3" t="str">
        <f>Table17[[#This Row],[Column24]]</f>
        <v>PCS</v>
      </c>
      <c r="Z197" s="5">
        <f>Table17[[#This Row],[HRG / CTN]]/Table17[[#This Row],[Column23]]</f>
        <v>18500</v>
      </c>
      <c r="AA197" s="42" t="str">
        <f>IF(INDEX(NOTA[DISC 1],Sheet1!A:A)=0,"",INDEX(NOTA[DISC 1],Sheet1!A:A))</f>
        <v/>
      </c>
      <c r="AB197" s="42" t="str">
        <f>IF(INDEX(NOTA[DISC 2],Sheet1!A:A)=0,"",INDEX(NOTA[DISC 2],Sheet1!A:A))</f>
        <v/>
      </c>
      <c r="AC19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7" s="43">
        <f>INDEX(NOTA[HARGA/ CTN_H],Sheet1!A:A)</f>
        <v>3330000</v>
      </c>
      <c r="AE197" s="43">
        <f>IF(Table17[[#This Row],[DISC 3]]="",Table17[[#This Row],[HRG / CTN]],Table17[[#This Row],[HRG / CTN]]-(Table17[[#This Row],[HRG / CTN]]*Table17[[#This Row],[DISC 3]]))</f>
        <v>3330000</v>
      </c>
      <c r="AF197" s="14">
        <f>IF(Table17[[#This Row],[Column2222]]&lt;1,Table17[[#This Row],[Column9]],Table17[[#This Row],[Column9]]*Table17[[#This Row],[Column2222]])</f>
        <v>9990000</v>
      </c>
      <c r="AG197" s="43" t="str">
        <f ca="1">IF(NOT(AL198=Table17[[#This Row],[Column6]]),SUMIF(Table17[Column6],Table17[[#This Row],[Column6]],Table17[Column7]),"")</f>
        <v/>
      </c>
      <c r="AH197" s="44">
        <f ca="1">INDEX(NOTA[TGL_H],Sheet1!A:A)</f>
        <v>45465</v>
      </c>
      <c r="AI197" s="44">
        <f ca="1">INDEX(NOTA[TGL.NOTA_H],Sheet1!A:A)</f>
        <v>45462</v>
      </c>
      <c r="AK197" t="str">
        <f>IF(INDEX(NOTA[KETERANGAN],A:A)="","",INDEX(NOTA[KETERANGAN],A:A))</f>
        <v>DISKON CASH 1.917.000 (2.5%)</v>
      </c>
      <c r="AL197" t="str">
        <f ca="1">INDEX(NOTA[NO.NOTA_H],Sheet1!A:A)</f>
        <v>JUF415/24</v>
      </c>
      <c r="AM197" t="str">
        <f>INDEX(NOTA[KETERANGAN],Sheet1!A:A)</f>
        <v>DISKON CASH 1.917.000 (2.5%)</v>
      </c>
      <c r="AN197" t="str">
        <f ca="1">INDEX(NOTA[SUPPLIER_H],Sheet1!A:A)</f>
        <v>DB STATIONERY</v>
      </c>
      <c r="AO197" t="e">
        <f t="shared" ca="1" si="7"/>
        <v>#N/A</v>
      </c>
    </row>
    <row r="198" spans="1:41">
      <c r="A198" s="3">
        <v>239</v>
      </c>
      <c r="C198">
        <f>INDEX(NOTA[//DB],Sheet1!A:A)</f>
        <v>3433</v>
      </c>
      <c r="D198">
        <f>MATCH(Table17[[#This Row],[//db]],[3]!Table2[\\],0)</f>
        <v>2492</v>
      </c>
      <c r="E198" t="str">
        <f>INDEX([3]!db[NB NOTA],Table17[[#This Row],[//db]])</f>
        <v>TP BD XLG BD932-F</v>
      </c>
      <c r="F198" t="str">
        <f>INDEX([3]!db[NB BM],Table17[[#This Row],[//db]])</f>
        <v>P CASE XLG BD 932-F</v>
      </c>
      <c r="G198" t="str">
        <f>_xlfn.IFNA(INDEX([3]!Table2[NAMA],Table17[[#This Row],[dbconcat]]),"")</f>
        <v>P CASE XLG BD 932-F</v>
      </c>
      <c r="H198" t="str">
        <f>INDEX([3]!Table2[KODE BARANG],Table17[[#This Row],[dbconcat]])</f>
        <v>PCA-XL249</v>
      </c>
      <c r="I198" t="str">
        <f>IF(Table17[[#This Row],[Column3]]="",UPPER(Table17[[#This Row],[Column1]]),Table17[[#This Row],[Column3]])</f>
        <v>P CASE XLG BD 932-F</v>
      </c>
      <c r="J198">
        <f>INDEX(NOTA[C],Sheet1!A:A)</f>
        <v>3</v>
      </c>
      <c r="K198">
        <f>IF(OR(Table17[[#This Row],[Column5]]=0,Table17[[#This Row],[Column3]]=""),"",INDEX([3]!Table2[ISI2],Table17[[#This Row],[dbconcat]]))</f>
        <v>180</v>
      </c>
      <c r="L198" t="str">
        <f>IF(Table17[[#This Row],[isis]]="","",INDEX([3]!Table2[SATUAN3],Table17[[#This Row],[dbconcat]]))</f>
        <v>PCS</v>
      </c>
      <c r="M198" t="str">
        <f>IF(Table17[[#This Row],[Column5]]=0,"",IF(Table17[[#This Row],[Column3]]="",INDEX([3]!db[QTY B],Table17[[#This Row],[//db]]),""))</f>
        <v/>
      </c>
      <c r="N198" t="str">
        <f>IF(Table17[[#This Row],[isin]]="","",INDEX([3]!db[STN B],Table17[[#This Row],[//db]]))</f>
        <v/>
      </c>
      <c r="O198" t="str">
        <f>IF(AND(Table17[[#This Row],[isis]]="",Table17[[#This Row],[isin]]=""),INDEX(NOTA[QTY],Sheet1!A:A)/IF(Table17[[#This Row],[Column5]]=0,1,Table17[[#This Row],[Column5]]),"")</f>
        <v/>
      </c>
      <c r="P198" t="str">
        <f>IF(Table17[[#This Row],[Column2]]="","",INDEX(NOTA[STN],Sheet1!A:A))</f>
        <v/>
      </c>
      <c r="Q198" s="5" t="str">
        <f>INDEX([3]!db[QTY B],Table17[[#This Row],[//db]])</f>
        <v>180</v>
      </c>
      <c r="R198" t="str">
        <f>INDEX([3]!db[STN B],Table17[[#This Row],[//db]])</f>
        <v>PCS</v>
      </c>
      <c r="S198" s="40" t="str">
        <f>IF(Table17[[#This Row],[Column5]]=0,Table17[[#This Row],[Column23]]/Table17[[#This Row],[Column224]],"")</f>
        <v/>
      </c>
      <c r="T198" s="4">
        <f>IF(Table17[[#This Row],[Column222]]="",Table17[[#This Row],[Column5]],Table17[[#This Row],[Column222]])</f>
        <v>3</v>
      </c>
      <c r="U198" s="4" t="str">
        <f>IF(Table17[[#This Row],[Column223]]=Table17[[#This Row],[Column24]],"",1)</f>
        <v/>
      </c>
      <c r="V198" s="5">
        <f>IF(Table17[[#This Row],[isis]]="",IF(Table17[[#This Row],[isin]]="",Table17[[#This Row],[Column2]],Table17[[#This Row],[isin]]),Table17[[#This Row],[isis]])</f>
        <v>180</v>
      </c>
      <c r="W198" s="3" t="str">
        <f>IF(Table17[[#This Row],[isis]]="",IF(Table17[[#This Row],[isin]]="",Table17[[#This Row],[Column22]],Table17[[#This Row],[stnn]]),Table17[[#This Row],[stns]])</f>
        <v>PCS</v>
      </c>
      <c r="X198" s="5">
        <f>IF(Table17[[#This Row],[Column2222]]&lt;1,Table17[[#This Row],[Column23]],Table17[[#This Row],[Column23]]*Table17[[#This Row],[Column2222]])</f>
        <v>540</v>
      </c>
      <c r="Y198" s="3" t="str">
        <f>Table17[[#This Row],[Column24]]</f>
        <v>PCS</v>
      </c>
      <c r="Z198" s="5">
        <f>Table17[[#This Row],[HRG / CTN]]/Table17[[#This Row],[Column23]]</f>
        <v>23500</v>
      </c>
      <c r="AA198" s="42" t="str">
        <f>IF(INDEX(NOTA[DISC 1],Sheet1!A:A)=0,"",INDEX(NOTA[DISC 1],Sheet1!A:A))</f>
        <v/>
      </c>
      <c r="AB198" s="42" t="str">
        <f>IF(INDEX(NOTA[DISC 2],Sheet1!A:A)=0,"",INDEX(NOTA[DISC 2],Sheet1!A:A))</f>
        <v/>
      </c>
      <c r="AC19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8" s="43">
        <f>INDEX(NOTA[HARGA/ CTN_H],Sheet1!A:A)</f>
        <v>4230000</v>
      </c>
      <c r="AE198" s="43">
        <f>IF(Table17[[#This Row],[DISC 3]]="",Table17[[#This Row],[HRG / CTN]],Table17[[#This Row],[HRG / CTN]]-(Table17[[#This Row],[HRG / CTN]]*Table17[[#This Row],[DISC 3]]))</f>
        <v>4230000</v>
      </c>
      <c r="AF198" s="14">
        <f>IF(Table17[[#This Row],[Column2222]]&lt;1,Table17[[#This Row],[Column9]],Table17[[#This Row],[Column9]]*Table17[[#This Row],[Column2222]])</f>
        <v>12690000</v>
      </c>
      <c r="AG198" s="43" t="str">
        <f ca="1">IF(NOT(AL199=Table17[[#This Row],[Column6]]),SUMIF(Table17[Column6],Table17[[#This Row],[Column6]],Table17[Column7]),"")</f>
        <v/>
      </c>
      <c r="AH198" s="44">
        <f ca="1">INDEX(NOTA[TGL_H],Sheet1!A:A)</f>
        <v>45465</v>
      </c>
      <c r="AI198" s="44">
        <f ca="1">INDEX(NOTA[TGL.NOTA_H],Sheet1!A:A)</f>
        <v>45462</v>
      </c>
      <c r="AK198" t="str">
        <f>IF(INDEX(NOTA[KETERANGAN],A:A)="","",INDEX(NOTA[KETERANGAN],A:A))</f>
        <v>DISKON CASH 1.917.000 (2.5%)</v>
      </c>
      <c r="AL198" t="str">
        <f ca="1">INDEX(NOTA[NO.NOTA_H],Sheet1!A:A)</f>
        <v>JUF415/24</v>
      </c>
      <c r="AM198" t="str">
        <f>INDEX(NOTA[KETERANGAN],Sheet1!A:A)</f>
        <v>DISKON CASH 1.917.000 (2.5%)</v>
      </c>
      <c r="AN198" t="str">
        <f ca="1">INDEX(NOTA[SUPPLIER_H],Sheet1!A:A)</f>
        <v>DB STATIONERY</v>
      </c>
      <c r="AO198" t="e">
        <f t="shared" ca="1" si="7"/>
        <v>#N/A</v>
      </c>
    </row>
    <row r="199" spans="1:41">
      <c r="A199" s="3">
        <v>240</v>
      </c>
      <c r="C199">
        <f>INDEX(NOTA[//DB],Sheet1!A:A)</f>
        <v>3434</v>
      </c>
      <c r="D199">
        <f>MATCH(Table17[[#This Row],[//db]],[3]!Table2[\\],0)</f>
        <v>2493</v>
      </c>
      <c r="E199" t="str">
        <f>INDEX([3]!db[NB NOTA],Table17[[#This Row],[//db]])</f>
        <v>TP BD XLG BD331-23</v>
      </c>
      <c r="F199" t="str">
        <f>INDEX([3]!db[NB BM],Table17[[#This Row],[//db]])</f>
        <v>P CASE XLG BD 331-23</v>
      </c>
      <c r="G199" t="str">
        <f>_xlfn.IFNA(INDEX([3]!Table2[NAMA],Table17[[#This Row],[dbconcat]]),"")</f>
        <v>P CASE XLG BD 331-23</v>
      </c>
      <c r="H199" t="str">
        <f>INDEX([3]!Table2[KODE BARANG],Table17[[#This Row],[dbconcat]])</f>
        <v>PCA-XL250</v>
      </c>
      <c r="I199" t="str">
        <f>IF(Table17[[#This Row],[Column3]]="",UPPER(Table17[[#This Row],[Column1]]),Table17[[#This Row],[Column3]])</f>
        <v>P CASE XLG BD 331-23</v>
      </c>
      <c r="J199">
        <f>INDEX(NOTA[C],Sheet1!A:A)</f>
        <v>3</v>
      </c>
      <c r="K199">
        <f>IF(OR(Table17[[#This Row],[Column5]]=0,Table17[[#This Row],[Column3]]=""),"",INDEX([3]!Table2[ISI2],Table17[[#This Row],[dbconcat]]))</f>
        <v>180</v>
      </c>
      <c r="L199" t="str">
        <f>IF(Table17[[#This Row],[isis]]="","",INDEX([3]!Table2[SATUAN3],Table17[[#This Row],[dbconcat]]))</f>
        <v>PCS</v>
      </c>
      <c r="M199" t="str">
        <f>IF(Table17[[#This Row],[Column5]]=0,"",IF(Table17[[#This Row],[Column3]]="",INDEX([3]!db[QTY B],Table17[[#This Row],[//db]]),""))</f>
        <v/>
      </c>
      <c r="N199" t="str">
        <f>IF(Table17[[#This Row],[isin]]="","",INDEX([3]!db[STN B],Table17[[#This Row],[//db]]))</f>
        <v/>
      </c>
      <c r="O199" t="str">
        <f>IF(AND(Table17[[#This Row],[isis]]="",Table17[[#This Row],[isin]]=""),INDEX(NOTA[QTY],Sheet1!A:A)/IF(Table17[[#This Row],[Column5]]=0,1,Table17[[#This Row],[Column5]]),"")</f>
        <v/>
      </c>
      <c r="P199" t="str">
        <f>IF(Table17[[#This Row],[Column2]]="","",INDEX(NOTA[STN],Sheet1!A:A))</f>
        <v/>
      </c>
      <c r="Q199" s="5" t="str">
        <f>INDEX([3]!db[QTY B],Table17[[#This Row],[//db]])</f>
        <v>180</v>
      </c>
      <c r="R199" t="str">
        <f>INDEX([3]!db[STN B],Table17[[#This Row],[//db]])</f>
        <v>PCS</v>
      </c>
      <c r="S199" s="40" t="str">
        <f>IF(Table17[[#This Row],[Column5]]=0,Table17[[#This Row],[Column23]]/Table17[[#This Row],[Column224]],"")</f>
        <v/>
      </c>
      <c r="T199" s="4">
        <f>IF(Table17[[#This Row],[Column222]]="",Table17[[#This Row],[Column5]],Table17[[#This Row],[Column222]])</f>
        <v>3</v>
      </c>
      <c r="U199" s="4" t="str">
        <f>IF(Table17[[#This Row],[Column223]]=Table17[[#This Row],[Column24]],"",1)</f>
        <v/>
      </c>
      <c r="V199" s="5">
        <f>IF(Table17[[#This Row],[isis]]="",IF(Table17[[#This Row],[isin]]="",Table17[[#This Row],[Column2]],Table17[[#This Row],[isin]]),Table17[[#This Row],[isis]])</f>
        <v>180</v>
      </c>
      <c r="W199" s="3" t="str">
        <f>IF(Table17[[#This Row],[isis]]="",IF(Table17[[#This Row],[isin]]="",Table17[[#This Row],[Column22]],Table17[[#This Row],[stnn]]),Table17[[#This Row],[stns]])</f>
        <v>PCS</v>
      </c>
      <c r="X199" s="5">
        <f>IF(Table17[[#This Row],[Column2222]]&lt;1,Table17[[#This Row],[Column23]],Table17[[#This Row],[Column23]]*Table17[[#This Row],[Column2222]])</f>
        <v>540</v>
      </c>
      <c r="Y199" s="3" t="str">
        <f>Table17[[#This Row],[Column24]]</f>
        <v>PCS</v>
      </c>
      <c r="Z199" s="5">
        <f>Table17[[#This Row],[HRG / CTN]]/Table17[[#This Row],[Column23]]</f>
        <v>11000</v>
      </c>
      <c r="AA199" s="42" t="str">
        <f>IF(INDEX(NOTA[DISC 1],Sheet1!A:A)=0,"",INDEX(NOTA[DISC 1],Sheet1!A:A))</f>
        <v/>
      </c>
      <c r="AB199" s="42" t="str">
        <f>IF(INDEX(NOTA[DISC 2],Sheet1!A:A)=0,"",INDEX(NOTA[DISC 2],Sheet1!A:A))</f>
        <v/>
      </c>
      <c r="AC19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9" s="43">
        <f>INDEX(NOTA[HARGA/ CTN_H],Sheet1!A:A)</f>
        <v>1980000</v>
      </c>
      <c r="AE199" s="43">
        <f>IF(Table17[[#This Row],[DISC 3]]="",Table17[[#This Row],[HRG / CTN]],Table17[[#This Row],[HRG / CTN]]-(Table17[[#This Row],[HRG / CTN]]*Table17[[#This Row],[DISC 3]]))</f>
        <v>1980000</v>
      </c>
      <c r="AF199" s="14">
        <f>IF(Table17[[#This Row],[Column2222]]&lt;1,Table17[[#This Row],[Column9]],Table17[[#This Row],[Column9]]*Table17[[#This Row],[Column2222]])</f>
        <v>5940000</v>
      </c>
      <c r="AG199" s="43">
        <f ca="1">IF(NOT(AL200=Table17[[#This Row],[Column6]]),SUMIF(Table17[Column6],Table17[[#This Row],[Column6]],Table17[Column7]),"")</f>
        <v>76680000</v>
      </c>
      <c r="AH199" s="44">
        <f ca="1">INDEX(NOTA[TGL_H],Sheet1!A:A)</f>
        <v>45465</v>
      </c>
      <c r="AI199" s="44">
        <f ca="1">INDEX(NOTA[TGL.NOTA_H],Sheet1!A:A)</f>
        <v>45462</v>
      </c>
      <c r="AK199" t="str">
        <f>IF(INDEX(NOTA[KETERANGAN],A:A)="","",INDEX(NOTA[KETERANGAN],A:A))</f>
        <v>DISKON CASH 1.917.000 (2.5%)</v>
      </c>
      <c r="AL199" t="str">
        <f ca="1">INDEX(NOTA[NO.NOTA_H],Sheet1!A:A)</f>
        <v>JUF415/24</v>
      </c>
      <c r="AM199" t="str">
        <f>INDEX(NOTA[KETERANGAN],Sheet1!A:A)</f>
        <v>DISKON CASH 1.917.000 (2.5%)</v>
      </c>
      <c r="AN199" t="str">
        <f ca="1">INDEX(NOTA[SUPPLIER_H],Sheet1!A:A)</f>
        <v>DB STATIONERY</v>
      </c>
      <c r="AO199" t="e">
        <f t="shared" ca="1" si="7"/>
        <v>#N/A</v>
      </c>
    </row>
    <row r="200" spans="1:41">
      <c r="A200" s="3">
        <v>242</v>
      </c>
      <c r="C200">
        <f>INDEX(NOTA[//DB],Sheet1!A:A)</f>
        <v>3406</v>
      </c>
      <c r="D200">
        <f>MATCH(Table17[[#This Row],[//db]],[3]!Table2[\\],0)</f>
        <v>342</v>
      </c>
      <c r="E200" t="str">
        <f>INDEX([3]!db[NB NOTA],Table17[[#This Row],[//db]])</f>
        <v>BINDER NOTE FANCY SLIP A5-1903CT/ VINTAGE</v>
      </c>
      <c r="F200" t="str">
        <f>INDEX([3]!db[NB BM],Table17[[#This Row],[//db]])</f>
        <v>BINDER NOTE FANCY SLIP A5-1903CT/ VINTAGE</v>
      </c>
      <c r="G200" t="str">
        <f>_xlfn.IFNA(INDEX([3]!Table2[NAMA],Table17[[#This Row],[dbconcat]]),"")</f>
        <v>BINDER NOTE FANCY SLIP A5-1903CT/ VINTAGE</v>
      </c>
      <c r="H200" t="str">
        <f>INDEX([3]!Table2[KODE BARANG],Table17[[#This Row],[dbconcat]])</f>
        <v>BIN-NB26</v>
      </c>
      <c r="I200" t="str">
        <f>IF(Table17[[#This Row],[Column3]]="",UPPER(Table17[[#This Row],[Column1]]),Table17[[#This Row],[Column3]])</f>
        <v>BINDER NOTE FANCY SLIP A5-1903CT/ VINTAGE</v>
      </c>
      <c r="J200">
        <f>INDEX(NOTA[C],Sheet1!A:A)</f>
        <v>1</v>
      </c>
      <c r="K200">
        <f>IF(OR(Table17[[#This Row],[Column5]]=0,Table17[[#This Row],[Column3]]=""),"",INDEX([3]!Table2[ISI2],Table17[[#This Row],[dbconcat]]))</f>
        <v>120</v>
      </c>
      <c r="L200" t="str">
        <f>IF(Table17[[#This Row],[isis]]="","",INDEX([3]!Table2[SATUAN3],Table17[[#This Row],[dbconcat]]))</f>
        <v>PCS</v>
      </c>
      <c r="M200" t="str">
        <f>IF(Table17[[#This Row],[Column5]]=0,"",IF(Table17[[#This Row],[Column3]]="",INDEX([3]!db[QTY B],Table17[[#This Row],[//db]]),""))</f>
        <v/>
      </c>
      <c r="N200" t="str">
        <f>IF(Table17[[#This Row],[isin]]="","",INDEX([3]!db[STN B],Table17[[#This Row],[//db]]))</f>
        <v/>
      </c>
      <c r="O200" t="str">
        <f>IF(AND(Table17[[#This Row],[isis]]="",Table17[[#This Row],[isin]]=""),INDEX(NOTA[QTY],Sheet1!A:A)/IF(Table17[[#This Row],[Column5]]=0,1,Table17[[#This Row],[Column5]]),"")</f>
        <v/>
      </c>
      <c r="P200" t="str">
        <f>IF(Table17[[#This Row],[Column2]]="","",INDEX(NOTA[STN],Sheet1!A:A))</f>
        <v/>
      </c>
      <c r="Q200" s="5" t="str">
        <f>INDEX([3]!db[QTY B],Table17[[#This Row],[//db]])</f>
        <v>120</v>
      </c>
      <c r="R200" t="str">
        <f>INDEX([3]!db[STN B],Table17[[#This Row],[//db]])</f>
        <v>PCS</v>
      </c>
      <c r="S200" s="40" t="str">
        <f>IF(Table17[[#This Row],[Column5]]=0,Table17[[#This Row],[Column23]]/Table17[[#This Row],[Column224]],"")</f>
        <v/>
      </c>
      <c r="T200" s="4">
        <f>IF(Table17[[#This Row],[Column222]]="",Table17[[#This Row],[Column5]],Table17[[#This Row],[Column222]])</f>
        <v>1</v>
      </c>
      <c r="U200" s="4" t="str">
        <f>IF(Table17[[#This Row],[Column223]]=Table17[[#This Row],[Column24]],"",1)</f>
        <v/>
      </c>
      <c r="V200" s="5">
        <f>IF(Table17[[#This Row],[isis]]="",IF(Table17[[#This Row],[isin]]="",Table17[[#This Row],[Column2]],Table17[[#This Row],[isin]]),Table17[[#This Row],[isis]])</f>
        <v>120</v>
      </c>
      <c r="W200" s="3" t="str">
        <f>IF(Table17[[#This Row],[isis]]="",IF(Table17[[#This Row],[isin]]="",Table17[[#This Row],[Column22]],Table17[[#This Row],[stnn]]),Table17[[#This Row],[stns]])</f>
        <v>PCS</v>
      </c>
      <c r="X200" s="5">
        <f>IF(Table17[[#This Row],[Column2222]]&lt;1,Table17[[#This Row],[Column23]],Table17[[#This Row],[Column23]]*Table17[[#This Row],[Column2222]])</f>
        <v>120</v>
      </c>
      <c r="Y200" s="3" t="str">
        <f>Table17[[#This Row],[Column24]]</f>
        <v>PCS</v>
      </c>
      <c r="Z200" s="5">
        <f>Table17[[#This Row],[HRG / CTN]]/Table17[[#This Row],[Column23]]</f>
        <v>9500</v>
      </c>
      <c r="AA200" s="42" t="str">
        <f>IF(INDEX(NOTA[DISC 1],Sheet1!A:A)=0,"",INDEX(NOTA[DISC 1],Sheet1!A:A))</f>
        <v/>
      </c>
      <c r="AB200" s="42" t="str">
        <f>IF(INDEX(NOTA[DISC 2],Sheet1!A:A)=0,"",INDEX(NOTA[DISC 2],Sheet1!A:A))</f>
        <v/>
      </c>
      <c r="AC20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0" s="43">
        <f>INDEX(NOTA[HARGA/ CTN_H],Sheet1!A:A)</f>
        <v>1140000</v>
      </c>
      <c r="AE200" s="43">
        <f>IF(Table17[[#This Row],[DISC 3]]="",Table17[[#This Row],[HRG / CTN]],Table17[[#This Row],[HRG / CTN]]-(Table17[[#This Row],[HRG / CTN]]*Table17[[#This Row],[DISC 3]]))</f>
        <v>1140000</v>
      </c>
      <c r="AF200" s="14">
        <f>IF(Table17[[#This Row],[Column2222]]&lt;1,Table17[[#This Row],[Column9]],Table17[[#This Row],[Column9]]*Table17[[#This Row],[Column2222]])</f>
        <v>1140000</v>
      </c>
      <c r="AG200" s="43" t="str">
        <f ca="1">IF(NOT(AL201=Table17[[#This Row],[Column6]]),SUMIF(Table17[Column6],Table17[[#This Row],[Column6]],Table17[Column7]),"")</f>
        <v/>
      </c>
      <c r="AH200" s="44">
        <f ca="1">INDEX(NOTA[TGL_H],Sheet1!A:A)</f>
        <v>45465</v>
      </c>
      <c r="AI200" s="44">
        <f ca="1">INDEX(NOTA[TGL.NOTA_H],Sheet1!A:A)</f>
        <v>45455</v>
      </c>
      <c r="AK200" t="str">
        <f>IF(INDEX(NOTA[KETERANGAN],A:A)="","",INDEX(NOTA[KETERANGAN],A:A))</f>
        <v/>
      </c>
      <c r="AL200" t="str">
        <f ca="1">INDEX(NOTA[NO.NOTA_H],Sheet1!A:A)</f>
        <v>WF0295B</v>
      </c>
      <c r="AM200">
        <f>INDEX(NOTA[KETERANGAN],Sheet1!A:A)</f>
        <v>0</v>
      </c>
      <c r="AN200" t="str">
        <f ca="1">INDEX(NOTA[SUPPLIER_H],Sheet1!A:A)</f>
        <v>SBS</v>
      </c>
      <c r="AO200" t="e">
        <f t="shared" ca="1" si="7"/>
        <v>#N/A</v>
      </c>
    </row>
    <row r="201" spans="1:41">
      <c r="A201" s="3">
        <v>243</v>
      </c>
      <c r="C201">
        <f>INDEX(NOTA[//DB],Sheet1!A:A)</f>
        <v>3407</v>
      </c>
      <c r="D201">
        <f>MATCH(Table17[[#This Row],[//db]],[3]!Table2[\\],0)</f>
        <v>343</v>
      </c>
      <c r="E201" t="str">
        <f>INDEX([3]!db[NB NOTA],Table17[[#This Row],[//db]])</f>
        <v>BINDER NOTE FANCY SLIP A5-19030C/ OLD CITY</v>
      </c>
      <c r="F201" t="str">
        <f>INDEX([3]!db[NB BM],Table17[[#This Row],[//db]])</f>
        <v>BINDER NOTE FANCY SLIP A5-19030C/ OLD CITY</v>
      </c>
      <c r="G201" t="str">
        <f>_xlfn.IFNA(INDEX([3]!Table2[NAMA],Table17[[#This Row],[dbconcat]]),"")</f>
        <v>BINDER NOTE FANCY SLIP A5-19030C/ OLD CITY</v>
      </c>
      <c r="H201" t="str">
        <f>INDEX([3]!Table2[KODE BARANG],Table17[[#This Row],[dbconcat]])</f>
        <v>BIN-NB27</v>
      </c>
      <c r="I201" t="str">
        <f>IF(Table17[[#This Row],[Column3]]="",UPPER(Table17[[#This Row],[Column1]]),Table17[[#This Row],[Column3]])</f>
        <v>BINDER NOTE FANCY SLIP A5-19030C/ OLD CITY</v>
      </c>
      <c r="J201">
        <f>INDEX(NOTA[C],Sheet1!A:A)</f>
        <v>1</v>
      </c>
      <c r="K201">
        <f>IF(OR(Table17[[#This Row],[Column5]]=0,Table17[[#This Row],[Column3]]=""),"",INDEX([3]!Table2[ISI2],Table17[[#This Row],[dbconcat]]))</f>
        <v>120</v>
      </c>
      <c r="L201" t="str">
        <f>IF(Table17[[#This Row],[isis]]="","",INDEX([3]!Table2[SATUAN3],Table17[[#This Row],[dbconcat]]))</f>
        <v>PCS</v>
      </c>
      <c r="M201" t="str">
        <f>IF(Table17[[#This Row],[Column5]]=0,"",IF(Table17[[#This Row],[Column3]]="",INDEX([3]!db[QTY B],Table17[[#This Row],[//db]]),""))</f>
        <v/>
      </c>
      <c r="N201" t="str">
        <f>IF(Table17[[#This Row],[isin]]="","",INDEX([3]!db[STN B],Table17[[#This Row],[//db]]))</f>
        <v/>
      </c>
      <c r="O201" t="str">
        <f>IF(AND(Table17[[#This Row],[isis]]="",Table17[[#This Row],[isin]]=""),INDEX(NOTA[QTY],Sheet1!A:A)/IF(Table17[[#This Row],[Column5]]=0,1,Table17[[#This Row],[Column5]]),"")</f>
        <v/>
      </c>
      <c r="P201" t="str">
        <f>IF(Table17[[#This Row],[Column2]]="","",INDEX(NOTA[STN],Sheet1!A:A))</f>
        <v/>
      </c>
      <c r="Q201" s="5" t="str">
        <f>INDEX([3]!db[QTY B],Table17[[#This Row],[//db]])</f>
        <v>120</v>
      </c>
      <c r="R201" t="str">
        <f>INDEX([3]!db[STN B],Table17[[#This Row],[//db]])</f>
        <v>PCS</v>
      </c>
      <c r="S201" s="40" t="str">
        <f>IF(Table17[[#This Row],[Column5]]=0,Table17[[#This Row],[Column23]]/Table17[[#This Row],[Column224]],"")</f>
        <v/>
      </c>
      <c r="T201" s="4">
        <f>IF(Table17[[#This Row],[Column222]]="",Table17[[#This Row],[Column5]],Table17[[#This Row],[Column222]])</f>
        <v>1</v>
      </c>
      <c r="U201" s="4" t="str">
        <f>IF(Table17[[#This Row],[Column223]]=Table17[[#This Row],[Column24]],"",1)</f>
        <v/>
      </c>
      <c r="V201" s="5">
        <f>IF(Table17[[#This Row],[isis]]="",IF(Table17[[#This Row],[isin]]="",Table17[[#This Row],[Column2]],Table17[[#This Row],[isin]]),Table17[[#This Row],[isis]])</f>
        <v>120</v>
      </c>
      <c r="W201" s="3" t="str">
        <f>IF(Table17[[#This Row],[isis]]="",IF(Table17[[#This Row],[isin]]="",Table17[[#This Row],[Column22]],Table17[[#This Row],[stnn]]),Table17[[#This Row],[stns]])</f>
        <v>PCS</v>
      </c>
      <c r="X201" s="5">
        <f>IF(Table17[[#This Row],[Column2222]]&lt;1,Table17[[#This Row],[Column23]],Table17[[#This Row],[Column23]]*Table17[[#This Row],[Column2222]])</f>
        <v>120</v>
      </c>
      <c r="Y201" s="3" t="str">
        <f>Table17[[#This Row],[Column24]]</f>
        <v>PCS</v>
      </c>
      <c r="Z201" s="5">
        <f>Table17[[#This Row],[HRG / CTN]]/Table17[[#This Row],[Column23]]</f>
        <v>9500</v>
      </c>
      <c r="AA201" s="42" t="str">
        <f>IF(INDEX(NOTA[DISC 1],Sheet1!A:A)=0,"",INDEX(NOTA[DISC 1],Sheet1!A:A))</f>
        <v/>
      </c>
      <c r="AB201" s="42" t="str">
        <f>IF(INDEX(NOTA[DISC 2],Sheet1!A:A)=0,"",INDEX(NOTA[DISC 2],Sheet1!A:A))</f>
        <v/>
      </c>
      <c r="AC20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1" s="43">
        <f>INDEX(NOTA[HARGA/ CTN_H],Sheet1!A:A)</f>
        <v>1140000</v>
      </c>
      <c r="AE201" s="43">
        <f>IF(Table17[[#This Row],[DISC 3]]="",Table17[[#This Row],[HRG / CTN]],Table17[[#This Row],[HRG / CTN]]-(Table17[[#This Row],[HRG / CTN]]*Table17[[#This Row],[DISC 3]]))</f>
        <v>1140000</v>
      </c>
      <c r="AF201" s="14">
        <f>IF(Table17[[#This Row],[Column2222]]&lt;1,Table17[[#This Row],[Column9]],Table17[[#This Row],[Column9]]*Table17[[#This Row],[Column2222]])</f>
        <v>1140000</v>
      </c>
      <c r="AG201" s="43" t="str">
        <f ca="1">IF(NOT(AL202=Table17[[#This Row],[Column6]]),SUMIF(Table17[Column6],Table17[[#This Row],[Column6]],Table17[Column7]),"")</f>
        <v/>
      </c>
      <c r="AH201" s="44">
        <f ca="1">INDEX(NOTA[TGL_H],Sheet1!A:A)</f>
        <v>45465</v>
      </c>
      <c r="AI201" s="44">
        <f ca="1">INDEX(NOTA[TGL.NOTA_H],Sheet1!A:A)</f>
        <v>45455</v>
      </c>
      <c r="AK201" t="str">
        <f>IF(INDEX(NOTA[KETERANGAN],A:A)="","",INDEX(NOTA[KETERANGAN],A:A))</f>
        <v/>
      </c>
      <c r="AL201" t="str">
        <f ca="1">INDEX(NOTA[NO.NOTA_H],Sheet1!A:A)</f>
        <v>WF0295B</v>
      </c>
      <c r="AM201">
        <f>INDEX(NOTA[KETERANGAN],Sheet1!A:A)</f>
        <v>0</v>
      </c>
      <c r="AN201" t="str">
        <f ca="1">INDEX(NOTA[SUPPLIER_H],Sheet1!A:A)</f>
        <v>SBS</v>
      </c>
      <c r="AO201" t="e">
        <f t="shared" ca="1" si="7"/>
        <v>#N/A</v>
      </c>
    </row>
    <row r="202" spans="1:41">
      <c r="A202" s="3">
        <v>244</v>
      </c>
      <c r="C202">
        <f>INDEX(NOTA[//DB],Sheet1!A:A)</f>
        <v>3408</v>
      </c>
      <c r="D202">
        <f>MATCH(Table17[[#This Row],[//db]],[3]!Table2[\\],0)</f>
        <v>344</v>
      </c>
      <c r="E202" t="str">
        <f>INDEX([3]!db[NB NOTA],Table17[[#This Row],[//db]])</f>
        <v>BINDER NOTE FANCY SLIP A5-1903SS/ SKY</v>
      </c>
      <c r="F202" t="str">
        <f>INDEX([3]!db[NB BM],Table17[[#This Row],[//db]])</f>
        <v>BINDER NOTE FANCY SLIP A5-1903SS/ SKY</v>
      </c>
      <c r="G202" t="str">
        <f>_xlfn.IFNA(INDEX([3]!Table2[NAMA],Table17[[#This Row],[dbconcat]]),"")</f>
        <v>BINDER NOTE FANCY SLIP A5-1903SS/ SKY</v>
      </c>
      <c r="H202" t="str">
        <f>INDEX([3]!Table2[KODE BARANG],Table17[[#This Row],[dbconcat]])</f>
        <v>BIN-NB28</v>
      </c>
      <c r="I202" t="str">
        <f>IF(Table17[[#This Row],[Column3]]="",UPPER(Table17[[#This Row],[Column1]]),Table17[[#This Row],[Column3]])</f>
        <v>BINDER NOTE FANCY SLIP A5-1903SS/ SKY</v>
      </c>
      <c r="J202">
        <f>INDEX(NOTA[C],Sheet1!A:A)</f>
        <v>1</v>
      </c>
      <c r="K202">
        <f>IF(OR(Table17[[#This Row],[Column5]]=0,Table17[[#This Row],[Column3]]=""),"",INDEX([3]!Table2[ISI2],Table17[[#This Row],[dbconcat]]))</f>
        <v>120</v>
      </c>
      <c r="L202" t="str">
        <f>IF(Table17[[#This Row],[isis]]="","",INDEX([3]!Table2[SATUAN3],Table17[[#This Row],[dbconcat]]))</f>
        <v>PCS</v>
      </c>
      <c r="M202" t="str">
        <f>IF(Table17[[#This Row],[Column5]]=0,"",IF(Table17[[#This Row],[Column3]]="",INDEX([3]!db[QTY B],Table17[[#This Row],[//db]]),""))</f>
        <v/>
      </c>
      <c r="N202" t="str">
        <f>IF(Table17[[#This Row],[isin]]="","",INDEX([3]!db[STN B],Table17[[#This Row],[//db]]))</f>
        <v/>
      </c>
      <c r="O202" t="str">
        <f>IF(AND(Table17[[#This Row],[isis]]="",Table17[[#This Row],[isin]]=""),INDEX(NOTA[QTY],Sheet1!A:A)/IF(Table17[[#This Row],[Column5]]=0,1,Table17[[#This Row],[Column5]]),"")</f>
        <v/>
      </c>
      <c r="P202" t="str">
        <f>IF(Table17[[#This Row],[Column2]]="","",INDEX(NOTA[STN],Sheet1!A:A))</f>
        <v/>
      </c>
      <c r="Q202" s="5" t="str">
        <f>INDEX([3]!db[QTY B],Table17[[#This Row],[//db]])</f>
        <v>120</v>
      </c>
      <c r="R202" t="str">
        <f>INDEX([3]!db[STN B],Table17[[#This Row],[//db]])</f>
        <v>PCS</v>
      </c>
      <c r="S202" s="40" t="str">
        <f>IF(Table17[[#This Row],[Column5]]=0,Table17[[#This Row],[Column23]]/Table17[[#This Row],[Column224]],"")</f>
        <v/>
      </c>
      <c r="T202" s="4">
        <f>IF(Table17[[#This Row],[Column222]]="",Table17[[#This Row],[Column5]],Table17[[#This Row],[Column222]])</f>
        <v>1</v>
      </c>
      <c r="U202" s="4" t="str">
        <f>IF(Table17[[#This Row],[Column223]]=Table17[[#This Row],[Column24]],"",1)</f>
        <v/>
      </c>
      <c r="V202" s="5">
        <f>IF(Table17[[#This Row],[isis]]="",IF(Table17[[#This Row],[isin]]="",Table17[[#This Row],[Column2]],Table17[[#This Row],[isin]]),Table17[[#This Row],[isis]])</f>
        <v>120</v>
      </c>
      <c r="W202" s="3" t="str">
        <f>IF(Table17[[#This Row],[isis]]="",IF(Table17[[#This Row],[isin]]="",Table17[[#This Row],[Column22]],Table17[[#This Row],[stnn]]),Table17[[#This Row],[stns]])</f>
        <v>PCS</v>
      </c>
      <c r="X202" s="5">
        <f>IF(Table17[[#This Row],[Column2222]]&lt;1,Table17[[#This Row],[Column23]],Table17[[#This Row],[Column23]]*Table17[[#This Row],[Column2222]])</f>
        <v>120</v>
      </c>
      <c r="Y202" s="3" t="str">
        <f>Table17[[#This Row],[Column24]]</f>
        <v>PCS</v>
      </c>
      <c r="Z202" s="5">
        <f>Table17[[#This Row],[HRG / CTN]]/Table17[[#This Row],[Column23]]</f>
        <v>9500</v>
      </c>
      <c r="AA202" s="42" t="str">
        <f>IF(INDEX(NOTA[DISC 1],Sheet1!A:A)=0,"",INDEX(NOTA[DISC 1],Sheet1!A:A))</f>
        <v/>
      </c>
      <c r="AB202" s="42" t="str">
        <f>IF(INDEX(NOTA[DISC 2],Sheet1!A:A)=0,"",INDEX(NOTA[DISC 2],Sheet1!A:A))</f>
        <v/>
      </c>
      <c r="AC20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2" s="43">
        <f>INDEX(NOTA[HARGA/ CTN_H],Sheet1!A:A)</f>
        <v>1140000</v>
      </c>
      <c r="AE202" s="43">
        <f>IF(Table17[[#This Row],[DISC 3]]="",Table17[[#This Row],[HRG / CTN]],Table17[[#This Row],[HRG / CTN]]-(Table17[[#This Row],[HRG / CTN]]*Table17[[#This Row],[DISC 3]]))</f>
        <v>1140000</v>
      </c>
      <c r="AF202" s="14">
        <f>IF(Table17[[#This Row],[Column2222]]&lt;1,Table17[[#This Row],[Column9]],Table17[[#This Row],[Column9]]*Table17[[#This Row],[Column2222]])</f>
        <v>1140000</v>
      </c>
      <c r="AG202" s="43" t="str">
        <f ca="1">IF(NOT(AL203=Table17[[#This Row],[Column6]]),SUMIF(Table17[Column6],Table17[[#This Row],[Column6]],Table17[Column7]),"")</f>
        <v/>
      </c>
      <c r="AH202" s="44">
        <f ca="1">INDEX(NOTA[TGL_H],Sheet1!A:A)</f>
        <v>45465</v>
      </c>
      <c r="AI202" s="44">
        <f ca="1">INDEX(NOTA[TGL.NOTA_H],Sheet1!A:A)</f>
        <v>45455</v>
      </c>
      <c r="AK202" t="str">
        <f>IF(INDEX(NOTA[KETERANGAN],A:A)="","",INDEX(NOTA[KETERANGAN],A:A))</f>
        <v/>
      </c>
      <c r="AL202" t="str">
        <f ca="1">INDEX(NOTA[NO.NOTA_H],Sheet1!A:A)</f>
        <v>WF0295B</v>
      </c>
      <c r="AM202">
        <f>INDEX(NOTA[KETERANGAN],Sheet1!A:A)</f>
        <v>0</v>
      </c>
      <c r="AN202" t="str">
        <f ca="1">INDEX(NOTA[SUPPLIER_H],Sheet1!A:A)</f>
        <v>SBS</v>
      </c>
      <c r="AO202" t="e">
        <f t="shared" ca="1" si="7"/>
        <v>#N/A</v>
      </c>
    </row>
    <row r="203" spans="1:41">
      <c r="A203" s="3">
        <v>245</v>
      </c>
      <c r="C203">
        <f>INDEX(NOTA[//DB],Sheet1!A:A)</f>
        <v>3410</v>
      </c>
      <c r="D203">
        <f>MATCH(Table17[[#This Row],[//db]],[3]!Table2[\\],0)</f>
        <v>346</v>
      </c>
      <c r="E203" t="str">
        <f>INDEX([3]!db[NB NOTA],Table17[[#This Row],[//db]])</f>
        <v>BINDER NOTE FANCY SLIP A5-SF 1925KM/ SR</v>
      </c>
      <c r="F203" t="str">
        <f>INDEX([3]!db[NB BM],Table17[[#This Row],[//db]])</f>
        <v>BINDER NOTE FANCY SLIP A5-SF 1925KM/ SR</v>
      </c>
      <c r="G203" t="str">
        <f>_xlfn.IFNA(INDEX([3]!Table2[NAMA],Table17[[#This Row],[dbconcat]]),"")</f>
        <v>BINDER NOTE FANCY SLIP A5-SF 1925KM/ SR</v>
      </c>
      <c r="H203" t="str">
        <f>INDEX([3]!Table2[KODE BARANG],Table17[[#This Row],[dbconcat]])</f>
        <v>BIN-NB30</v>
      </c>
      <c r="I203" t="str">
        <f>IF(Table17[[#This Row],[Column3]]="",UPPER(Table17[[#This Row],[Column1]]),Table17[[#This Row],[Column3]])</f>
        <v>BINDER NOTE FANCY SLIP A5-SF 1925KM/ SR</v>
      </c>
      <c r="J203">
        <f>INDEX(NOTA[C],Sheet1!A:A)</f>
        <v>3</v>
      </c>
      <c r="K203">
        <f>IF(OR(Table17[[#This Row],[Column5]]=0,Table17[[#This Row],[Column3]]=""),"",INDEX([3]!Table2[ISI2],Table17[[#This Row],[dbconcat]]))</f>
        <v>120</v>
      </c>
      <c r="L203" t="str">
        <f>IF(Table17[[#This Row],[isis]]="","",INDEX([3]!Table2[SATUAN3],Table17[[#This Row],[dbconcat]]))</f>
        <v>PCS</v>
      </c>
      <c r="M203" t="str">
        <f>IF(Table17[[#This Row],[Column5]]=0,"",IF(Table17[[#This Row],[Column3]]="",INDEX([3]!db[QTY B],Table17[[#This Row],[//db]]),""))</f>
        <v/>
      </c>
      <c r="N203" t="str">
        <f>IF(Table17[[#This Row],[isin]]="","",INDEX([3]!db[STN B],Table17[[#This Row],[//db]]))</f>
        <v/>
      </c>
      <c r="O203" t="str">
        <f>IF(AND(Table17[[#This Row],[isis]]="",Table17[[#This Row],[isin]]=""),INDEX(NOTA[QTY],Sheet1!A:A)/IF(Table17[[#This Row],[Column5]]=0,1,Table17[[#This Row],[Column5]]),"")</f>
        <v/>
      </c>
      <c r="P203" t="str">
        <f>IF(Table17[[#This Row],[Column2]]="","",INDEX(NOTA[STN],Sheet1!A:A))</f>
        <v/>
      </c>
      <c r="Q203" s="5" t="str">
        <f>INDEX([3]!db[QTY B],Table17[[#This Row],[//db]])</f>
        <v>120</v>
      </c>
      <c r="R203" t="str">
        <f>INDEX([3]!db[STN B],Table17[[#This Row],[//db]])</f>
        <v>PCS</v>
      </c>
      <c r="S203" s="40" t="str">
        <f>IF(Table17[[#This Row],[Column5]]=0,Table17[[#This Row],[Column23]]/Table17[[#This Row],[Column224]],"")</f>
        <v/>
      </c>
      <c r="T203" s="4">
        <f>IF(Table17[[#This Row],[Column222]]="",Table17[[#This Row],[Column5]],Table17[[#This Row],[Column222]])</f>
        <v>3</v>
      </c>
      <c r="U203" s="4" t="str">
        <f>IF(Table17[[#This Row],[Column223]]=Table17[[#This Row],[Column24]],"",1)</f>
        <v/>
      </c>
      <c r="V203" s="5">
        <f>IF(Table17[[#This Row],[isis]]="",IF(Table17[[#This Row],[isin]]="",Table17[[#This Row],[Column2]],Table17[[#This Row],[isin]]),Table17[[#This Row],[isis]])</f>
        <v>120</v>
      </c>
      <c r="W203" s="3" t="str">
        <f>IF(Table17[[#This Row],[isis]]="",IF(Table17[[#This Row],[isin]]="",Table17[[#This Row],[Column22]],Table17[[#This Row],[stnn]]),Table17[[#This Row],[stns]])</f>
        <v>PCS</v>
      </c>
      <c r="X203" s="5">
        <f>IF(Table17[[#This Row],[Column2222]]&lt;1,Table17[[#This Row],[Column23]],Table17[[#This Row],[Column23]]*Table17[[#This Row],[Column2222]])</f>
        <v>360</v>
      </c>
      <c r="Y203" s="3" t="str">
        <f>Table17[[#This Row],[Column24]]</f>
        <v>PCS</v>
      </c>
      <c r="Z203" s="5">
        <f>Table17[[#This Row],[HRG / CTN]]/Table17[[#This Row],[Column23]]</f>
        <v>9500</v>
      </c>
      <c r="AA203" s="42" t="str">
        <f>IF(INDEX(NOTA[DISC 1],Sheet1!A:A)=0,"",INDEX(NOTA[DISC 1],Sheet1!A:A))</f>
        <v/>
      </c>
      <c r="AB203" s="42" t="str">
        <f>IF(INDEX(NOTA[DISC 2],Sheet1!A:A)=0,"",INDEX(NOTA[DISC 2],Sheet1!A:A))</f>
        <v/>
      </c>
      <c r="AC20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3" s="43">
        <f>INDEX(NOTA[HARGA/ CTN_H],Sheet1!A:A)</f>
        <v>1140000</v>
      </c>
      <c r="AE203" s="43">
        <f>IF(Table17[[#This Row],[DISC 3]]="",Table17[[#This Row],[HRG / CTN]],Table17[[#This Row],[HRG / CTN]]-(Table17[[#This Row],[HRG / CTN]]*Table17[[#This Row],[DISC 3]]))</f>
        <v>1140000</v>
      </c>
      <c r="AF203" s="14">
        <f>IF(Table17[[#This Row],[Column2222]]&lt;1,Table17[[#This Row],[Column9]],Table17[[#This Row],[Column9]]*Table17[[#This Row],[Column2222]])</f>
        <v>3420000</v>
      </c>
      <c r="AG203" s="43">
        <f ca="1">IF(NOT(AL204=Table17[[#This Row],[Column6]]),SUMIF(Table17[Column6],Table17[[#This Row],[Column6]],Table17[Column7]),"")</f>
        <v>6840000</v>
      </c>
      <c r="AH203" s="44">
        <f ca="1">INDEX(NOTA[TGL_H],Sheet1!A:A)</f>
        <v>45465</v>
      </c>
      <c r="AI203" s="44">
        <f ca="1">INDEX(NOTA[TGL.NOTA_H],Sheet1!A:A)</f>
        <v>45455</v>
      </c>
      <c r="AK203" t="str">
        <f>IF(INDEX(NOTA[KETERANGAN],A:A)="","",INDEX(NOTA[KETERANGAN],A:A))</f>
        <v/>
      </c>
      <c r="AL203" t="str">
        <f ca="1">INDEX(NOTA[NO.NOTA_H],Sheet1!A:A)</f>
        <v>WF0295B</v>
      </c>
      <c r="AM203">
        <f>INDEX(NOTA[KETERANGAN],Sheet1!A:A)</f>
        <v>0</v>
      </c>
      <c r="AN203" t="str">
        <f ca="1">INDEX(NOTA[SUPPLIER_H],Sheet1!A:A)</f>
        <v>SBS</v>
      </c>
      <c r="AO203" t="e">
        <f t="shared" ca="1" si="7"/>
        <v>#N/A</v>
      </c>
    </row>
    <row r="204" spans="1:41">
      <c r="A204" s="3">
        <v>247</v>
      </c>
      <c r="C204">
        <f>INDEX(NOTA[//DB],Sheet1!A:A)</f>
        <v>3459</v>
      </c>
      <c r="D204">
        <f>MATCH(Table17[[#This Row],[//db]],[3]!Table2[\\],0)</f>
        <v>2444</v>
      </c>
      <c r="E204" t="str">
        <f>INDEX([3]!db[NB NOTA],Table17[[#This Row],[//db]])</f>
        <v>PC KARTON SF-398/ KODE/ 3SSN/ LAMPU KEDIP</v>
      </c>
      <c r="F204" t="str">
        <f>INDEX([3]!db[NB BM],Table17[[#This Row],[//db]])</f>
        <v>PC KODE SF-398 LAMPU 3 SUSUN</v>
      </c>
      <c r="G204" t="str">
        <f>_xlfn.IFNA(INDEX([3]!Table2[NAMA],Table17[[#This Row],[dbconcat]]),"")</f>
        <v>PC KODE SF-398 LAMPU 3 SUSUN</v>
      </c>
      <c r="H204" t="str">
        <f>INDEX([3]!Table2[KODE BARANG],Table17[[#This Row],[dbconcat]])</f>
        <v>PCA-NB197</v>
      </c>
      <c r="I204" t="str">
        <f>IF(Table17[[#This Row],[Column3]]="",UPPER(Table17[[#This Row],[Column1]]),Table17[[#This Row],[Column3]])</f>
        <v>PC KODE SF-398 LAMPU 3 SUSUN</v>
      </c>
      <c r="J204">
        <f>INDEX(NOTA[C],Sheet1!A:A)</f>
        <v>8</v>
      </c>
      <c r="K204">
        <f>IF(OR(Table17[[#This Row],[Column5]]=0,Table17[[#This Row],[Column3]]=""),"",INDEX([3]!Table2[ISI2],Table17[[#This Row],[dbconcat]]))</f>
        <v>96</v>
      </c>
      <c r="L204" t="str">
        <f>IF(Table17[[#This Row],[isis]]="","",INDEX([3]!Table2[SATUAN3],Table17[[#This Row],[dbconcat]]))</f>
        <v>PCS</v>
      </c>
      <c r="M204" t="str">
        <f>IF(Table17[[#This Row],[Column5]]=0,"",IF(Table17[[#This Row],[Column3]]="",INDEX([3]!db[QTY B],Table17[[#This Row],[//db]]),""))</f>
        <v/>
      </c>
      <c r="N204" t="str">
        <f>IF(Table17[[#This Row],[isin]]="","",INDEX([3]!db[STN B],Table17[[#This Row],[//db]]))</f>
        <v/>
      </c>
      <c r="O204" t="str">
        <f>IF(AND(Table17[[#This Row],[isis]]="",Table17[[#This Row],[isin]]=""),INDEX(NOTA[QTY],Sheet1!A:A)/IF(Table17[[#This Row],[Column5]]=0,1,Table17[[#This Row],[Column5]]),"")</f>
        <v/>
      </c>
      <c r="P204" t="str">
        <f>IF(Table17[[#This Row],[Column2]]="","",INDEX(NOTA[STN],Sheet1!A:A))</f>
        <v/>
      </c>
      <c r="Q204" s="5" t="str">
        <f>INDEX([3]!db[QTY B],Table17[[#This Row],[//db]])</f>
        <v>96</v>
      </c>
      <c r="R204" t="str">
        <f>INDEX([3]!db[STN B],Table17[[#This Row],[//db]])</f>
        <v>PCS</v>
      </c>
      <c r="S204" s="40" t="str">
        <f>IF(Table17[[#This Row],[Column5]]=0,Table17[[#This Row],[Column23]]/Table17[[#This Row],[Column224]],"")</f>
        <v/>
      </c>
      <c r="T204" s="4">
        <f>IF(Table17[[#This Row],[Column222]]="",Table17[[#This Row],[Column5]],Table17[[#This Row],[Column222]])</f>
        <v>8</v>
      </c>
      <c r="U204" s="4" t="str">
        <f>IF(Table17[[#This Row],[Column223]]=Table17[[#This Row],[Column24]],"",1)</f>
        <v/>
      </c>
      <c r="V204" s="5">
        <f>IF(Table17[[#This Row],[isis]]="",IF(Table17[[#This Row],[isin]]="",Table17[[#This Row],[Column2]],Table17[[#This Row],[isin]]),Table17[[#This Row],[isis]])</f>
        <v>96</v>
      </c>
      <c r="W204" s="3" t="str">
        <f>IF(Table17[[#This Row],[isis]]="",IF(Table17[[#This Row],[isin]]="",Table17[[#This Row],[Column22]],Table17[[#This Row],[stnn]]),Table17[[#This Row],[stns]])</f>
        <v>PCS</v>
      </c>
      <c r="X204" s="5">
        <f>IF(Table17[[#This Row],[Column2222]]&lt;1,Table17[[#This Row],[Column23]],Table17[[#This Row],[Column23]]*Table17[[#This Row],[Column2222]])</f>
        <v>768</v>
      </c>
      <c r="Y204" s="3" t="str">
        <f>Table17[[#This Row],[Column24]]</f>
        <v>PCS</v>
      </c>
      <c r="Z204" s="5">
        <f>Table17[[#This Row],[HRG / CTN]]/Table17[[#This Row],[Column23]]</f>
        <v>18950</v>
      </c>
      <c r="AA204" s="42" t="str">
        <f>IF(INDEX(NOTA[DISC 1],Sheet1!A:A)=0,"",INDEX(NOTA[DISC 1],Sheet1!A:A))</f>
        <v/>
      </c>
      <c r="AB204" s="42" t="str">
        <f>IF(INDEX(NOTA[DISC 2],Sheet1!A:A)=0,"",INDEX(NOTA[DISC 2],Sheet1!A:A))</f>
        <v/>
      </c>
      <c r="AC20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4" s="43">
        <f>INDEX(NOTA[HARGA/ CTN_H],Sheet1!A:A)</f>
        <v>1819200</v>
      </c>
      <c r="AE204" s="43">
        <f>IF(Table17[[#This Row],[DISC 3]]="",Table17[[#This Row],[HRG / CTN]],Table17[[#This Row],[HRG / CTN]]-(Table17[[#This Row],[HRG / CTN]]*Table17[[#This Row],[DISC 3]]))</f>
        <v>1819200</v>
      </c>
      <c r="AF204" s="14">
        <f>IF(Table17[[#This Row],[Column2222]]&lt;1,Table17[[#This Row],[Column9]],Table17[[#This Row],[Column9]]*Table17[[#This Row],[Column2222]])</f>
        <v>14553600</v>
      </c>
      <c r="AG204" s="43" t="str">
        <f ca="1">IF(NOT(AL205=Table17[[#This Row],[Column6]]),SUMIF(Table17[Column6],Table17[[#This Row],[Column6]],Table17[Column7]),"")</f>
        <v/>
      </c>
      <c r="AH204" s="44">
        <f ca="1">INDEX(NOTA[TGL_H],Sheet1!A:A)</f>
        <v>45465</v>
      </c>
      <c r="AI204" s="44">
        <f ca="1">INDEX(NOTA[TGL.NOTA_H],Sheet1!A:A)</f>
        <v>45456</v>
      </c>
      <c r="AK204" t="str">
        <f>IF(INDEX(NOTA[KETERANGAN],A:A)="","",INDEX(NOTA[KETERANGAN],A:A))</f>
        <v/>
      </c>
      <c r="AL204" t="str">
        <f ca="1">INDEX(NOTA[NO.NOTA_H],Sheet1!A:A)</f>
        <v>WF0330B1</v>
      </c>
      <c r="AM204">
        <f>INDEX(NOTA[KETERANGAN],Sheet1!A:A)</f>
        <v>0</v>
      </c>
      <c r="AN204" t="str">
        <f ca="1">INDEX(NOTA[SUPPLIER_H],Sheet1!A:A)</f>
        <v>SBS</v>
      </c>
      <c r="AO204" t="e">
        <f t="shared" ca="1" si="7"/>
        <v>#N/A</v>
      </c>
    </row>
    <row r="205" spans="1:41">
      <c r="A205" s="3">
        <v>248</v>
      </c>
      <c r="C205">
        <f>INDEX(NOTA[//DB],Sheet1!A:A)</f>
        <v>3459</v>
      </c>
      <c r="D205">
        <f>MATCH(Table17[[#This Row],[//db]],[3]!Table2[\\],0)</f>
        <v>2444</v>
      </c>
      <c r="E205" t="str">
        <f>INDEX([3]!db[NB NOTA],Table17[[#This Row],[//db]])</f>
        <v>PC KARTON SF-398/ KODE/ 3SSN/ LAMPU KEDIP</v>
      </c>
      <c r="F205" t="str">
        <f>INDEX([3]!db[NB BM],Table17[[#This Row],[//db]])</f>
        <v>PC KODE SF-398 LAMPU 3 SUSUN</v>
      </c>
      <c r="G205" t="str">
        <f>_xlfn.IFNA(INDEX([3]!Table2[NAMA],Table17[[#This Row],[dbconcat]]),"")</f>
        <v>PC KODE SF-398 LAMPU 3 SUSUN</v>
      </c>
      <c r="H205" t="str">
        <f>INDEX([3]!Table2[KODE BARANG],Table17[[#This Row],[dbconcat]])</f>
        <v>PCA-NB197</v>
      </c>
      <c r="I205" t="str">
        <f>IF(Table17[[#This Row],[Column3]]="",UPPER(Table17[[#This Row],[Column1]]),Table17[[#This Row],[Column3]])</f>
        <v>PC KODE SF-398 LAMPU 3 SUSUN</v>
      </c>
      <c r="J205">
        <f>INDEX(NOTA[C],Sheet1!A:A)</f>
        <v>0</v>
      </c>
      <c r="K205" t="str">
        <f>IF(OR(Table17[[#This Row],[Column5]]=0,Table17[[#This Row],[Column3]]=""),"",INDEX([3]!Table2[ISI2],Table17[[#This Row],[dbconcat]]))</f>
        <v/>
      </c>
      <c r="L205" t="str">
        <f>IF(Table17[[#This Row],[isis]]="","",INDEX([3]!Table2[SATUAN3],Table17[[#This Row],[dbconcat]]))</f>
        <v/>
      </c>
      <c r="M205" t="str">
        <f>IF(Table17[[#This Row],[Column5]]=0,"",IF(Table17[[#This Row],[Column3]]="",INDEX([3]!db[QTY B],Table17[[#This Row],[//db]]),""))</f>
        <v/>
      </c>
      <c r="N205" t="str">
        <f>IF(Table17[[#This Row],[isin]]="","",INDEX([3]!db[STN B],Table17[[#This Row],[//db]]))</f>
        <v/>
      </c>
      <c r="O205">
        <f>IF(AND(Table17[[#This Row],[isis]]="",Table17[[#This Row],[isin]]=""),INDEX(NOTA[QTY],Sheet1!A:A)/IF(Table17[[#This Row],[Column5]]=0,1,Table17[[#This Row],[Column5]]),"")</f>
        <v>61</v>
      </c>
      <c r="P205" t="str">
        <f>IF(Table17[[#This Row],[Column2]]="","",INDEX(NOTA[STN],Sheet1!A:A))</f>
        <v>PCS</v>
      </c>
      <c r="Q205" s="5" t="str">
        <f>INDEX([3]!db[QTY B],Table17[[#This Row],[//db]])</f>
        <v>96</v>
      </c>
      <c r="R205" t="str">
        <f>INDEX([3]!db[STN B],Table17[[#This Row],[//db]])</f>
        <v>PCS</v>
      </c>
      <c r="S205" s="40">
        <f>IF(Table17[[#This Row],[Column5]]=0,Table17[[#This Row],[Column23]]/Table17[[#This Row],[Column224]],"")</f>
        <v>0.63541666666666663</v>
      </c>
      <c r="T205" s="4">
        <f>IF(Table17[[#This Row],[Column222]]="",Table17[[#This Row],[Column5]],Table17[[#This Row],[Column222]])</f>
        <v>0.63541666666666663</v>
      </c>
      <c r="U205" s="4" t="str">
        <f>IF(Table17[[#This Row],[Column223]]=Table17[[#This Row],[Column24]],"",1)</f>
        <v/>
      </c>
      <c r="V205" s="5">
        <f>IF(Table17[[#This Row],[isis]]="",IF(Table17[[#This Row],[isin]]="",Table17[[#This Row],[Column2]],Table17[[#This Row],[isin]]),Table17[[#This Row],[isis]])</f>
        <v>61</v>
      </c>
      <c r="W205" s="3" t="str">
        <f>IF(Table17[[#This Row],[isis]]="",IF(Table17[[#This Row],[isin]]="",Table17[[#This Row],[Column22]],Table17[[#This Row],[stnn]]),Table17[[#This Row],[stns]])</f>
        <v>PCS</v>
      </c>
      <c r="X205" s="5">
        <f>IF(Table17[[#This Row],[Column2222]]&lt;1,Table17[[#This Row],[Column23]],Table17[[#This Row],[Column23]]*Table17[[#This Row],[Column2222]])</f>
        <v>61</v>
      </c>
      <c r="Y205" s="3" t="str">
        <f>Table17[[#This Row],[Column24]]</f>
        <v>PCS</v>
      </c>
      <c r="Z205" s="5">
        <f>Table17[[#This Row],[HRG / CTN]]/Table17[[#This Row],[Column23]]</f>
        <v>18950</v>
      </c>
      <c r="AA205" s="42" t="str">
        <f>IF(INDEX(NOTA[DISC 1],Sheet1!A:A)=0,"",INDEX(NOTA[DISC 1],Sheet1!A:A))</f>
        <v/>
      </c>
      <c r="AB205" s="42" t="str">
        <f>IF(INDEX(NOTA[DISC 2],Sheet1!A:A)=0,"",INDEX(NOTA[DISC 2],Sheet1!A:A))</f>
        <v/>
      </c>
      <c r="AC20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5" s="43">
        <f>INDEX(NOTA[HARGA/ CTN_H],Sheet1!A:A)</f>
        <v>1155950</v>
      </c>
      <c r="AE205" s="43">
        <f>IF(Table17[[#This Row],[DISC 3]]="",Table17[[#This Row],[HRG / CTN]],Table17[[#This Row],[HRG / CTN]]-(Table17[[#This Row],[HRG / CTN]]*Table17[[#This Row],[DISC 3]]))</f>
        <v>1155950</v>
      </c>
      <c r="AF205" s="14">
        <f>IF(Table17[[#This Row],[Column2222]]&lt;1,Table17[[#This Row],[Column9]],Table17[[#This Row],[Column9]]*Table17[[#This Row],[Column2222]])</f>
        <v>1155950</v>
      </c>
      <c r="AG205" s="43">
        <f ca="1">IF(NOT(AL206=Table17[[#This Row],[Column6]]),SUMIF(Table17[Column6],Table17[[#This Row],[Column6]],Table17[Column7]),"")</f>
        <v>15709550</v>
      </c>
      <c r="AH205" s="44">
        <f ca="1">INDEX(NOTA[TGL_H],Sheet1!A:A)</f>
        <v>45465</v>
      </c>
      <c r="AI205" s="44">
        <f ca="1">INDEX(NOTA[TGL.NOTA_H],Sheet1!A:A)</f>
        <v>45456</v>
      </c>
      <c r="AK205" t="str">
        <f>IF(INDEX(NOTA[KETERANGAN],A:A)="","",INDEX(NOTA[KETERANGAN],A:A))</f>
        <v/>
      </c>
      <c r="AL205" t="str">
        <f ca="1">INDEX(NOTA[NO.NOTA_H],Sheet1!A:A)</f>
        <v>WF0330B1</v>
      </c>
      <c r="AM205">
        <f>INDEX(NOTA[KETERANGAN],Sheet1!A:A)</f>
        <v>0</v>
      </c>
      <c r="AN205" t="str">
        <f ca="1">INDEX(NOTA[SUPPLIER_H],Sheet1!A:A)</f>
        <v>SBS</v>
      </c>
      <c r="AO205" t="e">
        <f t="shared" ca="1" si="7"/>
        <v>#N/A</v>
      </c>
    </row>
    <row r="206" spans="1:41">
      <c r="A206" s="3">
        <v>250</v>
      </c>
      <c r="C206">
        <f>INDEX(NOTA[//DB],Sheet1!A:A)</f>
        <v>2363</v>
      </c>
      <c r="D206">
        <f>MATCH(Table17[[#This Row],[//db]],[3]!Table2[\\],0)</f>
        <v>2226</v>
      </c>
      <c r="E206" t="str">
        <f>INDEX([3]!db[NB NOTA],Table17[[#This Row],[//db]])</f>
        <v>PALET GAMBAR BIOLA-ANGGUR WARNA/ WAG-201</v>
      </c>
      <c r="F206" t="str">
        <f>INDEX([3]!db[NB BM],Table17[[#This Row],[//db]])</f>
        <v>PALET ANGGUR</v>
      </c>
      <c r="G206" t="str">
        <f>_xlfn.IFNA(INDEX([3]!Table2[NAMA],Table17[[#This Row],[dbconcat]]),"")</f>
        <v>PALET ANGGUR</v>
      </c>
      <c r="H206" t="str">
        <f>INDEX([3]!Table2[KODE BARANG],Table17[[#This Row],[dbconcat]])</f>
        <v>PAL-NB1</v>
      </c>
      <c r="I206" t="str">
        <f>IF(Table17[[#This Row],[Column3]]="",UPPER(Table17[[#This Row],[Column1]]),Table17[[#This Row],[Column3]])</f>
        <v>PALET ANGGUR</v>
      </c>
      <c r="J206">
        <f>INDEX(NOTA[C],Sheet1!A:A)</f>
        <v>7</v>
      </c>
      <c r="K206">
        <f>IF(OR(Table17[[#This Row],[Column5]]=0,Table17[[#This Row],[Column3]]=""),"",INDEX([3]!Table2[ISI2],Table17[[#This Row],[dbconcat]]))</f>
        <v>60</v>
      </c>
      <c r="L206" t="str">
        <f>IF(Table17[[#This Row],[isis]]="","",INDEX([3]!Table2[SATUAN3],Table17[[#This Row],[dbconcat]]))</f>
        <v>LSN</v>
      </c>
      <c r="M206" t="str">
        <f>IF(Table17[[#This Row],[Column5]]=0,"",IF(Table17[[#This Row],[Column3]]="",INDEX([3]!db[QTY B],Table17[[#This Row],[//db]]),""))</f>
        <v/>
      </c>
      <c r="N206" t="str">
        <f>IF(Table17[[#This Row],[isin]]="","",INDEX([3]!db[STN B],Table17[[#This Row],[//db]]))</f>
        <v/>
      </c>
      <c r="O206" t="str">
        <f>IF(AND(Table17[[#This Row],[isis]]="",Table17[[#This Row],[isin]]=""),INDEX(NOTA[QTY],Sheet1!A:A)/IF(Table17[[#This Row],[Column5]]=0,1,Table17[[#This Row],[Column5]]),"")</f>
        <v/>
      </c>
      <c r="P206" t="str">
        <f>IF(Table17[[#This Row],[Column2]]="","",INDEX(NOTA[STN],Sheet1!A:A))</f>
        <v/>
      </c>
      <c r="Q206" s="5" t="str">
        <f>INDEX([3]!db[QTY B],Table17[[#This Row],[//db]])</f>
        <v>60</v>
      </c>
      <c r="R206" t="str">
        <f>INDEX([3]!db[STN B],Table17[[#This Row],[//db]])</f>
        <v>LSN</v>
      </c>
      <c r="S206" s="40" t="str">
        <f>IF(Table17[[#This Row],[Column5]]=0,Table17[[#This Row],[Column23]]/Table17[[#This Row],[Column224]],"")</f>
        <v/>
      </c>
      <c r="T206" s="4">
        <f>IF(Table17[[#This Row],[Column222]]="",Table17[[#This Row],[Column5]],Table17[[#This Row],[Column222]])</f>
        <v>7</v>
      </c>
      <c r="U206" s="4" t="str">
        <f>IF(Table17[[#This Row],[Column223]]=Table17[[#This Row],[Column24]],"",1)</f>
        <v/>
      </c>
      <c r="V206" s="5">
        <f>IF(Table17[[#This Row],[isis]]="",IF(Table17[[#This Row],[isin]]="",Table17[[#This Row],[Column2]],Table17[[#This Row],[isin]]),Table17[[#This Row],[isis]])</f>
        <v>60</v>
      </c>
      <c r="W206" s="3" t="str">
        <f>IF(Table17[[#This Row],[isis]]="",IF(Table17[[#This Row],[isin]]="",Table17[[#This Row],[Column22]],Table17[[#This Row],[stnn]]),Table17[[#This Row],[stns]])</f>
        <v>LSN</v>
      </c>
      <c r="X206" s="5">
        <f>IF(Table17[[#This Row],[Column2222]]&lt;1,Table17[[#This Row],[Column23]],Table17[[#This Row],[Column23]]*Table17[[#This Row],[Column2222]])</f>
        <v>420</v>
      </c>
      <c r="Y206" s="3" t="str">
        <f>Table17[[#This Row],[Column24]]</f>
        <v>LSN</v>
      </c>
      <c r="Z206" s="5">
        <f>Table17[[#This Row],[HRG / CTN]]/Table17[[#This Row],[Column23]]</f>
        <v>9300</v>
      </c>
      <c r="AA206" s="42" t="str">
        <f>IF(INDEX(NOTA[DISC 1],Sheet1!A:A)=0,"",INDEX(NOTA[DISC 1],Sheet1!A:A))</f>
        <v/>
      </c>
      <c r="AB206" s="42" t="str">
        <f>IF(INDEX(NOTA[DISC 2],Sheet1!A:A)=0,"",INDEX(NOTA[DISC 2],Sheet1!A:A))</f>
        <v/>
      </c>
      <c r="AC20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6" s="43">
        <f>INDEX(NOTA[HARGA/ CTN_H],Sheet1!A:A)</f>
        <v>558000</v>
      </c>
      <c r="AE206" s="43">
        <f>IF(Table17[[#This Row],[DISC 3]]="",Table17[[#This Row],[HRG / CTN]],Table17[[#This Row],[HRG / CTN]]-(Table17[[#This Row],[HRG / CTN]]*Table17[[#This Row],[DISC 3]]))</f>
        <v>558000</v>
      </c>
      <c r="AF206" s="14">
        <f>IF(Table17[[#This Row],[Column2222]]&lt;1,Table17[[#This Row],[Column9]],Table17[[#This Row],[Column9]]*Table17[[#This Row],[Column2222]])</f>
        <v>3906000</v>
      </c>
      <c r="AG206" s="43" t="str">
        <f ca="1">IF(NOT(AL207=Table17[[#This Row],[Column6]]),SUMIF(Table17[Column6],Table17[[#This Row],[Column6]],Table17[Column7]),"")</f>
        <v/>
      </c>
      <c r="AH206" s="44">
        <f ca="1">INDEX(NOTA[TGL_H],Sheet1!A:A)</f>
        <v>45465</v>
      </c>
      <c r="AI206" s="44">
        <f ca="1">INDEX(NOTA[TGL.NOTA_H],Sheet1!A:A)</f>
        <v>45446</v>
      </c>
      <c r="AK206" t="str">
        <f>IF(INDEX(NOTA[KETERANGAN],A:A)="","",INDEX(NOTA[KETERANGAN],A:A))</f>
        <v>BARANG TITIP</v>
      </c>
      <c r="AL206" t="str">
        <f ca="1">INDEX(NOTA[NO.NOTA_H],Sheet1!A:A)</f>
        <v>WF0005ATTP</v>
      </c>
      <c r="AM206" t="str">
        <f>INDEX(NOTA[KETERANGAN],Sheet1!A:A)</f>
        <v>BARANG TITIP</v>
      </c>
      <c r="AN206" t="str">
        <f ca="1">INDEX(NOTA[SUPPLIER_H],Sheet1!A:A)</f>
        <v>SBS</v>
      </c>
      <c r="AO206" t="e">
        <f t="shared" ca="1" si="7"/>
        <v>#N/A</v>
      </c>
    </row>
    <row r="207" spans="1:41">
      <c r="A207" s="3">
        <v>251</v>
      </c>
      <c r="C207">
        <f>INDEX(NOTA[//DB],Sheet1!A:A)</f>
        <v>2363</v>
      </c>
      <c r="D207">
        <f>MATCH(Table17[[#This Row],[//db]],[3]!Table2[\\],0)</f>
        <v>2226</v>
      </c>
      <c r="E207" t="str">
        <f>INDEX([3]!db[NB NOTA],Table17[[#This Row],[//db]])</f>
        <v>PALET GAMBAR BIOLA-ANGGUR WARNA/ WAG-201</v>
      </c>
      <c r="F207" t="str">
        <f>INDEX([3]!db[NB BM],Table17[[#This Row],[//db]])</f>
        <v>PALET ANGGUR</v>
      </c>
      <c r="G207" t="str">
        <f>_xlfn.IFNA(INDEX([3]!Table2[NAMA],Table17[[#This Row],[dbconcat]]),"")</f>
        <v>PALET ANGGUR</v>
      </c>
      <c r="H207" t="str">
        <f>INDEX([3]!Table2[KODE BARANG],Table17[[#This Row],[dbconcat]])</f>
        <v>PAL-NB1</v>
      </c>
      <c r="I207" t="str">
        <f>IF(Table17[[#This Row],[Column3]]="",UPPER(Table17[[#This Row],[Column1]]),Table17[[#This Row],[Column3]])</f>
        <v>PALET ANGGUR</v>
      </c>
      <c r="J207">
        <f>INDEX(NOTA[C],Sheet1!A:A)</f>
        <v>1</v>
      </c>
      <c r="K207">
        <f>IF(OR(Table17[[#This Row],[Column5]]=0,Table17[[#This Row],[Column3]]=""),"",INDEX([3]!Table2[ISI2],Table17[[#This Row],[dbconcat]]))</f>
        <v>60</v>
      </c>
      <c r="L207" t="str">
        <f>IF(Table17[[#This Row],[isis]]="","",INDEX([3]!Table2[SATUAN3],Table17[[#This Row],[dbconcat]]))</f>
        <v>LSN</v>
      </c>
      <c r="M207" t="str">
        <f>IF(Table17[[#This Row],[Column5]]=0,"",IF(Table17[[#This Row],[Column3]]="",INDEX([3]!db[QTY B],Table17[[#This Row],[//db]]),""))</f>
        <v/>
      </c>
      <c r="N207" t="str">
        <f>IF(Table17[[#This Row],[isin]]="","",INDEX([3]!db[STN B],Table17[[#This Row],[//db]]))</f>
        <v/>
      </c>
      <c r="O207" t="str">
        <f>IF(AND(Table17[[#This Row],[isis]]="",Table17[[#This Row],[isin]]=""),INDEX(NOTA[QTY],Sheet1!A:A)/IF(Table17[[#This Row],[Column5]]=0,1,Table17[[#This Row],[Column5]]),"")</f>
        <v/>
      </c>
      <c r="P207" t="str">
        <f>IF(Table17[[#This Row],[Column2]]="","",INDEX(NOTA[STN],Sheet1!A:A))</f>
        <v/>
      </c>
      <c r="Q207" s="5" t="str">
        <f>INDEX([3]!db[QTY B],Table17[[#This Row],[//db]])</f>
        <v>60</v>
      </c>
      <c r="R207" t="str">
        <f>INDEX([3]!db[STN B],Table17[[#This Row],[//db]])</f>
        <v>LSN</v>
      </c>
      <c r="S207" s="40" t="str">
        <f>IF(Table17[[#This Row],[Column5]]=0,Table17[[#This Row],[Column23]]/Table17[[#This Row],[Column224]],"")</f>
        <v/>
      </c>
      <c r="T207" s="4">
        <f>IF(Table17[[#This Row],[Column222]]="",Table17[[#This Row],[Column5]],Table17[[#This Row],[Column222]])</f>
        <v>1</v>
      </c>
      <c r="U207" s="4" t="str">
        <f>IF(Table17[[#This Row],[Column223]]=Table17[[#This Row],[Column24]],"",1)</f>
        <v/>
      </c>
      <c r="V207" s="5">
        <f>IF(Table17[[#This Row],[isis]]="",IF(Table17[[#This Row],[isin]]="",Table17[[#This Row],[Column2]],Table17[[#This Row],[isin]]),Table17[[#This Row],[isis]])</f>
        <v>60</v>
      </c>
      <c r="W207" s="3" t="str">
        <f>IF(Table17[[#This Row],[isis]]="",IF(Table17[[#This Row],[isin]]="",Table17[[#This Row],[Column22]],Table17[[#This Row],[stnn]]),Table17[[#This Row],[stns]])</f>
        <v>LSN</v>
      </c>
      <c r="X207" s="5">
        <f>IF(Table17[[#This Row],[Column2222]]&lt;1,Table17[[#This Row],[Column23]],Table17[[#This Row],[Column23]]*Table17[[#This Row],[Column2222]])</f>
        <v>60</v>
      </c>
      <c r="Y207" s="3" t="str">
        <f>Table17[[#This Row],[Column24]]</f>
        <v>LSN</v>
      </c>
      <c r="Z207" s="5">
        <f>Table17[[#This Row],[HRG / CTN]]/Table17[[#This Row],[Column23]]</f>
        <v>0</v>
      </c>
      <c r="AA207" s="42" t="str">
        <f>IF(INDEX(NOTA[DISC 1],Sheet1!A:A)=0,"",INDEX(NOTA[DISC 1],Sheet1!A:A))</f>
        <v/>
      </c>
      <c r="AB207" s="42" t="str">
        <f>IF(INDEX(NOTA[DISC 2],Sheet1!A:A)=0,"",INDEX(NOTA[DISC 2],Sheet1!A:A))</f>
        <v/>
      </c>
      <c r="AC20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7" s="43">
        <f>INDEX(NOTA[HARGA/ CTN_H],Sheet1!A:A)</f>
        <v>0</v>
      </c>
      <c r="AE207" s="43">
        <f>IF(Table17[[#This Row],[DISC 3]]="",Table17[[#This Row],[HRG / CTN]],Table17[[#This Row],[HRG / CTN]]-(Table17[[#This Row],[HRG / CTN]]*Table17[[#This Row],[DISC 3]]))</f>
        <v>0</v>
      </c>
      <c r="AF207" s="14">
        <f>IF(Table17[[#This Row],[Column2222]]&lt;1,Table17[[#This Row],[Column9]],Table17[[#This Row],[Column9]]*Table17[[#This Row],[Column2222]])</f>
        <v>0</v>
      </c>
      <c r="AG207" s="43" t="str">
        <f ca="1">IF(NOT(AL208=Table17[[#This Row],[Column6]]),SUMIF(Table17[Column6],Table17[[#This Row],[Column6]],Table17[Column7]),"")</f>
        <v/>
      </c>
      <c r="AH207" s="44">
        <f ca="1">INDEX(NOTA[TGL_H],Sheet1!A:A)</f>
        <v>45465</v>
      </c>
      <c r="AI207" s="44">
        <f ca="1">INDEX(NOTA[TGL.NOTA_H],Sheet1!A:A)</f>
        <v>45446</v>
      </c>
      <c r="AK207" t="str">
        <f>IF(INDEX(NOTA[KETERANGAN],A:A)="","",INDEX(NOTA[KETERANGAN],A:A))</f>
        <v>BARANG TITIP</v>
      </c>
      <c r="AL207" t="str">
        <f ca="1">INDEX(NOTA[NO.NOTA_H],Sheet1!A:A)</f>
        <v>WF0005ATTP</v>
      </c>
      <c r="AM207" t="str">
        <f>INDEX(NOTA[KETERANGAN],Sheet1!A:A)</f>
        <v>BARANG TITIP</v>
      </c>
      <c r="AN207" t="str">
        <f ca="1">INDEX(NOTA[SUPPLIER_H],Sheet1!A:A)</f>
        <v>SBS</v>
      </c>
      <c r="AO207" t="e">
        <f t="shared" ca="1" si="7"/>
        <v>#N/A</v>
      </c>
    </row>
    <row r="208" spans="1:41">
      <c r="A208" s="3">
        <v>252</v>
      </c>
      <c r="C208">
        <f>INDEX(NOTA[//DB],Sheet1!A:A)</f>
        <v>2364</v>
      </c>
      <c r="D208">
        <f>MATCH(Table17[[#This Row],[//db]],[3]!Table2[\\],0)</f>
        <v>2230</v>
      </c>
      <c r="E208" t="str">
        <f>INDEX([3]!db[NB NOTA],Table17[[#This Row],[//db]])</f>
        <v>PALET GAMBAR BIOLA-APEL WARNA/ WAP-202</v>
      </c>
      <c r="F208" t="str">
        <f>INDEX([3]!db[NB BM],Table17[[#This Row],[//db]])</f>
        <v>PALET APEL</v>
      </c>
      <c r="G208" t="str">
        <f>_xlfn.IFNA(INDEX([3]!Table2[NAMA],Table17[[#This Row],[dbconcat]]),"")</f>
        <v>PALET APEL</v>
      </c>
      <c r="H208" t="str">
        <f>INDEX([3]!Table2[KODE BARANG],Table17[[#This Row],[dbconcat]])</f>
        <v>PAL-NB2</v>
      </c>
      <c r="I208" t="str">
        <f>IF(Table17[[#This Row],[Column3]]="",UPPER(Table17[[#This Row],[Column1]]),Table17[[#This Row],[Column3]])</f>
        <v>PALET APEL</v>
      </c>
      <c r="J208">
        <f>INDEX(NOTA[C],Sheet1!A:A)</f>
        <v>7</v>
      </c>
      <c r="K208">
        <f>IF(OR(Table17[[#This Row],[Column5]]=0,Table17[[#This Row],[Column3]]=""),"",INDEX([3]!Table2[ISI2],Table17[[#This Row],[dbconcat]]))</f>
        <v>60</v>
      </c>
      <c r="L208" t="str">
        <f>IF(Table17[[#This Row],[isis]]="","",INDEX([3]!Table2[SATUAN3],Table17[[#This Row],[dbconcat]]))</f>
        <v>LSN</v>
      </c>
      <c r="M208" t="str">
        <f>IF(Table17[[#This Row],[Column5]]=0,"",IF(Table17[[#This Row],[Column3]]="",INDEX([3]!db[QTY B],Table17[[#This Row],[//db]]),""))</f>
        <v/>
      </c>
      <c r="N208" t="str">
        <f>IF(Table17[[#This Row],[isin]]="","",INDEX([3]!db[STN B],Table17[[#This Row],[//db]]))</f>
        <v/>
      </c>
      <c r="O208" t="str">
        <f>IF(AND(Table17[[#This Row],[isis]]="",Table17[[#This Row],[isin]]=""),INDEX(NOTA[QTY],Sheet1!A:A)/IF(Table17[[#This Row],[Column5]]=0,1,Table17[[#This Row],[Column5]]),"")</f>
        <v/>
      </c>
      <c r="P208" t="str">
        <f>IF(Table17[[#This Row],[Column2]]="","",INDEX(NOTA[STN],Sheet1!A:A))</f>
        <v/>
      </c>
      <c r="Q208" s="5" t="str">
        <f>INDEX([3]!db[QTY B],Table17[[#This Row],[//db]])</f>
        <v>60</v>
      </c>
      <c r="R208" t="str">
        <f>INDEX([3]!db[STN B],Table17[[#This Row],[//db]])</f>
        <v>LSN</v>
      </c>
      <c r="S208" s="40" t="str">
        <f>IF(Table17[[#This Row],[Column5]]=0,Table17[[#This Row],[Column23]]/Table17[[#This Row],[Column224]],"")</f>
        <v/>
      </c>
      <c r="T208" s="4">
        <f>IF(Table17[[#This Row],[Column222]]="",Table17[[#This Row],[Column5]],Table17[[#This Row],[Column222]])</f>
        <v>7</v>
      </c>
      <c r="U208" s="4" t="str">
        <f>IF(Table17[[#This Row],[Column223]]=Table17[[#This Row],[Column24]],"",1)</f>
        <v/>
      </c>
      <c r="V208" s="5">
        <f>IF(Table17[[#This Row],[isis]]="",IF(Table17[[#This Row],[isin]]="",Table17[[#This Row],[Column2]],Table17[[#This Row],[isin]]),Table17[[#This Row],[isis]])</f>
        <v>60</v>
      </c>
      <c r="W208" s="3" t="str">
        <f>IF(Table17[[#This Row],[isis]]="",IF(Table17[[#This Row],[isin]]="",Table17[[#This Row],[Column22]],Table17[[#This Row],[stnn]]),Table17[[#This Row],[stns]])</f>
        <v>LSN</v>
      </c>
      <c r="X208" s="5">
        <f>IF(Table17[[#This Row],[Column2222]]&lt;1,Table17[[#This Row],[Column23]],Table17[[#This Row],[Column23]]*Table17[[#This Row],[Column2222]])</f>
        <v>420</v>
      </c>
      <c r="Y208" s="3" t="str">
        <f>Table17[[#This Row],[Column24]]</f>
        <v>LSN</v>
      </c>
      <c r="Z208" s="5">
        <f>Table17[[#This Row],[HRG / CTN]]/Table17[[#This Row],[Column23]]</f>
        <v>9300</v>
      </c>
      <c r="AA208" s="42" t="str">
        <f>IF(INDEX(NOTA[DISC 1],Sheet1!A:A)=0,"",INDEX(NOTA[DISC 1],Sheet1!A:A))</f>
        <v/>
      </c>
      <c r="AB208" s="42" t="str">
        <f>IF(INDEX(NOTA[DISC 2],Sheet1!A:A)=0,"",INDEX(NOTA[DISC 2],Sheet1!A:A))</f>
        <v/>
      </c>
      <c r="AC20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8" s="43">
        <f>INDEX(NOTA[HARGA/ CTN_H],Sheet1!A:A)</f>
        <v>558000</v>
      </c>
      <c r="AE208" s="43">
        <f>IF(Table17[[#This Row],[DISC 3]]="",Table17[[#This Row],[HRG / CTN]],Table17[[#This Row],[HRG / CTN]]-(Table17[[#This Row],[HRG / CTN]]*Table17[[#This Row],[DISC 3]]))</f>
        <v>558000</v>
      </c>
      <c r="AF208" s="14">
        <f>IF(Table17[[#This Row],[Column2222]]&lt;1,Table17[[#This Row],[Column9]],Table17[[#This Row],[Column9]]*Table17[[#This Row],[Column2222]])</f>
        <v>3906000</v>
      </c>
      <c r="AG208" s="43" t="str">
        <f ca="1">IF(NOT(AL209=Table17[[#This Row],[Column6]]),SUMIF(Table17[Column6],Table17[[#This Row],[Column6]],Table17[Column7]),"")</f>
        <v/>
      </c>
      <c r="AH208" s="44">
        <f ca="1">INDEX(NOTA[TGL_H],Sheet1!A:A)</f>
        <v>45465</v>
      </c>
      <c r="AI208" s="44">
        <f ca="1">INDEX(NOTA[TGL.NOTA_H],Sheet1!A:A)</f>
        <v>45446</v>
      </c>
      <c r="AK208" t="str">
        <f>IF(INDEX(NOTA[KETERANGAN],A:A)="","",INDEX(NOTA[KETERANGAN],A:A))</f>
        <v>BARANG TITIP</v>
      </c>
      <c r="AL208" t="str">
        <f ca="1">INDEX(NOTA[NO.NOTA_H],Sheet1!A:A)</f>
        <v>WF0005ATTP</v>
      </c>
      <c r="AM208" t="str">
        <f>INDEX(NOTA[KETERANGAN],Sheet1!A:A)</f>
        <v>BARANG TITIP</v>
      </c>
      <c r="AN208" t="str">
        <f ca="1">INDEX(NOTA[SUPPLIER_H],Sheet1!A:A)</f>
        <v>SBS</v>
      </c>
      <c r="AO208" t="e">
        <f t="shared" ca="1" si="7"/>
        <v>#N/A</v>
      </c>
    </row>
    <row r="209" spans="1:41">
      <c r="A209" s="3">
        <v>253</v>
      </c>
      <c r="C209">
        <f>INDEX(NOTA[//DB],Sheet1!A:A)</f>
        <v>2364</v>
      </c>
      <c r="D209">
        <f>MATCH(Table17[[#This Row],[//db]],[3]!Table2[\\],0)</f>
        <v>2230</v>
      </c>
      <c r="E209" t="str">
        <f>INDEX([3]!db[NB NOTA],Table17[[#This Row],[//db]])</f>
        <v>PALET GAMBAR BIOLA-APEL WARNA/ WAP-202</v>
      </c>
      <c r="F209" t="str">
        <f>INDEX([3]!db[NB BM],Table17[[#This Row],[//db]])</f>
        <v>PALET APEL</v>
      </c>
      <c r="G209" t="str">
        <f>_xlfn.IFNA(INDEX([3]!Table2[NAMA],Table17[[#This Row],[dbconcat]]),"")</f>
        <v>PALET APEL</v>
      </c>
      <c r="H209" t="str">
        <f>INDEX([3]!Table2[KODE BARANG],Table17[[#This Row],[dbconcat]])</f>
        <v>PAL-NB2</v>
      </c>
      <c r="I209" t="str">
        <f>IF(Table17[[#This Row],[Column3]]="",UPPER(Table17[[#This Row],[Column1]]),Table17[[#This Row],[Column3]])</f>
        <v>PALET APEL</v>
      </c>
      <c r="J209">
        <f>INDEX(NOTA[C],Sheet1!A:A)</f>
        <v>3</v>
      </c>
      <c r="K209">
        <f>IF(OR(Table17[[#This Row],[Column5]]=0,Table17[[#This Row],[Column3]]=""),"",INDEX([3]!Table2[ISI2],Table17[[#This Row],[dbconcat]]))</f>
        <v>60</v>
      </c>
      <c r="L209" t="str">
        <f>IF(Table17[[#This Row],[isis]]="","",INDEX([3]!Table2[SATUAN3],Table17[[#This Row],[dbconcat]]))</f>
        <v>LSN</v>
      </c>
      <c r="M209" t="str">
        <f>IF(Table17[[#This Row],[Column5]]=0,"",IF(Table17[[#This Row],[Column3]]="",INDEX([3]!db[QTY B],Table17[[#This Row],[//db]]),""))</f>
        <v/>
      </c>
      <c r="N209" t="str">
        <f>IF(Table17[[#This Row],[isin]]="","",INDEX([3]!db[STN B],Table17[[#This Row],[//db]]))</f>
        <v/>
      </c>
      <c r="O209" t="str">
        <f>IF(AND(Table17[[#This Row],[isis]]="",Table17[[#This Row],[isin]]=""),INDEX(NOTA[QTY],Sheet1!A:A)/IF(Table17[[#This Row],[Column5]]=0,1,Table17[[#This Row],[Column5]]),"")</f>
        <v/>
      </c>
      <c r="P209" t="str">
        <f>IF(Table17[[#This Row],[Column2]]="","",INDEX(NOTA[STN],Sheet1!A:A))</f>
        <v/>
      </c>
      <c r="Q209" s="5" t="str">
        <f>INDEX([3]!db[QTY B],Table17[[#This Row],[//db]])</f>
        <v>60</v>
      </c>
      <c r="R209" t="str">
        <f>INDEX([3]!db[STN B],Table17[[#This Row],[//db]])</f>
        <v>LSN</v>
      </c>
      <c r="S209" s="40" t="str">
        <f>IF(Table17[[#This Row],[Column5]]=0,Table17[[#This Row],[Column23]]/Table17[[#This Row],[Column224]],"")</f>
        <v/>
      </c>
      <c r="T209" s="4">
        <f>IF(Table17[[#This Row],[Column222]]="",Table17[[#This Row],[Column5]],Table17[[#This Row],[Column222]])</f>
        <v>3</v>
      </c>
      <c r="U209" s="4" t="str">
        <f>IF(Table17[[#This Row],[Column223]]=Table17[[#This Row],[Column24]],"",1)</f>
        <v/>
      </c>
      <c r="V209" s="5">
        <f>IF(Table17[[#This Row],[isis]]="",IF(Table17[[#This Row],[isin]]="",Table17[[#This Row],[Column2]],Table17[[#This Row],[isin]]),Table17[[#This Row],[isis]])</f>
        <v>60</v>
      </c>
      <c r="W209" s="3" t="str">
        <f>IF(Table17[[#This Row],[isis]]="",IF(Table17[[#This Row],[isin]]="",Table17[[#This Row],[Column22]],Table17[[#This Row],[stnn]]),Table17[[#This Row],[stns]])</f>
        <v>LSN</v>
      </c>
      <c r="X209" s="5">
        <f>IF(Table17[[#This Row],[Column2222]]&lt;1,Table17[[#This Row],[Column23]],Table17[[#This Row],[Column23]]*Table17[[#This Row],[Column2222]])</f>
        <v>180</v>
      </c>
      <c r="Y209" s="3" t="str">
        <f>Table17[[#This Row],[Column24]]</f>
        <v>LSN</v>
      </c>
      <c r="Z209" s="5">
        <f>Table17[[#This Row],[HRG / CTN]]/Table17[[#This Row],[Column23]]</f>
        <v>0</v>
      </c>
      <c r="AA209" s="42" t="str">
        <f>IF(INDEX(NOTA[DISC 1],Sheet1!A:A)=0,"",INDEX(NOTA[DISC 1],Sheet1!A:A))</f>
        <v/>
      </c>
      <c r="AB209" s="42" t="str">
        <f>IF(INDEX(NOTA[DISC 2],Sheet1!A:A)=0,"",INDEX(NOTA[DISC 2],Sheet1!A:A))</f>
        <v/>
      </c>
      <c r="AC20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9" s="43">
        <f>INDEX(NOTA[HARGA/ CTN_H],Sheet1!A:A)</f>
        <v>0</v>
      </c>
      <c r="AE209" s="43">
        <f>IF(Table17[[#This Row],[DISC 3]]="",Table17[[#This Row],[HRG / CTN]],Table17[[#This Row],[HRG / CTN]]-(Table17[[#This Row],[HRG / CTN]]*Table17[[#This Row],[DISC 3]]))</f>
        <v>0</v>
      </c>
      <c r="AF209" s="14">
        <f>IF(Table17[[#This Row],[Column2222]]&lt;1,Table17[[#This Row],[Column9]],Table17[[#This Row],[Column9]]*Table17[[#This Row],[Column2222]])</f>
        <v>0</v>
      </c>
      <c r="AG209" s="43">
        <f ca="1">IF(NOT(AL210=Table17[[#This Row],[Column6]]),SUMIF(Table17[Column6],Table17[[#This Row],[Column6]],Table17[Column7]),"")</f>
        <v>7812000</v>
      </c>
      <c r="AH209" s="44">
        <f ca="1">INDEX(NOTA[TGL_H],Sheet1!A:A)</f>
        <v>45465</v>
      </c>
      <c r="AI209" s="44">
        <f ca="1">INDEX(NOTA[TGL.NOTA_H],Sheet1!A:A)</f>
        <v>45446</v>
      </c>
      <c r="AK209" t="str">
        <f>IF(INDEX(NOTA[KETERANGAN],A:A)="","",INDEX(NOTA[KETERANGAN],A:A))</f>
        <v>BARANG TITIP</v>
      </c>
      <c r="AL209" t="str">
        <f ca="1">INDEX(NOTA[NO.NOTA_H],Sheet1!A:A)</f>
        <v>WF0005ATTP</v>
      </c>
      <c r="AM209" t="str">
        <f>INDEX(NOTA[KETERANGAN],Sheet1!A:A)</f>
        <v>BARANG TITIP</v>
      </c>
      <c r="AN209" t="str">
        <f ca="1">INDEX(NOTA[SUPPLIER_H],Sheet1!A:A)</f>
        <v>SBS</v>
      </c>
      <c r="AO209" t="e">
        <f t="shared" ca="1" si="7"/>
        <v>#N/A</v>
      </c>
    </row>
    <row r="210" spans="1:41">
      <c r="A210" s="3">
        <v>255</v>
      </c>
      <c r="C210">
        <f>INDEX(NOTA[//DB],Sheet1!A:A)</f>
        <v>1138</v>
      </c>
      <c r="D210">
        <f>MATCH(Table17[[#This Row],[//db]],[3]!Table2[\\],0)</f>
        <v>709</v>
      </c>
      <c r="E210" t="str">
        <f>INDEX([3]!db[NB NOTA],Table17[[#This Row],[//db]])</f>
        <v>GEL PEN ZUI ZHUA HY-1020 HITAM</v>
      </c>
      <c r="F210" t="str">
        <f>INDEX([3]!db[NB BM],Table17[[#This Row],[//db]])</f>
        <v>Bp Gel Zui Xua HY-1020 Hitam</v>
      </c>
      <c r="G210" t="str">
        <f>_xlfn.IFNA(INDEX([3]!Table2[NAMA],Table17[[#This Row],[dbconcat]]),"")</f>
        <v>BP GEL ZUI XUA HY-1020 HITAM</v>
      </c>
      <c r="H210" t="str">
        <f>INDEX([3]!Table2[KODE BARANG],Table17[[#This Row],[dbconcat]])</f>
        <v>BOL-ZX335</v>
      </c>
      <c r="I210" t="str">
        <f>IF(Table17[[#This Row],[Column3]]="",UPPER(Table17[[#This Row],[Column1]]),Table17[[#This Row],[Column3]])</f>
        <v>BP GEL ZUI XUA HY-1020 HITAM</v>
      </c>
      <c r="J210">
        <f>INDEX(NOTA[C],Sheet1!A:A)</f>
        <v>25</v>
      </c>
      <c r="K210">
        <f>IF(OR(Table17[[#This Row],[Column5]]=0,Table17[[#This Row],[Column3]]=""),"",INDEX([3]!Table2[ISI2],Table17[[#This Row],[dbconcat]]))</f>
        <v>192</v>
      </c>
      <c r="L210" t="str">
        <f>IF(Table17[[#This Row],[isis]]="","",INDEX([3]!Table2[SATUAN3],Table17[[#This Row],[dbconcat]]))</f>
        <v>LSN</v>
      </c>
      <c r="M210" t="str">
        <f>IF(Table17[[#This Row],[Column5]]=0,"",IF(Table17[[#This Row],[Column3]]="",INDEX([3]!db[QTY B],Table17[[#This Row],[//db]]),""))</f>
        <v/>
      </c>
      <c r="N210" t="str">
        <f>IF(Table17[[#This Row],[isin]]="","",INDEX([3]!db[STN B],Table17[[#This Row],[//db]]))</f>
        <v/>
      </c>
      <c r="O210" t="str">
        <f>IF(AND(Table17[[#This Row],[isis]]="",Table17[[#This Row],[isin]]=""),INDEX(NOTA[QTY],Sheet1!A:A)/IF(Table17[[#This Row],[Column5]]=0,1,Table17[[#This Row],[Column5]]),"")</f>
        <v/>
      </c>
      <c r="P210" t="str">
        <f>IF(Table17[[#This Row],[Column2]]="","",INDEX(NOTA[STN],Sheet1!A:A))</f>
        <v/>
      </c>
      <c r="Q210" s="5" t="str">
        <f>INDEX([3]!db[QTY B],Table17[[#This Row],[//db]])</f>
        <v>192</v>
      </c>
      <c r="R210" t="str">
        <f>INDEX([3]!db[STN B],Table17[[#This Row],[//db]])</f>
        <v>LSN</v>
      </c>
      <c r="S210" s="40" t="str">
        <f>IF(Table17[[#This Row],[Column5]]=0,Table17[[#This Row],[Column23]]/Table17[[#This Row],[Column224]],"")</f>
        <v/>
      </c>
      <c r="T210" s="4">
        <f>IF(Table17[[#This Row],[Column222]]="",Table17[[#This Row],[Column5]],Table17[[#This Row],[Column222]])</f>
        <v>25</v>
      </c>
      <c r="U210" s="4" t="str">
        <f>IF(Table17[[#This Row],[Column223]]=Table17[[#This Row],[Column24]],"",1)</f>
        <v/>
      </c>
      <c r="V210" s="5">
        <f>IF(Table17[[#This Row],[isis]]="",IF(Table17[[#This Row],[isin]]="",Table17[[#This Row],[Column2]],Table17[[#This Row],[isin]]),Table17[[#This Row],[isis]])</f>
        <v>192</v>
      </c>
      <c r="W210" s="3" t="str">
        <f>IF(Table17[[#This Row],[isis]]="",IF(Table17[[#This Row],[isin]]="",Table17[[#This Row],[Column22]],Table17[[#This Row],[stnn]]),Table17[[#This Row],[stns]])</f>
        <v>LSN</v>
      </c>
      <c r="X210" s="5">
        <f>IF(Table17[[#This Row],[Column2222]]&lt;1,Table17[[#This Row],[Column23]],Table17[[#This Row],[Column23]]*Table17[[#This Row],[Column2222]])</f>
        <v>4800</v>
      </c>
      <c r="Y210" s="3" t="str">
        <f>Table17[[#This Row],[Column24]]</f>
        <v>LSN</v>
      </c>
      <c r="Z210" s="5">
        <f>Table17[[#This Row],[HRG / CTN]]/Table17[[#This Row],[Column23]]</f>
        <v>10000</v>
      </c>
      <c r="AA210" s="42" t="str">
        <f>IF(INDEX(NOTA[DISC 1],Sheet1!A:A)=0,"",INDEX(NOTA[DISC 1],Sheet1!A:A))</f>
        <v/>
      </c>
      <c r="AB210" s="42" t="str">
        <f>IF(INDEX(NOTA[DISC 2],Sheet1!A:A)=0,"",INDEX(NOTA[DISC 2],Sheet1!A:A))</f>
        <v/>
      </c>
      <c r="AC21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0" s="43">
        <f>INDEX(NOTA[HARGA/ CTN_H],Sheet1!A:A)</f>
        <v>1920000</v>
      </c>
      <c r="AE210" s="43">
        <f>IF(Table17[[#This Row],[DISC 3]]="",Table17[[#This Row],[HRG / CTN]],Table17[[#This Row],[HRG / CTN]]-(Table17[[#This Row],[HRG / CTN]]*Table17[[#This Row],[DISC 3]]))</f>
        <v>1920000</v>
      </c>
      <c r="AF210" s="14">
        <f>IF(Table17[[#This Row],[Column2222]]&lt;1,Table17[[#This Row],[Column9]],Table17[[#This Row],[Column9]]*Table17[[#This Row],[Column2222]])</f>
        <v>48000000</v>
      </c>
      <c r="AG210" s="43">
        <f ca="1">IF(NOT(AL211=Table17[[#This Row],[Column6]]),SUMIF(Table17[Column6],Table17[[#This Row],[Column6]],Table17[Column7]),"")</f>
        <v>48000000</v>
      </c>
      <c r="AH210" s="44">
        <f ca="1">INDEX(NOTA[TGL_H],Sheet1!A:A)</f>
        <v>45465</v>
      </c>
      <c r="AI210" s="44">
        <f ca="1">INDEX(NOTA[TGL.NOTA_H],Sheet1!A:A)</f>
        <v>45457</v>
      </c>
      <c r="AK210" t="str">
        <f>IF(INDEX(NOTA[KETERANGAN],A:A)="","",INDEX(NOTA[KETERANGAN],A:A))</f>
        <v/>
      </c>
      <c r="AL210" t="str">
        <f ca="1">INDEX(NOTA[NO.NOTA_H],Sheet1!A:A)</f>
        <v>24/VI/185</v>
      </c>
      <c r="AM210">
        <f>INDEX(NOTA[KETERANGAN],Sheet1!A:A)</f>
        <v>0</v>
      </c>
      <c r="AN210" t="str">
        <f ca="1">INDEX(NOTA[SUPPLIER_H],Sheet1!A:A)</f>
        <v>MSI</v>
      </c>
      <c r="AO210" t="e">
        <f t="shared" ca="1" si="7"/>
        <v>#N/A</v>
      </c>
    </row>
    <row r="211" spans="1:41">
      <c r="A211" s="3">
        <v>257</v>
      </c>
      <c r="C211">
        <f>INDEX(NOTA[//DB],Sheet1!A:A)</f>
        <v>873</v>
      </c>
      <c r="D211">
        <f>MATCH(Table17[[#This Row],[//db]],[3]!Table2[\\],0)</f>
        <v>988</v>
      </c>
      <c r="E211" t="str">
        <f>INDEX([3]!db[NB NOTA],Table17[[#This Row],[//db]])</f>
        <v>DOC RIT PRESTIGE</v>
      </c>
      <c r="F211" t="str">
        <f>INDEX([3]!db[NB BM],Table17[[#This Row],[//db]])</f>
        <v>Dokumen Risleting Prestige</v>
      </c>
      <c r="G211" t="str">
        <f>_xlfn.IFNA(INDEX([3]!Table2[NAMA],Table17[[#This Row],[dbconcat]]),"")</f>
        <v>DOKUMEN RISLETING PRESTIGE</v>
      </c>
      <c r="H211" t="str">
        <f>INDEX([3]!Table2[KODE BARANG],Table17[[#This Row],[dbconcat]])</f>
        <v>DOK-NB29</v>
      </c>
      <c r="I211" t="str">
        <f>IF(Table17[[#This Row],[Column3]]="",UPPER(Table17[[#This Row],[Column1]]),Table17[[#This Row],[Column3]])</f>
        <v>DOKUMEN RISLETING PRESTIGE</v>
      </c>
      <c r="J211">
        <f>INDEX(NOTA[C],Sheet1!A:A)</f>
        <v>3</v>
      </c>
      <c r="K211">
        <f>IF(OR(Table17[[#This Row],[Column5]]=0,Table17[[#This Row],[Column3]]=""),"",INDEX([3]!Table2[ISI2],Table17[[#This Row],[dbconcat]]))</f>
        <v>8</v>
      </c>
      <c r="L211" t="str">
        <f>IF(Table17[[#This Row],[isis]]="","",INDEX([3]!Table2[SATUAN3],Table17[[#This Row],[dbconcat]]))</f>
        <v>LSN</v>
      </c>
      <c r="M211" t="str">
        <f>IF(Table17[[#This Row],[Column5]]=0,"",IF(Table17[[#This Row],[Column3]]="",INDEX([3]!db[QTY B],Table17[[#This Row],[//db]]),""))</f>
        <v/>
      </c>
      <c r="N211" t="str">
        <f>IF(Table17[[#This Row],[isin]]="","",INDEX([3]!db[STN B],Table17[[#This Row],[//db]]))</f>
        <v/>
      </c>
      <c r="O211" t="str">
        <f>IF(AND(Table17[[#This Row],[isis]]="",Table17[[#This Row],[isin]]=""),INDEX(NOTA[QTY],Sheet1!A:A)/IF(Table17[[#This Row],[Column5]]=0,1,Table17[[#This Row],[Column5]]),"")</f>
        <v/>
      </c>
      <c r="P211" t="str">
        <f>IF(Table17[[#This Row],[Column2]]="","",INDEX(NOTA[STN],Sheet1!A:A))</f>
        <v/>
      </c>
      <c r="Q211" s="5" t="str">
        <f>INDEX([3]!db[QTY B],Table17[[#This Row],[//db]])</f>
        <v>8</v>
      </c>
      <c r="R211" t="str">
        <f>INDEX([3]!db[STN B],Table17[[#This Row],[//db]])</f>
        <v>LSN</v>
      </c>
      <c r="S211" s="40" t="str">
        <f>IF(Table17[[#This Row],[Column5]]=0,Table17[[#This Row],[Column23]]/Table17[[#This Row],[Column224]],"")</f>
        <v/>
      </c>
      <c r="T211" s="4">
        <f>IF(Table17[[#This Row],[Column222]]="",Table17[[#This Row],[Column5]],Table17[[#This Row],[Column222]])</f>
        <v>3</v>
      </c>
      <c r="U211" s="4" t="str">
        <f>IF(Table17[[#This Row],[Column223]]=Table17[[#This Row],[Column24]],"",1)</f>
        <v/>
      </c>
      <c r="V211" s="5">
        <f>IF(Table17[[#This Row],[isis]]="",IF(Table17[[#This Row],[isin]]="",Table17[[#This Row],[Column2]],Table17[[#This Row],[isin]]),Table17[[#This Row],[isis]])</f>
        <v>8</v>
      </c>
      <c r="W211" s="3" t="str">
        <f>IF(Table17[[#This Row],[isis]]="",IF(Table17[[#This Row],[isin]]="",Table17[[#This Row],[Column22]],Table17[[#This Row],[stnn]]),Table17[[#This Row],[stns]])</f>
        <v>LSN</v>
      </c>
      <c r="X211" s="5">
        <f>IF(Table17[[#This Row],[Column2222]]&lt;1,Table17[[#This Row],[Column23]],Table17[[#This Row],[Column23]]*Table17[[#This Row],[Column2222]])</f>
        <v>24</v>
      </c>
      <c r="Y211" s="3" t="str">
        <f>Table17[[#This Row],[Column24]]</f>
        <v>LSN</v>
      </c>
      <c r="Z211" s="5">
        <f>Table17[[#This Row],[HRG / CTN]]/Table17[[#This Row],[Column23]]</f>
        <v>195000</v>
      </c>
      <c r="AA211" s="42" t="str">
        <f>IF(INDEX(NOTA[DISC 1],Sheet1!A:A)=0,"",INDEX(NOTA[DISC 1],Sheet1!A:A))</f>
        <v/>
      </c>
      <c r="AB211" s="42" t="str">
        <f>IF(INDEX(NOTA[DISC 2],Sheet1!A:A)=0,"",INDEX(NOTA[DISC 2],Sheet1!A:A))</f>
        <v/>
      </c>
      <c r="AC21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1" s="43">
        <f>INDEX(NOTA[HARGA/ CTN_H],Sheet1!A:A)</f>
        <v>1560000</v>
      </c>
      <c r="AE211" s="43">
        <f>IF(Table17[[#This Row],[DISC 3]]="",Table17[[#This Row],[HRG / CTN]],Table17[[#This Row],[HRG / CTN]]-(Table17[[#This Row],[HRG / CTN]]*Table17[[#This Row],[DISC 3]]))</f>
        <v>1560000</v>
      </c>
      <c r="AF211" s="14">
        <f>IF(Table17[[#This Row],[Column2222]]&lt;1,Table17[[#This Row],[Column9]],Table17[[#This Row],[Column9]]*Table17[[#This Row],[Column2222]])</f>
        <v>4680000</v>
      </c>
      <c r="AG211" s="43">
        <f ca="1">IF(NOT(AL212=Table17[[#This Row],[Column6]]),SUMIF(Table17[Column6],Table17[[#This Row],[Column6]],Table17[Column7]),"")</f>
        <v>4680000</v>
      </c>
      <c r="AH211" s="44">
        <f ca="1">INDEX(NOTA[TGL_H],Sheet1!A:A)</f>
        <v>45462</v>
      </c>
      <c r="AI211" s="44">
        <f ca="1">INDEX(NOTA[TGL.NOTA_H],Sheet1!A:A)</f>
        <v>45462</v>
      </c>
      <c r="AK211" t="str">
        <f>IF(INDEX(NOTA[KETERANGAN],A:A)="","",INDEX(NOTA[KETERANGAN],A:A))</f>
        <v/>
      </c>
      <c r="AL211" t="str">
        <f ca="1">INDEX(NOTA[NO.NOTA_H],Sheet1!A:A)</f>
        <v>0630</v>
      </c>
      <c r="AM211">
        <f>INDEX(NOTA[KETERANGAN],Sheet1!A:A)</f>
        <v>0</v>
      </c>
      <c r="AN211" t="str">
        <f ca="1">INDEX(NOTA[SUPPLIER_H],Sheet1!A:A)</f>
        <v>COMBI</v>
      </c>
      <c r="AO211" t="e">
        <f t="shared" ca="1" si="7"/>
        <v>#N/A</v>
      </c>
    </row>
    <row r="212" spans="1:41">
      <c r="A212" s="3">
        <v>259</v>
      </c>
      <c r="C212">
        <f>INDEX(NOTA[//DB],Sheet1!A:A)</f>
        <v>2826</v>
      </c>
      <c r="D212">
        <f>MATCH(Table17[[#This Row],[//db]],[3]!Table2[\\],0)</f>
        <v>2697</v>
      </c>
      <c r="E212" t="str">
        <f>INDEX([3]!db[NB NOTA],Table17[[#This Row],[//db]])</f>
        <v>SAMPUL OPP ALEXANDER KWARTO</v>
      </c>
      <c r="F212" t="str">
        <f>INDEX([3]!db[NB BM],Table17[[#This Row],[//db]])</f>
        <v>SAMPUL KWARTO OPP ALEXANDER</v>
      </c>
      <c r="G212" t="str">
        <f>_xlfn.IFNA(INDEX([3]!Table2[NAMA],Table17[[#This Row],[dbconcat]]),"")</f>
        <v>SAMPUL KWARTO OPP ALEXANDER</v>
      </c>
      <c r="H212" t="str">
        <f>INDEX([3]!Table2[KODE BARANG],Table17[[#This Row],[dbconcat]])</f>
        <v>SAM-NB8</v>
      </c>
      <c r="I212" t="str">
        <f>IF(Table17[[#This Row],[Column3]]="",UPPER(Table17[[#This Row],[Column1]]),Table17[[#This Row],[Column3]])</f>
        <v>SAMPUL KWARTO OPP ALEXANDER</v>
      </c>
      <c r="J212">
        <f>INDEX(NOTA[C],Sheet1!A:A)</f>
        <v>5</v>
      </c>
      <c r="K212">
        <f>IF(OR(Table17[[#This Row],[Column5]]=0,Table17[[#This Row],[Column3]]=""),"",INDEX([3]!Table2[ISI2],Table17[[#This Row],[dbconcat]]))</f>
        <v>300</v>
      </c>
      <c r="L212" t="str">
        <f>IF(Table17[[#This Row],[isis]]="","",INDEX([3]!Table2[SATUAN3],Table17[[#This Row],[dbconcat]]))</f>
        <v>PAK</v>
      </c>
      <c r="M212" t="str">
        <f>IF(Table17[[#This Row],[Column5]]=0,"",IF(Table17[[#This Row],[Column3]]="",INDEX([3]!db[QTY B],Table17[[#This Row],[//db]]),""))</f>
        <v/>
      </c>
      <c r="N212" t="str">
        <f>IF(Table17[[#This Row],[isin]]="","",INDEX([3]!db[STN B],Table17[[#This Row],[//db]]))</f>
        <v/>
      </c>
      <c r="O212" t="str">
        <f>IF(AND(Table17[[#This Row],[isis]]="",Table17[[#This Row],[isin]]=""),INDEX(NOTA[QTY],Sheet1!A:A)/IF(Table17[[#This Row],[Column5]]=0,1,Table17[[#This Row],[Column5]]),"")</f>
        <v/>
      </c>
      <c r="P212" t="str">
        <f>IF(Table17[[#This Row],[Column2]]="","",INDEX(NOTA[STN],Sheet1!A:A))</f>
        <v/>
      </c>
      <c r="Q212" s="5" t="str">
        <f>INDEX([3]!db[QTY B],Table17[[#This Row],[//db]])</f>
        <v>300</v>
      </c>
      <c r="R212" t="str">
        <f>INDEX([3]!db[STN B],Table17[[#This Row],[//db]])</f>
        <v>PAK</v>
      </c>
      <c r="S212" s="40" t="str">
        <f>IF(Table17[[#This Row],[Column5]]=0,Table17[[#This Row],[Column23]]/Table17[[#This Row],[Column224]],"")</f>
        <v/>
      </c>
      <c r="T212" s="4">
        <f>IF(Table17[[#This Row],[Column222]]="",Table17[[#This Row],[Column5]],Table17[[#This Row],[Column222]])</f>
        <v>5</v>
      </c>
      <c r="U212" s="4" t="str">
        <f>IF(Table17[[#This Row],[Column223]]=Table17[[#This Row],[Column24]],"",1)</f>
        <v/>
      </c>
      <c r="V212" s="5">
        <f>IF(Table17[[#This Row],[isis]]="",IF(Table17[[#This Row],[isin]]="",Table17[[#This Row],[Column2]],Table17[[#This Row],[isin]]),Table17[[#This Row],[isis]])</f>
        <v>300</v>
      </c>
      <c r="W212" s="3" t="str">
        <f>IF(Table17[[#This Row],[isis]]="",IF(Table17[[#This Row],[isin]]="",Table17[[#This Row],[Column22]],Table17[[#This Row],[stnn]]),Table17[[#This Row],[stns]])</f>
        <v>PAK</v>
      </c>
      <c r="X212" s="5">
        <f>IF(Table17[[#This Row],[Column2222]]&lt;1,Table17[[#This Row],[Column23]],Table17[[#This Row],[Column23]]*Table17[[#This Row],[Column2222]])</f>
        <v>1500</v>
      </c>
      <c r="Y212" s="3" t="str">
        <f>Table17[[#This Row],[Column24]]</f>
        <v>PAK</v>
      </c>
      <c r="Z212" s="5">
        <f>Table17[[#This Row],[HRG / CTN]]/Table17[[#This Row],[Column23]]</f>
        <v>6500</v>
      </c>
      <c r="AA212" s="42" t="str">
        <f>IF(INDEX(NOTA[DISC 1],Sheet1!A:A)=0,"",INDEX(NOTA[DISC 1],Sheet1!A:A))</f>
        <v/>
      </c>
      <c r="AB212" s="42" t="str">
        <f>IF(INDEX(NOTA[DISC 2],Sheet1!A:A)=0,"",INDEX(NOTA[DISC 2],Sheet1!A:A))</f>
        <v/>
      </c>
      <c r="AC21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2" s="43">
        <f>INDEX(NOTA[HARGA/ CTN_H],Sheet1!A:A)</f>
        <v>1950000</v>
      </c>
      <c r="AE212" s="43">
        <f>IF(Table17[[#This Row],[DISC 3]]="",Table17[[#This Row],[HRG / CTN]],Table17[[#This Row],[HRG / CTN]]-(Table17[[#This Row],[HRG / CTN]]*Table17[[#This Row],[DISC 3]]))</f>
        <v>1950000</v>
      </c>
      <c r="AF212" s="14">
        <f>IF(Table17[[#This Row],[Column2222]]&lt;1,Table17[[#This Row],[Column9]],Table17[[#This Row],[Column9]]*Table17[[#This Row],[Column2222]])</f>
        <v>9750000</v>
      </c>
      <c r="AG212" s="43" t="str">
        <f ca="1">IF(NOT(AL213=Table17[[#This Row],[Column6]]),SUMIF(Table17[Column6],Table17[[#This Row],[Column6]],Table17[Column7]),"")</f>
        <v/>
      </c>
      <c r="AH212" s="44">
        <f ca="1">INDEX(NOTA[TGL_H],Sheet1!A:A)</f>
        <v>45465</v>
      </c>
      <c r="AI212" s="44">
        <f ca="1">INDEX(NOTA[TGL.NOTA_H],Sheet1!A:A)</f>
        <v>45462</v>
      </c>
      <c r="AK212" t="str">
        <f>IF(INDEX(NOTA[KETERANGAN],A:A)="","",INDEX(NOTA[KETERANGAN],A:A))</f>
        <v/>
      </c>
      <c r="AL212" t="str">
        <f ca="1">INDEX(NOTA[NO.NOTA_H],Sheet1!A:A)</f>
        <v>H 03</v>
      </c>
      <c r="AM212">
        <f>INDEX(NOTA[KETERANGAN],Sheet1!A:A)</f>
        <v>0</v>
      </c>
      <c r="AN212" t="str">
        <f ca="1">INDEX(NOTA[SUPPLIER_H],Sheet1!A:A)</f>
        <v>ALPINDO</v>
      </c>
      <c r="AO212" t="e">
        <f t="shared" ca="1" si="7"/>
        <v>#N/A</v>
      </c>
    </row>
    <row r="213" spans="1:41">
      <c r="A213" s="3">
        <v>260</v>
      </c>
      <c r="C213">
        <f>INDEX(NOTA[//DB],Sheet1!A:A)</f>
        <v>833</v>
      </c>
      <c r="D213">
        <f>MATCH(Table17[[#This Row],[//db]],[3]!Table2[\\],0)</f>
        <v>955</v>
      </c>
      <c r="E213" t="str">
        <f>INDEX([3]!db[NB NOTA],Table17[[#This Row],[//db]])</f>
        <v>DISP KJ NO.50</v>
      </c>
      <c r="F213" t="str">
        <f>INDEX([3]!db[NB BM],Table17[[#This Row],[//db]])</f>
        <v>DISPENSER KENJOY 50</v>
      </c>
      <c r="G213" t="str">
        <f>_xlfn.IFNA(INDEX([3]!Table2[NAMA],Table17[[#This Row],[dbconcat]]),"")</f>
        <v>DISPENSER KENJOY 50</v>
      </c>
      <c r="H213" t="str">
        <f>INDEX([3]!Table2[KODE BARANG],Table17[[#This Row],[dbconcat]])</f>
        <v>DIS-KE9</v>
      </c>
      <c r="I213" t="str">
        <f>IF(Table17[[#This Row],[Column3]]="",UPPER(Table17[[#This Row],[Column1]]),Table17[[#This Row],[Column3]])</f>
        <v>DISPENSER KENJOY 50</v>
      </c>
      <c r="J213">
        <f>INDEX(NOTA[C],Sheet1!A:A)</f>
        <v>5</v>
      </c>
      <c r="K213">
        <f>IF(OR(Table17[[#This Row],[Column5]]=0,Table17[[#This Row],[Column3]]=""),"",INDEX([3]!Table2[ISI2],Table17[[#This Row],[dbconcat]]))</f>
        <v>40</v>
      </c>
      <c r="L213" t="str">
        <f>IF(Table17[[#This Row],[isis]]="","",INDEX([3]!Table2[SATUAN3],Table17[[#This Row],[dbconcat]]))</f>
        <v>PCS</v>
      </c>
      <c r="M213" t="str">
        <f>IF(Table17[[#This Row],[Column5]]=0,"",IF(Table17[[#This Row],[Column3]]="",INDEX([3]!db[QTY B],Table17[[#This Row],[//db]]),""))</f>
        <v/>
      </c>
      <c r="N213" t="str">
        <f>IF(Table17[[#This Row],[isin]]="","",INDEX([3]!db[STN B],Table17[[#This Row],[//db]]))</f>
        <v/>
      </c>
      <c r="O213" t="str">
        <f>IF(AND(Table17[[#This Row],[isis]]="",Table17[[#This Row],[isin]]=""),INDEX(NOTA[QTY],Sheet1!A:A)/IF(Table17[[#This Row],[Column5]]=0,1,Table17[[#This Row],[Column5]]),"")</f>
        <v/>
      </c>
      <c r="P213" t="str">
        <f>IF(Table17[[#This Row],[Column2]]="","",INDEX(NOTA[STN],Sheet1!A:A))</f>
        <v/>
      </c>
      <c r="Q213" s="5" t="str">
        <f>INDEX([3]!db[QTY B],Table17[[#This Row],[//db]])</f>
        <v>40</v>
      </c>
      <c r="R213" t="str">
        <f>INDEX([3]!db[STN B],Table17[[#This Row],[//db]])</f>
        <v>PCS</v>
      </c>
      <c r="S213" s="40" t="str">
        <f>IF(Table17[[#This Row],[Column5]]=0,Table17[[#This Row],[Column23]]/Table17[[#This Row],[Column224]],"")</f>
        <v/>
      </c>
      <c r="T213" s="4">
        <f>IF(Table17[[#This Row],[Column222]]="",Table17[[#This Row],[Column5]],Table17[[#This Row],[Column222]])</f>
        <v>5</v>
      </c>
      <c r="U213" s="4" t="str">
        <f>IF(Table17[[#This Row],[Column223]]=Table17[[#This Row],[Column24]],"",1)</f>
        <v/>
      </c>
      <c r="V213" s="5">
        <f>IF(Table17[[#This Row],[isis]]="",IF(Table17[[#This Row],[isin]]="",Table17[[#This Row],[Column2]],Table17[[#This Row],[isin]]),Table17[[#This Row],[isis]])</f>
        <v>40</v>
      </c>
      <c r="W213" s="3" t="str">
        <f>IF(Table17[[#This Row],[isis]]="",IF(Table17[[#This Row],[isin]]="",Table17[[#This Row],[Column22]],Table17[[#This Row],[stnn]]),Table17[[#This Row],[stns]])</f>
        <v>PCS</v>
      </c>
      <c r="X213" s="5">
        <f>IF(Table17[[#This Row],[Column2222]]&lt;1,Table17[[#This Row],[Column23]],Table17[[#This Row],[Column23]]*Table17[[#This Row],[Column2222]])</f>
        <v>200</v>
      </c>
      <c r="Y213" s="3" t="str">
        <f>Table17[[#This Row],[Column24]]</f>
        <v>PCS</v>
      </c>
      <c r="Z213" s="5">
        <f>Table17[[#This Row],[HRG / CTN]]/Table17[[#This Row],[Column23]]</f>
        <v>17500</v>
      </c>
      <c r="AA213" s="42">
        <f>IF(INDEX(NOTA[DISC 1],Sheet1!A:A)=0,"",INDEX(NOTA[DISC 1],Sheet1!A:A))</f>
        <v>0.3</v>
      </c>
      <c r="AB213" s="42" t="str">
        <f>IF(INDEX(NOTA[DISC 2],Sheet1!A:A)=0,"",INDEX(NOTA[DISC 2],Sheet1!A:A))</f>
        <v/>
      </c>
      <c r="AC213" s="42">
        <f>IF(Table17[[#This Row],[DISC 1]]="","",IF(Table17[[#This Row],[DISC 2]]="",Table17[[#This Row],[DISC 1]],Table17[[#This Row],[DISC 1]]+Table17[[#This Row],[DISC 2]]-(Table17[[#This Row],[DISC 1]]*Table17[[#This Row],[DISC 2]])))</f>
        <v>0.3</v>
      </c>
      <c r="AD213" s="43">
        <f>INDEX(NOTA[HARGA/ CTN_H],Sheet1!A:A)</f>
        <v>700000</v>
      </c>
      <c r="AE213" s="43">
        <f>IF(Table17[[#This Row],[DISC 3]]="",Table17[[#This Row],[HRG / CTN]],Table17[[#This Row],[HRG / CTN]]-(Table17[[#This Row],[HRG / CTN]]*Table17[[#This Row],[DISC 3]]))</f>
        <v>490000</v>
      </c>
      <c r="AF213" s="14">
        <f>IF(Table17[[#This Row],[Column2222]]&lt;1,Table17[[#This Row],[Column9]],Table17[[#This Row],[Column9]]*Table17[[#This Row],[Column2222]])</f>
        <v>2450000</v>
      </c>
      <c r="AG213" s="43" t="str">
        <f ca="1">IF(NOT(AL214=Table17[[#This Row],[Column6]]),SUMIF(Table17[Column6],Table17[[#This Row],[Column6]],Table17[Column7]),"")</f>
        <v/>
      </c>
      <c r="AH213" s="44">
        <f ca="1">INDEX(NOTA[TGL_H],Sheet1!A:A)</f>
        <v>45465</v>
      </c>
      <c r="AI213" s="44">
        <f ca="1">INDEX(NOTA[TGL.NOTA_H],Sheet1!A:A)</f>
        <v>45462</v>
      </c>
      <c r="AK213" t="str">
        <f>IF(INDEX(NOTA[KETERANGAN],A:A)="","",INDEX(NOTA[KETERANGAN],A:A))</f>
        <v/>
      </c>
      <c r="AL213" t="str">
        <f ca="1">INDEX(NOTA[NO.NOTA_H],Sheet1!A:A)</f>
        <v>H 03</v>
      </c>
      <c r="AM213">
        <f>INDEX(NOTA[KETERANGAN],Sheet1!A:A)</f>
        <v>0</v>
      </c>
      <c r="AN213" t="str">
        <f ca="1">INDEX(NOTA[SUPPLIER_H],Sheet1!A:A)</f>
        <v>ALPINDO</v>
      </c>
      <c r="AO213" t="e">
        <f t="shared" ca="1" si="7"/>
        <v>#N/A</v>
      </c>
    </row>
    <row r="214" spans="1:41">
      <c r="A214" s="3">
        <v>261</v>
      </c>
      <c r="C214">
        <f>INDEX(NOTA[//DB],Sheet1!A:A)</f>
        <v>834</v>
      </c>
      <c r="D214">
        <f>MATCH(Table17[[#This Row],[//db]],[3]!Table2[\\],0)</f>
        <v>946</v>
      </c>
      <c r="E214" t="str">
        <f>INDEX([3]!db[NB NOTA],Table17[[#This Row],[//db]])</f>
        <v>DISPENSER KENJOY NO.25</v>
      </c>
      <c r="F214" t="str">
        <f>INDEX([3]!db[NB BM],Table17[[#This Row],[//db]])</f>
        <v>DISPENSER KENJOY 25</v>
      </c>
      <c r="G214" t="str">
        <f>_xlfn.IFNA(INDEX([3]!Table2[NAMA],Table17[[#This Row],[dbconcat]]),"")</f>
        <v>DISPENSER KENJOY 25</v>
      </c>
      <c r="H214" t="str">
        <f>INDEX([3]!Table2[KODE BARANG],Table17[[#This Row],[dbconcat]])</f>
        <v>DIS-KE5</v>
      </c>
      <c r="I214" t="str">
        <f>IF(Table17[[#This Row],[Column3]]="",UPPER(Table17[[#This Row],[Column1]]),Table17[[#This Row],[Column3]])</f>
        <v>DISPENSER KENJOY 25</v>
      </c>
      <c r="J214">
        <f>INDEX(NOTA[C],Sheet1!A:A)</f>
        <v>1</v>
      </c>
      <c r="K214">
        <f>IF(OR(Table17[[#This Row],[Column5]]=0,Table17[[#This Row],[Column3]]=""),"",INDEX([3]!Table2[ISI2],Table17[[#This Row],[dbconcat]]))</f>
        <v>175</v>
      </c>
      <c r="L214" t="str">
        <f>IF(Table17[[#This Row],[isis]]="","",INDEX([3]!Table2[SATUAN3],Table17[[#This Row],[dbconcat]]))</f>
        <v>PCS</v>
      </c>
      <c r="M214" t="str">
        <f>IF(Table17[[#This Row],[Column5]]=0,"",IF(Table17[[#This Row],[Column3]]="",INDEX([3]!db[QTY B],Table17[[#This Row],[//db]]),""))</f>
        <v/>
      </c>
      <c r="N214" t="str">
        <f>IF(Table17[[#This Row],[isin]]="","",INDEX([3]!db[STN B],Table17[[#This Row],[//db]]))</f>
        <v/>
      </c>
      <c r="O214" t="str">
        <f>IF(AND(Table17[[#This Row],[isis]]="",Table17[[#This Row],[isin]]=""),INDEX(NOTA[QTY],Sheet1!A:A)/IF(Table17[[#This Row],[Column5]]=0,1,Table17[[#This Row],[Column5]]),"")</f>
        <v/>
      </c>
      <c r="P214" t="str">
        <f>IF(Table17[[#This Row],[Column2]]="","",INDEX(NOTA[STN],Sheet1!A:A))</f>
        <v/>
      </c>
      <c r="Q214" s="5" t="str">
        <f>INDEX([3]!db[QTY B],Table17[[#This Row],[//db]])</f>
        <v>175</v>
      </c>
      <c r="R214" t="str">
        <f>INDEX([3]!db[STN B],Table17[[#This Row],[//db]])</f>
        <v>PCS</v>
      </c>
      <c r="S214" s="40" t="str">
        <f>IF(Table17[[#This Row],[Column5]]=0,Table17[[#This Row],[Column23]]/Table17[[#This Row],[Column224]],"")</f>
        <v/>
      </c>
      <c r="T214" s="4">
        <f>IF(Table17[[#This Row],[Column222]]="",Table17[[#This Row],[Column5]],Table17[[#This Row],[Column222]])</f>
        <v>1</v>
      </c>
      <c r="U214" s="4" t="str">
        <f>IF(Table17[[#This Row],[Column223]]=Table17[[#This Row],[Column24]],"",1)</f>
        <v/>
      </c>
      <c r="V214" s="5">
        <f>IF(Table17[[#This Row],[isis]]="",IF(Table17[[#This Row],[isin]]="",Table17[[#This Row],[Column2]],Table17[[#This Row],[isin]]),Table17[[#This Row],[isis]])</f>
        <v>175</v>
      </c>
      <c r="W214" s="3" t="str">
        <f>IF(Table17[[#This Row],[isis]]="",IF(Table17[[#This Row],[isin]]="",Table17[[#This Row],[Column22]],Table17[[#This Row],[stnn]]),Table17[[#This Row],[stns]])</f>
        <v>PCS</v>
      </c>
      <c r="X214" s="5">
        <f>IF(Table17[[#This Row],[Column2222]]&lt;1,Table17[[#This Row],[Column23]],Table17[[#This Row],[Column23]]*Table17[[#This Row],[Column2222]])</f>
        <v>175</v>
      </c>
      <c r="Y214" s="3" t="str">
        <f>Table17[[#This Row],[Column24]]</f>
        <v>PCS</v>
      </c>
      <c r="Z214" s="5">
        <f>Table17[[#This Row],[HRG / CTN]]/Table17[[#This Row],[Column23]]</f>
        <v>6000</v>
      </c>
      <c r="AA214" s="42">
        <f>IF(INDEX(NOTA[DISC 1],Sheet1!A:A)=0,"",INDEX(NOTA[DISC 1],Sheet1!A:A))</f>
        <v>0.05</v>
      </c>
      <c r="AB214" s="42" t="str">
        <f>IF(INDEX(NOTA[DISC 2],Sheet1!A:A)=0,"",INDEX(NOTA[DISC 2],Sheet1!A:A))</f>
        <v/>
      </c>
      <c r="AC214" s="42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D214" s="43">
        <f>INDEX(NOTA[HARGA/ CTN_H],Sheet1!A:A)</f>
        <v>1050000</v>
      </c>
      <c r="AE214" s="43">
        <f>IF(Table17[[#This Row],[DISC 3]]="",Table17[[#This Row],[HRG / CTN]],Table17[[#This Row],[HRG / CTN]]-(Table17[[#This Row],[HRG / CTN]]*Table17[[#This Row],[DISC 3]]))</f>
        <v>997500</v>
      </c>
      <c r="AF214" s="14">
        <f>IF(Table17[[#This Row],[Column2222]]&lt;1,Table17[[#This Row],[Column9]],Table17[[#This Row],[Column9]]*Table17[[#This Row],[Column2222]])</f>
        <v>997500</v>
      </c>
      <c r="AG214" s="43">
        <f ca="1">IF(NOT(AL215=Table17[[#This Row],[Column6]]),SUMIF(Table17[Column6],Table17[[#This Row],[Column6]],Table17[Column7]),"")</f>
        <v>13197500</v>
      </c>
      <c r="AH214" s="44">
        <f ca="1">INDEX(NOTA[TGL_H],Sheet1!A:A)</f>
        <v>45465</v>
      </c>
      <c r="AI214" s="44">
        <f ca="1">INDEX(NOTA[TGL.NOTA_H],Sheet1!A:A)</f>
        <v>45462</v>
      </c>
      <c r="AK214" t="str">
        <f>IF(INDEX(NOTA[KETERANGAN],A:A)="","",INDEX(NOTA[KETERANGAN],A:A))</f>
        <v/>
      </c>
      <c r="AL214" t="str">
        <f ca="1">INDEX(NOTA[NO.NOTA_H],Sheet1!A:A)</f>
        <v>H 03</v>
      </c>
      <c r="AM214">
        <f>INDEX(NOTA[KETERANGAN],Sheet1!A:A)</f>
        <v>0</v>
      </c>
      <c r="AN214" t="str">
        <f ca="1">INDEX(NOTA[SUPPLIER_H],Sheet1!A:A)</f>
        <v>ALPINDO</v>
      </c>
      <c r="AO214" t="e">
        <f t="shared" ca="1" si="7"/>
        <v>#N/A</v>
      </c>
    </row>
    <row r="215" spans="1:41">
      <c r="A215" s="3">
        <v>263</v>
      </c>
      <c r="C215">
        <f>INDEX(NOTA[//DB],Sheet1!A:A)</f>
        <v>513</v>
      </c>
      <c r="D215">
        <f>MATCH(Table17[[#This Row],[//db]],[3]!Table2[\\],0)</f>
        <v>1050</v>
      </c>
      <c r="E215" t="str">
        <f>INDEX([3]!db[NB NOTA],Table17[[#This Row],[//db]])</f>
        <v>BT 30 CM</v>
      </c>
      <c r="F215" t="str">
        <f>INDEX([3]!db[NB BM],Table17[[#This Row],[//db]])</f>
        <v>GARISAN BUTTERFLY BT 30 CM</v>
      </c>
      <c r="G215" t="str">
        <f>_xlfn.IFNA(INDEX([3]!Table2[NAMA],Table17[[#This Row],[dbconcat]]),"")</f>
        <v>GARISAN BUTTERFLY BT 30CM</v>
      </c>
      <c r="H215" t="str">
        <f>INDEX([3]!Table2[KODE BARANG],Table17[[#This Row],[dbconcat]])</f>
        <v>GAR-BT25</v>
      </c>
      <c r="I215" t="str">
        <f>IF(Table17[[#This Row],[Column3]]="",UPPER(Table17[[#This Row],[Column1]]),Table17[[#This Row],[Column3]])</f>
        <v>GARISAN BUTTERFLY BT 30CM</v>
      </c>
      <c r="J215">
        <f>INDEX(NOTA[C],Sheet1!A:A)</f>
        <v>15</v>
      </c>
      <c r="K215">
        <f>IF(OR(Table17[[#This Row],[Column5]]=0,Table17[[#This Row],[Column3]]=""),"",INDEX([3]!Table2[ISI2],Table17[[#This Row],[dbconcat]]))</f>
        <v>100</v>
      </c>
      <c r="L215" t="str">
        <f>IF(Table17[[#This Row],[isis]]="","",INDEX([3]!Table2[SATUAN3],Table17[[#This Row],[dbconcat]]))</f>
        <v>LSN</v>
      </c>
      <c r="M215" t="str">
        <f>IF(Table17[[#This Row],[Column5]]=0,"",IF(Table17[[#This Row],[Column3]]="",INDEX([3]!db[QTY B],Table17[[#This Row],[//db]]),""))</f>
        <v/>
      </c>
      <c r="N215" t="str">
        <f>IF(Table17[[#This Row],[isin]]="","",INDEX([3]!db[STN B],Table17[[#This Row],[//db]]))</f>
        <v/>
      </c>
      <c r="O215" t="str">
        <f>IF(AND(Table17[[#This Row],[isis]]="",Table17[[#This Row],[isin]]=""),INDEX(NOTA[QTY],Sheet1!A:A)/IF(Table17[[#This Row],[Column5]]=0,1,Table17[[#This Row],[Column5]]),"")</f>
        <v/>
      </c>
      <c r="P215" t="str">
        <f>IF(Table17[[#This Row],[Column2]]="","",INDEX(NOTA[STN],Sheet1!A:A))</f>
        <v/>
      </c>
      <c r="Q215" s="5" t="str">
        <f>INDEX([3]!db[QTY B],Table17[[#This Row],[//db]])</f>
        <v>100</v>
      </c>
      <c r="R215" t="str">
        <f>INDEX([3]!db[STN B],Table17[[#This Row],[//db]])</f>
        <v>LSN</v>
      </c>
      <c r="S215" s="40" t="str">
        <f>IF(Table17[[#This Row],[Column5]]=0,Table17[[#This Row],[Column23]]/Table17[[#This Row],[Column224]],"")</f>
        <v/>
      </c>
      <c r="T215" s="4">
        <f>IF(Table17[[#This Row],[Column222]]="",Table17[[#This Row],[Column5]],Table17[[#This Row],[Column222]])</f>
        <v>15</v>
      </c>
      <c r="U215" s="4" t="str">
        <f>IF(Table17[[#This Row],[Column223]]=Table17[[#This Row],[Column24]],"",1)</f>
        <v/>
      </c>
      <c r="V215" s="5">
        <f>IF(Table17[[#This Row],[isis]]="",IF(Table17[[#This Row],[isin]]="",Table17[[#This Row],[Column2]],Table17[[#This Row],[isin]]),Table17[[#This Row],[isis]])</f>
        <v>100</v>
      </c>
      <c r="W215" s="3" t="str">
        <f>IF(Table17[[#This Row],[isis]]="",IF(Table17[[#This Row],[isin]]="",Table17[[#This Row],[Column22]],Table17[[#This Row],[stnn]]),Table17[[#This Row],[stns]])</f>
        <v>LSN</v>
      </c>
      <c r="X215" s="5">
        <f>IF(Table17[[#This Row],[Column2222]]&lt;1,Table17[[#This Row],[Column23]],Table17[[#This Row],[Column23]]*Table17[[#This Row],[Column2222]])</f>
        <v>1500</v>
      </c>
      <c r="Y215" s="3" t="str">
        <f>Table17[[#This Row],[Column24]]</f>
        <v>LSN</v>
      </c>
      <c r="Z215" s="5">
        <f>Table17[[#This Row],[HRG / CTN]]/Table17[[#This Row],[Column23]]</f>
        <v>26780</v>
      </c>
      <c r="AA215" s="42">
        <f>IF(INDEX(NOTA[DISC 1],Sheet1!A:A)=0,"",INDEX(NOTA[DISC 1],Sheet1!A:A))</f>
        <v>0.2</v>
      </c>
      <c r="AB215" s="42">
        <f>IF(INDEX(NOTA[DISC 2],Sheet1!A:A)=0,"",INDEX(NOTA[DISC 2],Sheet1!A:A))</f>
        <v>0.04</v>
      </c>
      <c r="AC215" s="42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D215" s="43">
        <f>INDEX(NOTA[HARGA/ CTN_H],Sheet1!A:A)</f>
        <v>2678000</v>
      </c>
      <c r="AE215" s="43">
        <f>IF(Table17[[#This Row],[DISC 3]]="",Table17[[#This Row],[HRG / CTN]],Table17[[#This Row],[HRG / CTN]]-(Table17[[#This Row],[HRG / CTN]]*Table17[[#This Row],[DISC 3]]))</f>
        <v>2056704</v>
      </c>
      <c r="AF215" s="14">
        <f>IF(Table17[[#This Row],[Column2222]]&lt;1,Table17[[#This Row],[Column9]],Table17[[#This Row],[Column9]]*Table17[[#This Row],[Column2222]])</f>
        <v>30850560</v>
      </c>
      <c r="AG215" s="43">
        <f ca="1">IF(NOT(AL216=Table17[[#This Row],[Column6]]),SUMIF(Table17[Column6],Table17[[#This Row],[Column6]],Table17[Column7]),"")</f>
        <v>30850560</v>
      </c>
      <c r="AH215" s="44">
        <f ca="1">INDEX(NOTA[TGL_H],Sheet1!A:A)</f>
        <v>45468</v>
      </c>
      <c r="AI215" s="44">
        <f ca="1">INDEX(NOTA[TGL.NOTA_H],Sheet1!A:A)</f>
        <v>45465</v>
      </c>
      <c r="AK215" t="str">
        <f>IF(INDEX(NOTA[KETERANGAN],A:A)="","",INDEX(NOTA[KETERANGAN],A:A))</f>
        <v/>
      </c>
      <c r="AL215" t="str">
        <f ca="1">INDEX(NOTA[NO.NOTA_H],Sheet1!A:A)</f>
        <v>0287/HW/VI/24</v>
      </c>
      <c r="AM215">
        <f>INDEX(NOTA[KETERANGAN],Sheet1!A:A)</f>
        <v>0</v>
      </c>
      <c r="AN215" t="str">
        <f ca="1">INDEX(NOTA[SUPPLIER_H],Sheet1!A:A)</f>
        <v>PPW</v>
      </c>
      <c r="AO215" t="e">
        <f t="shared" ca="1" si="7"/>
        <v>#N/A</v>
      </c>
    </row>
    <row r="216" spans="1:41">
      <c r="A216" s="3">
        <v>265</v>
      </c>
      <c r="C216">
        <f>INDEX(NOTA[//DB],Sheet1!A:A)</f>
        <v>2789</v>
      </c>
      <c r="D216">
        <f>MATCH(Table17[[#This Row],[//db]],[3]!Table2[\\],0)</f>
        <v>194</v>
      </c>
      <c r="E216" t="str">
        <f>INDEX([3]!db[NB NOTA],Table17[[#This Row],[//db]])</f>
        <v>RAUTAN TOPLES 25 PCS XLG R-5861</v>
      </c>
      <c r="F216" t="str">
        <f>INDEX([3]!db[NB BM],Table17[[#This Row],[//db]])</f>
        <v>ASAHAN TOPLES 25PCS XLG R-5861</v>
      </c>
      <c r="G216" t="str">
        <f>_xlfn.IFNA(INDEX([3]!Table2[NAMA],Table17[[#This Row],[dbconcat]]),"")</f>
        <v>ASAHAN TOPLES 25PCS XLG R-5861</v>
      </c>
      <c r="H216" t="str">
        <f>INDEX([3]!Table2[KODE BARANG],Table17[[#This Row],[dbconcat]])</f>
        <v>ASA-NB150</v>
      </c>
      <c r="I216" t="str">
        <f>IF(Table17[[#This Row],[Column3]]="",UPPER(Table17[[#This Row],[Column1]]),Table17[[#This Row],[Column3]])</f>
        <v>ASAHAN TOPLES 25PCS XLG R-5861</v>
      </c>
      <c r="J216">
        <f>INDEX(NOTA[C],Sheet1!A:A)</f>
        <v>1</v>
      </c>
      <c r="K216">
        <f>IF(OR(Table17[[#This Row],[Column5]]=0,Table17[[#This Row],[Column3]]=""),"",INDEX([3]!Table2[ISI2],Table17[[#This Row],[dbconcat]]))</f>
        <v>24</v>
      </c>
      <c r="L216" t="str">
        <f>IF(Table17[[#This Row],[isis]]="","",INDEX([3]!Table2[SATUAN3],Table17[[#This Row],[dbconcat]]))</f>
        <v>TOP</v>
      </c>
      <c r="M216" t="str">
        <f>IF(Table17[[#This Row],[Column5]]=0,"",IF(Table17[[#This Row],[Column3]]="",INDEX([3]!db[QTY B],Table17[[#This Row],[//db]]),""))</f>
        <v/>
      </c>
      <c r="N216" t="str">
        <f>IF(Table17[[#This Row],[isin]]="","",INDEX([3]!db[STN B],Table17[[#This Row],[//db]]))</f>
        <v/>
      </c>
      <c r="O216" t="str">
        <f>IF(AND(Table17[[#This Row],[isis]]="",Table17[[#This Row],[isin]]=""),INDEX(NOTA[QTY],Sheet1!A:A)/IF(Table17[[#This Row],[Column5]]=0,1,Table17[[#This Row],[Column5]]),"")</f>
        <v/>
      </c>
      <c r="P216" t="str">
        <f>IF(Table17[[#This Row],[Column2]]="","",INDEX(NOTA[STN],Sheet1!A:A))</f>
        <v/>
      </c>
      <c r="Q216" s="5" t="str">
        <f>INDEX([3]!db[QTY B],Table17[[#This Row],[//db]])</f>
        <v>24</v>
      </c>
      <c r="R216" t="str">
        <f>INDEX([3]!db[STN B],Table17[[#This Row],[//db]])</f>
        <v>TOP</v>
      </c>
      <c r="S216" s="40" t="str">
        <f>IF(Table17[[#This Row],[Column5]]=0,Table17[[#This Row],[Column23]]/Table17[[#This Row],[Column224]],"")</f>
        <v/>
      </c>
      <c r="T216" s="4">
        <f>IF(Table17[[#This Row],[Column222]]="",Table17[[#This Row],[Column5]],Table17[[#This Row],[Column222]])</f>
        <v>1</v>
      </c>
      <c r="U216" s="4" t="str">
        <f>IF(Table17[[#This Row],[Column223]]=Table17[[#This Row],[Column24]],"",1)</f>
        <v/>
      </c>
      <c r="V216" s="5">
        <f>IF(Table17[[#This Row],[isis]]="",IF(Table17[[#This Row],[isin]]="",Table17[[#This Row],[Column2]],Table17[[#This Row],[isin]]),Table17[[#This Row],[isis]])</f>
        <v>24</v>
      </c>
      <c r="W216" s="3" t="str">
        <f>IF(Table17[[#This Row],[isis]]="",IF(Table17[[#This Row],[isin]]="",Table17[[#This Row],[Column22]],Table17[[#This Row],[stnn]]),Table17[[#This Row],[stns]])</f>
        <v>TOP</v>
      </c>
      <c r="X216" s="5">
        <f>IF(Table17[[#This Row],[Column2222]]&lt;1,Table17[[#This Row],[Column23]],Table17[[#This Row],[Column23]]*Table17[[#This Row],[Column2222]])</f>
        <v>24</v>
      </c>
      <c r="Y216" s="3" t="str">
        <f>Table17[[#This Row],[Column24]]</f>
        <v>TOP</v>
      </c>
      <c r="Z216" s="5">
        <f>Table17[[#This Row],[HRG / CTN]]/Table17[[#This Row],[Column23]]</f>
        <v>92500</v>
      </c>
      <c r="AA216" s="42" t="str">
        <f>IF(INDEX(NOTA[DISC 1],Sheet1!A:A)=0,"",INDEX(NOTA[DISC 1],Sheet1!A:A))</f>
        <v/>
      </c>
      <c r="AB216" s="42" t="str">
        <f>IF(INDEX(NOTA[DISC 2],Sheet1!A:A)=0,"",INDEX(NOTA[DISC 2],Sheet1!A:A))</f>
        <v/>
      </c>
      <c r="AC21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6" s="43">
        <f>INDEX(NOTA[HARGA/ CTN_H],Sheet1!A:A)</f>
        <v>2220000</v>
      </c>
      <c r="AE216" s="43">
        <f>IF(Table17[[#This Row],[DISC 3]]="",Table17[[#This Row],[HRG / CTN]],Table17[[#This Row],[HRG / CTN]]-(Table17[[#This Row],[HRG / CTN]]*Table17[[#This Row],[DISC 3]]))</f>
        <v>2220000</v>
      </c>
      <c r="AF216" s="14">
        <f>IF(Table17[[#This Row],[Column2222]]&lt;1,Table17[[#This Row],[Column9]],Table17[[#This Row],[Column9]]*Table17[[#This Row],[Column2222]])</f>
        <v>2220000</v>
      </c>
      <c r="AG216" s="43" t="str">
        <f ca="1">IF(NOT(AL217=Table17[[#This Row],[Column6]]),SUMIF(Table17[Column6],Table17[[#This Row],[Column6]],Table17[Column7]),"")</f>
        <v/>
      </c>
      <c r="AH216" s="44">
        <f ca="1">INDEX(NOTA[TGL_H],Sheet1!A:A)</f>
        <v>45467</v>
      </c>
      <c r="AI216" s="44">
        <f ca="1">INDEX(NOTA[TGL.NOTA_H],Sheet1!A:A)</f>
        <v>45464</v>
      </c>
      <c r="AK216" t="str">
        <f>IF(INDEX(NOTA[KETERANGAN],A:A)="","",INDEX(NOTA[KETERANGAN],A:A))</f>
        <v/>
      </c>
      <c r="AL216" t="str">
        <f ca="1">INDEX(NOTA[NO.NOTA_H],Sheet1!A:A)</f>
        <v>JUF476/24</v>
      </c>
      <c r="AM216">
        <f>INDEX(NOTA[KETERANGAN],Sheet1!A:A)</f>
        <v>0</v>
      </c>
      <c r="AN216" t="str">
        <f ca="1">INDEX(NOTA[SUPPLIER_H],Sheet1!A:A)</f>
        <v>DB STATIONERY</v>
      </c>
      <c r="AO216" t="e">
        <f t="shared" ref="AO216:AO234" ca="1" si="8">MATCH(AL:AL,AR:AR,0)</f>
        <v>#N/A</v>
      </c>
    </row>
    <row r="217" spans="1:41">
      <c r="A217" s="3">
        <v>266</v>
      </c>
      <c r="C217">
        <f>INDEX(NOTA[//DB],Sheet1!A:A)</f>
        <v>3458</v>
      </c>
      <c r="D217">
        <f>MATCH(Table17[[#This Row],[//db]],[3]!Table2[\\],0)</f>
        <v>213</v>
      </c>
      <c r="E217" t="str">
        <f>INDEX([3]!db[NB NOTA],Table17[[#This Row],[//db]])</f>
        <v>RAUTAN MEJA BONEKA SX-0065 L</v>
      </c>
      <c r="F217" t="str">
        <f>INDEX([3]!db[NB BM],Table17[[#This Row],[//db]])</f>
        <v>ASAHAN MEJA SX-0065L BONEKA</v>
      </c>
      <c r="G217" t="str">
        <f>_xlfn.IFNA(INDEX([3]!Table2[NAMA],Table17[[#This Row],[dbconcat]]),"")</f>
        <v>ASAHAN MEJA SX-0065L BONEKA</v>
      </c>
      <c r="H217" t="str">
        <f>INDEX([3]!Table2[KODE BARANG],Table17[[#This Row],[dbconcat]])</f>
        <v>ASA-NB167</v>
      </c>
      <c r="I217" t="str">
        <f>IF(Table17[[#This Row],[Column3]]="",UPPER(Table17[[#This Row],[Column1]]),Table17[[#This Row],[Column3]])</f>
        <v>ASAHAN MEJA SX-0065L BONEKA</v>
      </c>
      <c r="J217">
        <f>INDEX(NOTA[C],Sheet1!A:A)</f>
        <v>1</v>
      </c>
      <c r="K217" t="str">
        <f>IF(OR(Table17[[#This Row],[Column5]]=0,Table17[[#This Row],[Column3]]=""),"",INDEX([3]!Table2[ISI2],Table17[[#This Row],[dbconcat]]))</f>
        <v>?</v>
      </c>
      <c r="L217" t="str">
        <f>IF(Table17[[#This Row],[isis]]="","",INDEX([3]!Table2[SATUAN3],Table17[[#This Row],[dbconcat]]))</f>
        <v>PCS</v>
      </c>
      <c r="M217" t="str">
        <f>IF(Table17[[#This Row],[Column5]]=0,"",IF(Table17[[#This Row],[Column3]]="",INDEX([3]!db[QTY B],Table17[[#This Row],[//db]]),""))</f>
        <v/>
      </c>
      <c r="N217" t="str">
        <f>IF(Table17[[#This Row],[isin]]="","",INDEX([3]!db[STN B],Table17[[#This Row],[//db]]))</f>
        <v/>
      </c>
      <c r="O217" t="str">
        <f>IF(AND(Table17[[#This Row],[isis]]="",Table17[[#This Row],[isin]]=""),INDEX(NOTA[QTY],Sheet1!A:A)/IF(Table17[[#This Row],[Column5]]=0,1,Table17[[#This Row],[Column5]]),"")</f>
        <v/>
      </c>
      <c r="P217" t="str">
        <f>IF(Table17[[#This Row],[Column2]]="","",INDEX(NOTA[STN],Sheet1!A:A))</f>
        <v/>
      </c>
      <c r="Q217" s="5" t="str">
        <f>INDEX([3]!db[QTY B],Table17[[#This Row],[//db]])</f>
        <v>15</v>
      </c>
      <c r="R217" t="str">
        <f>INDEX([3]!db[STN B],Table17[[#This Row],[//db]])</f>
        <v>PCS</v>
      </c>
      <c r="S217" s="40" t="str">
        <f>IF(Table17[[#This Row],[Column5]]=0,Table17[[#This Row],[Column23]]/Table17[[#This Row],[Column224]],"")</f>
        <v/>
      </c>
      <c r="T217" s="4">
        <f>IF(Table17[[#This Row],[Column222]]="",Table17[[#This Row],[Column5]],Table17[[#This Row],[Column222]])</f>
        <v>1</v>
      </c>
      <c r="U217" s="4" t="str">
        <f>IF(Table17[[#This Row],[Column223]]=Table17[[#This Row],[Column24]],"",1)</f>
        <v/>
      </c>
      <c r="V217" s="5" t="str">
        <f>IF(Table17[[#This Row],[isis]]="",IF(Table17[[#This Row],[isin]]="",Table17[[#This Row],[Column2]],Table17[[#This Row],[isin]]),Table17[[#This Row],[isis]])</f>
        <v>?</v>
      </c>
      <c r="W217" s="3" t="str">
        <f>IF(Table17[[#This Row],[isis]]="",IF(Table17[[#This Row],[isin]]="",Table17[[#This Row],[Column22]],Table17[[#This Row],[stnn]]),Table17[[#This Row],[stns]])</f>
        <v>PCS</v>
      </c>
      <c r="X217" s="5" t="e">
        <f>IF(Table17[[#This Row],[Column2222]]&lt;1,Table17[[#This Row],[Column23]],Table17[[#This Row],[Column23]]*Table17[[#This Row],[Column2222]])</f>
        <v>#VALUE!</v>
      </c>
      <c r="Y217" s="3" t="str">
        <f>Table17[[#This Row],[Column24]]</f>
        <v>PCS</v>
      </c>
      <c r="Z217" s="5" t="e">
        <f>Table17[[#This Row],[HRG / CTN]]/Table17[[#This Row],[Column23]]</f>
        <v>#VALUE!</v>
      </c>
      <c r="AA217" s="42" t="str">
        <f>IF(INDEX(NOTA[DISC 1],Sheet1!A:A)=0,"",INDEX(NOTA[DISC 1],Sheet1!A:A))</f>
        <v/>
      </c>
      <c r="AB217" s="42" t="str">
        <f>IF(INDEX(NOTA[DISC 2],Sheet1!A:A)=0,"",INDEX(NOTA[DISC 2],Sheet1!A:A))</f>
        <v/>
      </c>
      <c r="AC21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7" s="43">
        <f>INDEX(NOTA[HARGA/ CTN_H],Sheet1!A:A)</f>
        <v>0</v>
      </c>
      <c r="AE217" s="43">
        <f>IF(Table17[[#This Row],[DISC 3]]="",Table17[[#This Row],[HRG / CTN]],Table17[[#This Row],[HRG / CTN]]-(Table17[[#This Row],[HRG / CTN]]*Table17[[#This Row],[DISC 3]]))</f>
        <v>0</v>
      </c>
      <c r="AF217" s="14">
        <f>IF(Table17[[#This Row],[Column2222]]&lt;1,Table17[[#This Row],[Column9]],Table17[[#This Row],[Column9]]*Table17[[#This Row],[Column2222]])</f>
        <v>0</v>
      </c>
      <c r="AG217" s="43" t="str">
        <f ca="1">IF(NOT(AL218=Table17[[#This Row],[Column6]]),SUMIF(Table17[Column6],Table17[[#This Row],[Column6]],Table17[Column7]),"")</f>
        <v/>
      </c>
      <c r="AH217" s="44">
        <f ca="1">INDEX(NOTA[TGL_H],Sheet1!A:A)</f>
        <v>45467</v>
      </c>
      <c r="AI217" s="44">
        <f ca="1">INDEX(NOTA[TGL.NOTA_H],Sheet1!A:A)</f>
        <v>45464</v>
      </c>
      <c r="AK217" t="str">
        <f>IF(INDEX(NOTA[KETERANGAN],A:A)="","",INDEX(NOTA[KETERANGAN],A:A))</f>
        <v/>
      </c>
      <c r="AL217" t="str">
        <f ca="1">INDEX(NOTA[NO.NOTA_H],Sheet1!A:A)</f>
        <v>JUF476/24</v>
      </c>
      <c r="AM217">
        <f>INDEX(NOTA[KETERANGAN],Sheet1!A:A)</f>
        <v>0</v>
      </c>
      <c r="AN217" t="str">
        <f ca="1">INDEX(NOTA[SUPPLIER_H],Sheet1!A:A)</f>
        <v>DB STATIONERY</v>
      </c>
      <c r="AO217" t="e">
        <f t="shared" ca="1" si="8"/>
        <v>#N/A</v>
      </c>
    </row>
    <row r="218" spans="1:41">
      <c r="A218" s="3">
        <v>267</v>
      </c>
      <c r="C218">
        <f>INDEX(NOTA[//DB],Sheet1!A:A)</f>
        <v>1337</v>
      </c>
      <c r="D218">
        <f>MATCH(Table17[[#This Row],[//db]],[3]!Table2[\\],0)</f>
        <v>547</v>
      </c>
      <c r="E218" t="str">
        <f>INDEX([3]!db[NB NOTA],Table17[[#This Row],[//db]])</f>
        <v>GEL ZHIXIN+REFILL G-3109</v>
      </c>
      <c r="F218" t="str">
        <f>INDEX([3]!db[NB BM],Table17[[#This Row],[//db]])</f>
        <v>BP GEL ZHIXIN G 3109</v>
      </c>
      <c r="G218" t="str">
        <f>_xlfn.IFNA(INDEX([3]!Table2[NAMA],Table17[[#This Row],[dbconcat]]),"")</f>
        <v>BP GEL ZHIXIN G 3109</v>
      </c>
      <c r="H218" t="str">
        <f>INDEX([3]!Table2[KODE BARANG],Table17[[#This Row],[dbconcat]])</f>
        <v>BOL-ZI170</v>
      </c>
      <c r="I218" t="str">
        <f>IF(Table17[[#This Row],[Column3]]="",UPPER(Table17[[#This Row],[Column1]]),Table17[[#This Row],[Column3]])</f>
        <v>BP GEL ZHIXIN G 3109</v>
      </c>
      <c r="J218">
        <f>INDEX(NOTA[C],Sheet1!A:A)</f>
        <v>2</v>
      </c>
      <c r="K218">
        <f>IF(OR(Table17[[#This Row],[Column5]]=0,Table17[[#This Row],[Column3]]=""),"",INDEX([3]!Table2[ISI2],Table17[[#This Row],[dbconcat]]))</f>
        <v>120</v>
      </c>
      <c r="L218" t="str">
        <f>IF(Table17[[#This Row],[isis]]="","",INDEX([3]!Table2[SATUAN3],Table17[[#This Row],[dbconcat]]))</f>
        <v>LSN</v>
      </c>
      <c r="M218" t="str">
        <f>IF(Table17[[#This Row],[Column5]]=0,"",IF(Table17[[#This Row],[Column3]]="",INDEX([3]!db[QTY B],Table17[[#This Row],[//db]]),""))</f>
        <v/>
      </c>
      <c r="N218" t="str">
        <f>IF(Table17[[#This Row],[isin]]="","",INDEX([3]!db[STN B],Table17[[#This Row],[//db]]))</f>
        <v/>
      </c>
      <c r="O218" t="str">
        <f>IF(AND(Table17[[#This Row],[isis]]="",Table17[[#This Row],[isin]]=""),INDEX(NOTA[QTY],Sheet1!A:A)/IF(Table17[[#This Row],[Column5]]=0,1,Table17[[#This Row],[Column5]]),"")</f>
        <v/>
      </c>
      <c r="P218" t="str">
        <f>IF(Table17[[#This Row],[Column2]]="","",INDEX(NOTA[STN],Sheet1!A:A))</f>
        <v/>
      </c>
      <c r="Q218" s="5" t="str">
        <f>INDEX([3]!db[QTY B],Table17[[#This Row],[//db]])</f>
        <v>120</v>
      </c>
      <c r="R218" t="str">
        <f>INDEX([3]!db[STN B],Table17[[#This Row],[//db]])</f>
        <v>LSN</v>
      </c>
      <c r="S218" s="40" t="str">
        <f>IF(Table17[[#This Row],[Column5]]=0,Table17[[#This Row],[Column23]]/Table17[[#This Row],[Column224]],"")</f>
        <v/>
      </c>
      <c r="T218" s="4">
        <f>IF(Table17[[#This Row],[Column222]]="",Table17[[#This Row],[Column5]],Table17[[#This Row],[Column222]])</f>
        <v>2</v>
      </c>
      <c r="U218" s="4" t="str">
        <f>IF(Table17[[#This Row],[Column223]]=Table17[[#This Row],[Column24]],"",1)</f>
        <v/>
      </c>
      <c r="V218" s="5">
        <f>IF(Table17[[#This Row],[isis]]="",IF(Table17[[#This Row],[isin]]="",Table17[[#This Row],[Column2]],Table17[[#This Row],[isin]]),Table17[[#This Row],[isis]])</f>
        <v>120</v>
      </c>
      <c r="W218" s="3" t="str">
        <f>IF(Table17[[#This Row],[isis]]="",IF(Table17[[#This Row],[isin]]="",Table17[[#This Row],[Column22]],Table17[[#This Row],[stnn]]),Table17[[#This Row],[stns]])</f>
        <v>LSN</v>
      </c>
      <c r="X218" s="5">
        <f>IF(Table17[[#This Row],[Column2222]]&lt;1,Table17[[#This Row],[Column23]],Table17[[#This Row],[Column23]]*Table17[[#This Row],[Column2222]])</f>
        <v>240</v>
      </c>
      <c r="Y218" s="3" t="str">
        <f>Table17[[#This Row],[Column24]]</f>
        <v>LSN</v>
      </c>
      <c r="Z218" s="5">
        <f>Table17[[#This Row],[HRG / CTN]]/Table17[[#This Row],[Column23]]</f>
        <v>18250</v>
      </c>
      <c r="AA218" s="42" t="str">
        <f>IF(INDEX(NOTA[DISC 1],Sheet1!A:A)=0,"",INDEX(NOTA[DISC 1],Sheet1!A:A))</f>
        <v/>
      </c>
      <c r="AB218" s="42" t="str">
        <f>IF(INDEX(NOTA[DISC 2],Sheet1!A:A)=0,"",INDEX(NOTA[DISC 2],Sheet1!A:A))</f>
        <v/>
      </c>
      <c r="AC21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8" s="43">
        <f>INDEX(NOTA[HARGA/ CTN_H],Sheet1!A:A)</f>
        <v>2190000</v>
      </c>
      <c r="AE218" s="43">
        <f>IF(Table17[[#This Row],[DISC 3]]="",Table17[[#This Row],[HRG / CTN]],Table17[[#This Row],[HRG / CTN]]-(Table17[[#This Row],[HRG / CTN]]*Table17[[#This Row],[DISC 3]]))</f>
        <v>2190000</v>
      </c>
      <c r="AF218" s="14">
        <f>IF(Table17[[#This Row],[Column2222]]&lt;1,Table17[[#This Row],[Column9]],Table17[[#This Row],[Column9]]*Table17[[#This Row],[Column2222]])</f>
        <v>4380000</v>
      </c>
      <c r="AG218" s="43" t="str">
        <f ca="1">IF(NOT(AL219=Table17[[#This Row],[Column6]]),SUMIF(Table17[Column6],Table17[[#This Row],[Column6]],Table17[Column7]),"")</f>
        <v/>
      </c>
      <c r="AH218" s="44">
        <f ca="1">INDEX(NOTA[TGL_H],Sheet1!A:A)</f>
        <v>45467</v>
      </c>
      <c r="AI218" s="44">
        <f ca="1">INDEX(NOTA[TGL.NOTA_H],Sheet1!A:A)</f>
        <v>45464</v>
      </c>
      <c r="AK218" t="str">
        <f>IF(INDEX(NOTA[KETERANGAN],A:A)="","",INDEX(NOTA[KETERANGAN],A:A))</f>
        <v/>
      </c>
      <c r="AL218" t="str">
        <f ca="1">INDEX(NOTA[NO.NOTA_H],Sheet1!A:A)</f>
        <v>JUF476/24</v>
      </c>
      <c r="AM218">
        <f>INDEX(NOTA[KETERANGAN],Sheet1!A:A)</f>
        <v>0</v>
      </c>
      <c r="AN218" t="str">
        <f ca="1">INDEX(NOTA[SUPPLIER_H],Sheet1!A:A)</f>
        <v>DB STATIONERY</v>
      </c>
      <c r="AO218" t="e">
        <f t="shared" ca="1" si="8"/>
        <v>#N/A</v>
      </c>
    </row>
    <row r="219" spans="1:41">
      <c r="A219" s="3">
        <v>268</v>
      </c>
      <c r="C219">
        <f>INDEX(NOTA[//DB],Sheet1!A:A)</f>
        <v>1352</v>
      </c>
      <c r="D219">
        <f>MATCH(Table17[[#This Row],[//db]],[3]!Table2[\\],0)</f>
        <v>422</v>
      </c>
      <c r="E219" t="str">
        <f>INDEX([3]!db[NB NOTA],Table17[[#This Row],[//db]])</f>
        <v>GEL ZHIXIN+REFILL G-3125</v>
      </c>
      <c r="F219" t="str">
        <f>INDEX([3]!db[NB BM],Table17[[#This Row],[//db]])</f>
        <v>BP GEL ZHIXIN G 3125</v>
      </c>
      <c r="G219" t="str">
        <f>_xlfn.IFNA(INDEX([3]!Table2[NAMA],Table17[[#This Row],[dbconcat]]),"")</f>
        <v>BP GEL ZHIXIN G 3125</v>
      </c>
      <c r="H219" t="str">
        <f>INDEX([3]!Table2[KODE BARANG],Table17[[#This Row],[dbconcat]])</f>
        <v>BOL-ZI44</v>
      </c>
      <c r="I219" t="str">
        <f>IF(Table17[[#This Row],[Column3]]="",UPPER(Table17[[#This Row],[Column1]]),Table17[[#This Row],[Column3]])</f>
        <v>BP GEL ZHIXIN G 3125</v>
      </c>
      <c r="J219">
        <f>INDEX(NOTA[C],Sheet1!A:A)</f>
        <v>2</v>
      </c>
      <c r="K219">
        <f>IF(OR(Table17[[#This Row],[Column5]]=0,Table17[[#This Row],[Column3]]=""),"",INDEX([3]!Table2[ISI2],Table17[[#This Row],[dbconcat]]))</f>
        <v>120</v>
      </c>
      <c r="L219" t="str">
        <f>IF(Table17[[#This Row],[isis]]="","",INDEX([3]!Table2[SATUAN3],Table17[[#This Row],[dbconcat]]))</f>
        <v>LSN</v>
      </c>
      <c r="M219" t="str">
        <f>IF(Table17[[#This Row],[Column5]]=0,"",IF(Table17[[#This Row],[Column3]]="",INDEX([3]!db[QTY B],Table17[[#This Row],[//db]]),""))</f>
        <v/>
      </c>
      <c r="N219" t="str">
        <f>IF(Table17[[#This Row],[isin]]="","",INDEX([3]!db[STN B],Table17[[#This Row],[//db]]))</f>
        <v/>
      </c>
      <c r="O219" t="str">
        <f>IF(AND(Table17[[#This Row],[isis]]="",Table17[[#This Row],[isin]]=""),INDEX(NOTA[QTY],Sheet1!A:A)/IF(Table17[[#This Row],[Column5]]=0,1,Table17[[#This Row],[Column5]]),"")</f>
        <v/>
      </c>
      <c r="P219" t="str">
        <f>IF(Table17[[#This Row],[Column2]]="","",INDEX(NOTA[STN],Sheet1!A:A))</f>
        <v/>
      </c>
      <c r="Q219" s="5" t="str">
        <f>INDEX([3]!db[QTY B],Table17[[#This Row],[//db]])</f>
        <v>120</v>
      </c>
      <c r="R219" t="str">
        <f>INDEX([3]!db[STN B],Table17[[#This Row],[//db]])</f>
        <v>LSN</v>
      </c>
      <c r="S219" s="40" t="str">
        <f>IF(Table17[[#This Row],[Column5]]=0,Table17[[#This Row],[Column23]]/Table17[[#This Row],[Column224]],"")</f>
        <v/>
      </c>
      <c r="T219" s="4">
        <f>IF(Table17[[#This Row],[Column222]]="",Table17[[#This Row],[Column5]],Table17[[#This Row],[Column222]])</f>
        <v>2</v>
      </c>
      <c r="U219" s="4" t="str">
        <f>IF(Table17[[#This Row],[Column223]]=Table17[[#This Row],[Column24]],"",1)</f>
        <v/>
      </c>
      <c r="V219" s="5">
        <f>IF(Table17[[#This Row],[isis]]="",IF(Table17[[#This Row],[isin]]="",Table17[[#This Row],[Column2]],Table17[[#This Row],[isin]]),Table17[[#This Row],[isis]])</f>
        <v>120</v>
      </c>
      <c r="W219" s="3" t="str">
        <f>IF(Table17[[#This Row],[isis]]="",IF(Table17[[#This Row],[isin]]="",Table17[[#This Row],[Column22]],Table17[[#This Row],[stnn]]),Table17[[#This Row],[stns]])</f>
        <v>LSN</v>
      </c>
      <c r="X219" s="5">
        <f>IF(Table17[[#This Row],[Column2222]]&lt;1,Table17[[#This Row],[Column23]],Table17[[#This Row],[Column23]]*Table17[[#This Row],[Column2222]])</f>
        <v>240</v>
      </c>
      <c r="Y219" s="3" t="str">
        <f>Table17[[#This Row],[Column24]]</f>
        <v>LSN</v>
      </c>
      <c r="Z219" s="5">
        <f>Table17[[#This Row],[HRG / CTN]]/Table17[[#This Row],[Column23]]</f>
        <v>18250</v>
      </c>
      <c r="AA219" s="42" t="str">
        <f>IF(INDEX(NOTA[DISC 1],Sheet1!A:A)=0,"",INDEX(NOTA[DISC 1],Sheet1!A:A))</f>
        <v/>
      </c>
      <c r="AB219" s="42" t="str">
        <f>IF(INDEX(NOTA[DISC 2],Sheet1!A:A)=0,"",INDEX(NOTA[DISC 2],Sheet1!A:A))</f>
        <v/>
      </c>
      <c r="AC21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9" s="43">
        <f>INDEX(NOTA[HARGA/ CTN_H],Sheet1!A:A)</f>
        <v>2190000</v>
      </c>
      <c r="AE219" s="43">
        <f>IF(Table17[[#This Row],[DISC 3]]="",Table17[[#This Row],[HRG / CTN]],Table17[[#This Row],[HRG / CTN]]-(Table17[[#This Row],[HRG / CTN]]*Table17[[#This Row],[DISC 3]]))</f>
        <v>2190000</v>
      </c>
      <c r="AF219" s="14">
        <f>IF(Table17[[#This Row],[Column2222]]&lt;1,Table17[[#This Row],[Column9]],Table17[[#This Row],[Column9]]*Table17[[#This Row],[Column2222]])</f>
        <v>4380000</v>
      </c>
      <c r="AG219" s="43" t="str">
        <f ca="1">IF(NOT(AL220=Table17[[#This Row],[Column6]]),SUMIF(Table17[Column6],Table17[[#This Row],[Column6]],Table17[Column7]),"")</f>
        <v/>
      </c>
      <c r="AH219" s="44">
        <f ca="1">INDEX(NOTA[TGL_H],Sheet1!A:A)</f>
        <v>45467</v>
      </c>
      <c r="AI219" s="44">
        <f ca="1">INDEX(NOTA[TGL.NOTA_H],Sheet1!A:A)</f>
        <v>45464</v>
      </c>
      <c r="AK219" t="str">
        <f>IF(INDEX(NOTA[KETERANGAN],A:A)="","",INDEX(NOTA[KETERANGAN],A:A))</f>
        <v/>
      </c>
      <c r="AL219" t="str">
        <f ca="1">INDEX(NOTA[NO.NOTA_H],Sheet1!A:A)</f>
        <v>JUF476/24</v>
      </c>
      <c r="AM219">
        <f>INDEX(NOTA[KETERANGAN],Sheet1!A:A)</f>
        <v>0</v>
      </c>
      <c r="AN219" t="str">
        <f ca="1">INDEX(NOTA[SUPPLIER_H],Sheet1!A:A)</f>
        <v>DB STATIONERY</v>
      </c>
      <c r="AO219" t="e">
        <f t="shared" ca="1" si="8"/>
        <v>#N/A</v>
      </c>
    </row>
    <row r="220" spans="1:41">
      <c r="A220" s="3">
        <v>269</v>
      </c>
      <c r="C220">
        <f>INDEX(NOTA[//DB],Sheet1!A:A)</f>
        <v>1286</v>
      </c>
      <c r="D220">
        <f>MATCH(Table17[[#This Row],[//db]],[3]!Table2[\\],0)</f>
        <v>548</v>
      </c>
      <c r="E220" t="str">
        <f>INDEX([3]!db[NB NOTA],Table17[[#This Row],[//db]])</f>
        <v>GEL ZHIXIN + REFILL G-3158</v>
      </c>
      <c r="F220" t="str">
        <f>INDEX([3]!db[NB BM],Table17[[#This Row],[//db]])</f>
        <v>BP GEL ZHIXIN G 3158</v>
      </c>
      <c r="G220" t="str">
        <f>_xlfn.IFNA(INDEX([3]!Table2[NAMA],Table17[[#This Row],[dbconcat]]),"")</f>
        <v>BP GEL ZHIXIN G 3158</v>
      </c>
      <c r="H220" t="str">
        <f>INDEX([3]!Table2[KODE BARANG],Table17[[#This Row],[dbconcat]])</f>
        <v>BOL-ZI171</v>
      </c>
      <c r="I220" t="str">
        <f>IF(Table17[[#This Row],[Column3]]="",UPPER(Table17[[#This Row],[Column1]]),Table17[[#This Row],[Column3]])</f>
        <v>BP GEL ZHIXIN G 3158</v>
      </c>
      <c r="J220">
        <f>INDEX(NOTA[C],Sheet1!A:A)</f>
        <v>2</v>
      </c>
      <c r="K220">
        <f>IF(OR(Table17[[#This Row],[Column5]]=0,Table17[[#This Row],[Column3]]=""),"",INDEX([3]!Table2[ISI2],Table17[[#This Row],[dbconcat]]))</f>
        <v>120</v>
      </c>
      <c r="L220" t="str">
        <f>IF(Table17[[#This Row],[isis]]="","",INDEX([3]!Table2[SATUAN3],Table17[[#This Row],[dbconcat]]))</f>
        <v>LSN</v>
      </c>
      <c r="M220" t="str">
        <f>IF(Table17[[#This Row],[Column5]]=0,"",IF(Table17[[#This Row],[Column3]]="",INDEX([3]!db[QTY B],Table17[[#This Row],[//db]]),""))</f>
        <v/>
      </c>
      <c r="N220" t="str">
        <f>IF(Table17[[#This Row],[isin]]="","",INDEX([3]!db[STN B],Table17[[#This Row],[//db]]))</f>
        <v/>
      </c>
      <c r="O220" t="str">
        <f>IF(AND(Table17[[#This Row],[isis]]="",Table17[[#This Row],[isin]]=""),INDEX(NOTA[QTY],Sheet1!A:A)/IF(Table17[[#This Row],[Column5]]=0,1,Table17[[#This Row],[Column5]]),"")</f>
        <v/>
      </c>
      <c r="P220" t="str">
        <f>IF(Table17[[#This Row],[Column2]]="","",INDEX(NOTA[STN],Sheet1!A:A))</f>
        <v/>
      </c>
      <c r="Q220" s="5" t="str">
        <f>INDEX([3]!db[QTY B],Table17[[#This Row],[//db]])</f>
        <v>120</v>
      </c>
      <c r="R220" t="str">
        <f>INDEX([3]!db[STN B],Table17[[#This Row],[//db]])</f>
        <v>LSN</v>
      </c>
      <c r="S220" s="40" t="str">
        <f>IF(Table17[[#This Row],[Column5]]=0,Table17[[#This Row],[Column23]]/Table17[[#This Row],[Column224]],"")</f>
        <v/>
      </c>
      <c r="T220" s="4">
        <f>IF(Table17[[#This Row],[Column222]]="",Table17[[#This Row],[Column5]],Table17[[#This Row],[Column222]])</f>
        <v>2</v>
      </c>
      <c r="U220" s="4" t="str">
        <f>IF(Table17[[#This Row],[Column223]]=Table17[[#This Row],[Column24]],"",1)</f>
        <v/>
      </c>
      <c r="V220" s="5">
        <f>IF(Table17[[#This Row],[isis]]="",IF(Table17[[#This Row],[isin]]="",Table17[[#This Row],[Column2]],Table17[[#This Row],[isin]]),Table17[[#This Row],[isis]])</f>
        <v>120</v>
      </c>
      <c r="W220" s="3" t="str">
        <f>IF(Table17[[#This Row],[isis]]="",IF(Table17[[#This Row],[isin]]="",Table17[[#This Row],[Column22]],Table17[[#This Row],[stnn]]),Table17[[#This Row],[stns]])</f>
        <v>LSN</v>
      </c>
      <c r="X220" s="5">
        <f>IF(Table17[[#This Row],[Column2222]]&lt;1,Table17[[#This Row],[Column23]],Table17[[#This Row],[Column23]]*Table17[[#This Row],[Column2222]])</f>
        <v>240</v>
      </c>
      <c r="Y220" s="3" t="str">
        <f>Table17[[#This Row],[Column24]]</f>
        <v>LSN</v>
      </c>
      <c r="Z220" s="5">
        <f>Table17[[#This Row],[HRG / CTN]]/Table17[[#This Row],[Column23]]</f>
        <v>18250</v>
      </c>
      <c r="AA220" s="42" t="str">
        <f>IF(INDEX(NOTA[DISC 1],Sheet1!A:A)=0,"",INDEX(NOTA[DISC 1],Sheet1!A:A))</f>
        <v/>
      </c>
      <c r="AB220" s="42" t="str">
        <f>IF(INDEX(NOTA[DISC 2],Sheet1!A:A)=0,"",INDEX(NOTA[DISC 2],Sheet1!A:A))</f>
        <v/>
      </c>
      <c r="AC22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0" s="43">
        <f>INDEX(NOTA[HARGA/ CTN_H],Sheet1!A:A)</f>
        <v>2190000</v>
      </c>
      <c r="AE220" s="43">
        <f>IF(Table17[[#This Row],[DISC 3]]="",Table17[[#This Row],[HRG / CTN]],Table17[[#This Row],[HRG / CTN]]-(Table17[[#This Row],[HRG / CTN]]*Table17[[#This Row],[DISC 3]]))</f>
        <v>2190000</v>
      </c>
      <c r="AF220" s="14">
        <f>IF(Table17[[#This Row],[Column2222]]&lt;1,Table17[[#This Row],[Column9]],Table17[[#This Row],[Column9]]*Table17[[#This Row],[Column2222]])</f>
        <v>4380000</v>
      </c>
      <c r="AG220" s="43" t="str">
        <f ca="1">IF(NOT(AL221=Table17[[#This Row],[Column6]]),SUMIF(Table17[Column6],Table17[[#This Row],[Column6]],Table17[Column7]),"")</f>
        <v/>
      </c>
      <c r="AH220" s="44">
        <f ca="1">INDEX(NOTA[TGL_H],Sheet1!A:A)</f>
        <v>45467</v>
      </c>
      <c r="AI220" s="44">
        <f ca="1">INDEX(NOTA[TGL.NOTA_H],Sheet1!A:A)</f>
        <v>45464</v>
      </c>
      <c r="AK220" t="str">
        <f>IF(INDEX(NOTA[KETERANGAN],A:A)="","",INDEX(NOTA[KETERANGAN],A:A))</f>
        <v/>
      </c>
      <c r="AL220" t="str">
        <f ca="1">INDEX(NOTA[NO.NOTA_H],Sheet1!A:A)</f>
        <v>JUF476/24</v>
      </c>
      <c r="AM220">
        <f>INDEX(NOTA[KETERANGAN],Sheet1!A:A)</f>
        <v>0</v>
      </c>
      <c r="AN220" t="str">
        <f ca="1">INDEX(NOTA[SUPPLIER_H],Sheet1!A:A)</f>
        <v>DB STATIONERY</v>
      </c>
      <c r="AO220" t="e">
        <f t="shared" ca="1" si="8"/>
        <v>#N/A</v>
      </c>
    </row>
    <row r="221" spans="1:41">
      <c r="A221" s="3">
        <v>270</v>
      </c>
      <c r="C221">
        <f>INDEX(NOTA[//DB],Sheet1!A:A)</f>
        <v>1274</v>
      </c>
      <c r="D221">
        <f>MATCH(Table17[[#This Row],[//db]],[3]!Table2[\\],0)</f>
        <v>549</v>
      </c>
      <c r="E221" t="str">
        <f>INDEX([3]!db[NB NOTA],Table17[[#This Row],[//db]])</f>
        <v>GEL ZHIXIN + REFILL G-3159</v>
      </c>
      <c r="F221" t="str">
        <f>INDEX([3]!db[NB BM],Table17[[#This Row],[//db]])</f>
        <v>BP GEL ZHIXIN G 3159</v>
      </c>
      <c r="G221" t="str">
        <f>_xlfn.IFNA(INDEX([3]!Table2[NAMA],Table17[[#This Row],[dbconcat]]),"")</f>
        <v>BP GEL ZHIXIN G 3159</v>
      </c>
      <c r="H221" t="str">
        <f>INDEX([3]!Table2[KODE BARANG],Table17[[#This Row],[dbconcat]])</f>
        <v>BOL-ZI172</v>
      </c>
      <c r="I221" t="str">
        <f>IF(Table17[[#This Row],[Column3]]="",UPPER(Table17[[#This Row],[Column1]]),Table17[[#This Row],[Column3]])</f>
        <v>BP GEL ZHIXIN G 3159</v>
      </c>
      <c r="J221">
        <f>INDEX(NOTA[C],Sheet1!A:A)</f>
        <v>2</v>
      </c>
      <c r="K221">
        <f>IF(OR(Table17[[#This Row],[Column5]]=0,Table17[[#This Row],[Column3]]=""),"",INDEX([3]!Table2[ISI2],Table17[[#This Row],[dbconcat]]))</f>
        <v>120</v>
      </c>
      <c r="L221" t="str">
        <f>IF(Table17[[#This Row],[isis]]="","",INDEX([3]!Table2[SATUAN3],Table17[[#This Row],[dbconcat]]))</f>
        <v>LSN</v>
      </c>
      <c r="M221" t="str">
        <f>IF(Table17[[#This Row],[Column5]]=0,"",IF(Table17[[#This Row],[Column3]]="",INDEX([3]!db[QTY B],Table17[[#This Row],[//db]]),""))</f>
        <v/>
      </c>
      <c r="N221" t="str">
        <f>IF(Table17[[#This Row],[isin]]="","",INDEX([3]!db[STN B],Table17[[#This Row],[//db]]))</f>
        <v/>
      </c>
      <c r="O221" t="str">
        <f>IF(AND(Table17[[#This Row],[isis]]="",Table17[[#This Row],[isin]]=""),INDEX(NOTA[QTY],Sheet1!A:A)/IF(Table17[[#This Row],[Column5]]=0,1,Table17[[#This Row],[Column5]]),"")</f>
        <v/>
      </c>
      <c r="P221" t="str">
        <f>IF(Table17[[#This Row],[Column2]]="","",INDEX(NOTA[STN],Sheet1!A:A))</f>
        <v/>
      </c>
      <c r="Q221" s="5" t="str">
        <f>INDEX([3]!db[QTY B],Table17[[#This Row],[//db]])</f>
        <v>120</v>
      </c>
      <c r="R221" t="str">
        <f>INDEX([3]!db[STN B],Table17[[#This Row],[//db]])</f>
        <v>LSN</v>
      </c>
      <c r="S221" s="40" t="str">
        <f>IF(Table17[[#This Row],[Column5]]=0,Table17[[#This Row],[Column23]]/Table17[[#This Row],[Column224]],"")</f>
        <v/>
      </c>
      <c r="T221" s="4">
        <f>IF(Table17[[#This Row],[Column222]]="",Table17[[#This Row],[Column5]],Table17[[#This Row],[Column222]])</f>
        <v>2</v>
      </c>
      <c r="U221" s="4" t="str">
        <f>IF(Table17[[#This Row],[Column223]]=Table17[[#This Row],[Column24]],"",1)</f>
        <v/>
      </c>
      <c r="V221" s="5">
        <f>IF(Table17[[#This Row],[isis]]="",IF(Table17[[#This Row],[isin]]="",Table17[[#This Row],[Column2]],Table17[[#This Row],[isin]]),Table17[[#This Row],[isis]])</f>
        <v>120</v>
      </c>
      <c r="W221" s="3" t="str">
        <f>IF(Table17[[#This Row],[isis]]="",IF(Table17[[#This Row],[isin]]="",Table17[[#This Row],[Column22]],Table17[[#This Row],[stnn]]),Table17[[#This Row],[stns]])</f>
        <v>LSN</v>
      </c>
      <c r="X221" s="5">
        <f>IF(Table17[[#This Row],[Column2222]]&lt;1,Table17[[#This Row],[Column23]],Table17[[#This Row],[Column23]]*Table17[[#This Row],[Column2222]])</f>
        <v>240</v>
      </c>
      <c r="Y221" s="3" t="str">
        <f>Table17[[#This Row],[Column24]]</f>
        <v>LSN</v>
      </c>
      <c r="Z221" s="5">
        <f>Table17[[#This Row],[HRG / CTN]]/Table17[[#This Row],[Column23]]</f>
        <v>18250</v>
      </c>
      <c r="AA221" s="42" t="str">
        <f>IF(INDEX(NOTA[DISC 1],Sheet1!A:A)=0,"",INDEX(NOTA[DISC 1],Sheet1!A:A))</f>
        <v/>
      </c>
      <c r="AB221" s="42" t="str">
        <f>IF(INDEX(NOTA[DISC 2],Sheet1!A:A)=0,"",INDEX(NOTA[DISC 2],Sheet1!A:A))</f>
        <v/>
      </c>
      <c r="AC22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1" s="43">
        <f>INDEX(NOTA[HARGA/ CTN_H],Sheet1!A:A)</f>
        <v>2190000</v>
      </c>
      <c r="AE221" s="43">
        <f>IF(Table17[[#This Row],[DISC 3]]="",Table17[[#This Row],[HRG / CTN]],Table17[[#This Row],[HRG / CTN]]-(Table17[[#This Row],[HRG / CTN]]*Table17[[#This Row],[DISC 3]]))</f>
        <v>2190000</v>
      </c>
      <c r="AF221" s="14">
        <f>IF(Table17[[#This Row],[Column2222]]&lt;1,Table17[[#This Row],[Column9]],Table17[[#This Row],[Column9]]*Table17[[#This Row],[Column2222]])</f>
        <v>4380000</v>
      </c>
      <c r="AG221" s="43" t="str">
        <f ca="1">IF(NOT(AL222=Table17[[#This Row],[Column6]]),SUMIF(Table17[Column6],Table17[[#This Row],[Column6]],Table17[Column7]),"")</f>
        <v/>
      </c>
      <c r="AH221" s="44">
        <f ca="1">INDEX(NOTA[TGL_H],Sheet1!A:A)</f>
        <v>45467</v>
      </c>
      <c r="AI221" s="44">
        <f ca="1">INDEX(NOTA[TGL.NOTA_H],Sheet1!A:A)</f>
        <v>45464</v>
      </c>
      <c r="AK221" t="str">
        <f>IF(INDEX(NOTA[KETERANGAN],A:A)="","",INDEX(NOTA[KETERANGAN],A:A))</f>
        <v/>
      </c>
      <c r="AL221" t="str">
        <f ca="1">INDEX(NOTA[NO.NOTA_H],Sheet1!A:A)</f>
        <v>JUF476/24</v>
      </c>
      <c r="AM221">
        <f>INDEX(NOTA[KETERANGAN],Sheet1!A:A)</f>
        <v>0</v>
      </c>
      <c r="AN221" t="str">
        <f ca="1">INDEX(NOTA[SUPPLIER_H],Sheet1!A:A)</f>
        <v>DB STATIONERY</v>
      </c>
      <c r="AO221" t="e">
        <f t="shared" ca="1" si="8"/>
        <v>#N/A</v>
      </c>
    </row>
    <row r="222" spans="1:41">
      <c r="A222" s="3">
        <v>271</v>
      </c>
      <c r="C222">
        <f>INDEX(NOTA[//DB],Sheet1!A:A)</f>
        <v>1275</v>
      </c>
      <c r="D222">
        <f>MATCH(Table17[[#This Row],[//db]],[3]!Table2[\\],0)</f>
        <v>550</v>
      </c>
      <c r="E222" t="str">
        <f>INDEX([3]!db[NB NOTA],Table17[[#This Row],[//db]])</f>
        <v>GEL ZHIXIN + REFILL G-3161</v>
      </c>
      <c r="F222" t="str">
        <f>INDEX([3]!db[NB BM],Table17[[#This Row],[//db]])</f>
        <v>BP GEL ZHIXIN G 3161</v>
      </c>
      <c r="G222" t="str">
        <f>_xlfn.IFNA(INDEX([3]!Table2[NAMA],Table17[[#This Row],[dbconcat]]),"")</f>
        <v>BP GEL ZHIXIN G 3161</v>
      </c>
      <c r="H222" t="str">
        <f>INDEX([3]!Table2[KODE BARANG],Table17[[#This Row],[dbconcat]])</f>
        <v>BOL-ZI173</v>
      </c>
      <c r="I222" t="str">
        <f>IF(Table17[[#This Row],[Column3]]="",UPPER(Table17[[#This Row],[Column1]]),Table17[[#This Row],[Column3]])</f>
        <v>BP GEL ZHIXIN G 3161</v>
      </c>
      <c r="J222">
        <f>INDEX(NOTA[C],Sheet1!A:A)</f>
        <v>2</v>
      </c>
      <c r="K222">
        <f>IF(OR(Table17[[#This Row],[Column5]]=0,Table17[[#This Row],[Column3]]=""),"",INDEX([3]!Table2[ISI2],Table17[[#This Row],[dbconcat]]))</f>
        <v>120</v>
      </c>
      <c r="L222" t="str">
        <f>IF(Table17[[#This Row],[isis]]="","",INDEX([3]!Table2[SATUAN3],Table17[[#This Row],[dbconcat]]))</f>
        <v>LSN</v>
      </c>
      <c r="M222" t="str">
        <f>IF(Table17[[#This Row],[Column5]]=0,"",IF(Table17[[#This Row],[Column3]]="",INDEX([3]!db[QTY B],Table17[[#This Row],[//db]]),""))</f>
        <v/>
      </c>
      <c r="N222" t="str">
        <f>IF(Table17[[#This Row],[isin]]="","",INDEX([3]!db[STN B],Table17[[#This Row],[//db]]))</f>
        <v/>
      </c>
      <c r="O222" t="str">
        <f>IF(AND(Table17[[#This Row],[isis]]="",Table17[[#This Row],[isin]]=""),INDEX(NOTA[QTY],Sheet1!A:A)/IF(Table17[[#This Row],[Column5]]=0,1,Table17[[#This Row],[Column5]]),"")</f>
        <v/>
      </c>
      <c r="P222" t="str">
        <f>IF(Table17[[#This Row],[Column2]]="","",INDEX(NOTA[STN],Sheet1!A:A))</f>
        <v/>
      </c>
      <c r="Q222" s="5" t="str">
        <f>INDEX([3]!db[QTY B],Table17[[#This Row],[//db]])</f>
        <v>120</v>
      </c>
      <c r="R222" t="str">
        <f>INDEX([3]!db[STN B],Table17[[#This Row],[//db]])</f>
        <v>LSN</v>
      </c>
      <c r="S222" s="40" t="str">
        <f>IF(Table17[[#This Row],[Column5]]=0,Table17[[#This Row],[Column23]]/Table17[[#This Row],[Column224]],"")</f>
        <v/>
      </c>
      <c r="T222" s="4">
        <f>IF(Table17[[#This Row],[Column222]]="",Table17[[#This Row],[Column5]],Table17[[#This Row],[Column222]])</f>
        <v>2</v>
      </c>
      <c r="U222" s="4" t="str">
        <f>IF(Table17[[#This Row],[Column223]]=Table17[[#This Row],[Column24]],"",1)</f>
        <v/>
      </c>
      <c r="V222" s="5">
        <f>IF(Table17[[#This Row],[isis]]="",IF(Table17[[#This Row],[isin]]="",Table17[[#This Row],[Column2]],Table17[[#This Row],[isin]]),Table17[[#This Row],[isis]])</f>
        <v>120</v>
      </c>
      <c r="W222" s="3" t="str">
        <f>IF(Table17[[#This Row],[isis]]="",IF(Table17[[#This Row],[isin]]="",Table17[[#This Row],[Column22]],Table17[[#This Row],[stnn]]),Table17[[#This Row],[stns]])</f>
        <v>LSN</v>
      </c>
      <c r="X222" s="5">
        <f>IF(Table17[[#This Row],[Column2222]]&lt;1,Table17[[#This Row],[Column23]],Table17[[#This Row],[Column23]]*Table17[[#This Row],[Column2222]])</f>
        <v>240</v>
      </c>
      <c r="Y222" s="3" t="str">
        <f>Table17[[#This Row],[Column24]]</f>
        <v>LSN</v>
      </c>
      <c r="Z222" s="5">
        <f>Table17[[#This Row],[HRG / CTN]]/Table17[[#This Row],[Column23]]</f>
        <v>18250</v>
      </c>
      <c r="AA222" s="42" t="str">
        <f>IF(INDEX(NOTA[DISC 1],Sheet1!A:A)=0,"",INDEX(NOTA[DISC 1],Sheet1!A:A))</f>
        <v/>
      </c>
      <c r="AB222" s="42" t="str">
        <f>IF(INDEX(NOTA[DISC 2],Sheet1!A:A)=0,"",INDEX(NOTA[DISC 2],Sheet1!A:A))</f>
        <v/>
      </c>
      <c r="AC22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2" s="43">
        <f>INDEX(NOTA[HARGA/ CTN_H],Sheet1!A:A)</f>
        <v>2190000</v>
      </c>
      <c r="AE222" s="43">
        <f>IF(Table17[[#This Row],[DISC 3]]="",Table17[[#This Row],[HRG / CTN]],Table17[[#This Row],[HRG / CTN]]-(Table17[[#This Row],[HRG / CTN]]*Table17[[#This Row],[DISC 3]]))</f>
        <v>2190000</v>
      </c>
      <c r="AF222" s="14">
        <f>IF(Table17[[#This Row],[Column2222]]&lt;1,Table17[[#This Row],[Column9]],Table17[[#This Row],[Column9]]*Table17[[#This Row],[Column2222]])</f>
        <v>4380000</v>
      </c>
      <c r="AG222" s="43" t="str">
        <f ca="1">IF(NOT(AL223=Table17[[#This Row],[Column6]]),SUMIF(Table17[Column6],Table17[[#This Row],[Column6]],Table17[Column7]),"")</f>
        <v/>
      </c>
      <c r="AH222" s="44">
        <f ca="1">INDEX(NOTA[TGL_H],Sheet1!A:A)</f>
        <v>45467</v>
      </c>
      <c r="AI222" s="44">
        <f ca="1">INDEX(NOTA[TGL.NOTA_H],Sheet1!A:A)</f>
        <v>45464</v>
      </c>
      <c r="AK222" t="str">
        <f>IF(INDEX(NOTA[KETERANGAN],A:A)="","",INDEX(NOTA[KETERANGAN],A:A))</f>
        <v/>
      </c>
      <c r="AL222" t="str">
        <f ca="1">INDEX(NOTA[NO.NOTA_H],Sheet1!A:A)</f>
        <v>JUF476/24</v>
      </c>
      <c r="AM222">
        <f>INDEX(NOTA[KETERANGAN],Sheet1!A:A)</f>
        <v>0</v>
      </c>
      <c r="AN222" t="str">
        <f ca="1">INDEX(NOTA[SUPPLIER_H],Sheet1!A:A)</f>
        <v>DB STATIONERY</v>
      </c>
      <c r="AO222" t="e">
        <f t="shared" ca="1" si="8"/>
        <v>#N/A</v>
      </c>
    </row>
    <row r="223" spans="1:41">
      <c r="A223" s="3">
        <v>272</v>
      </c>
      <c r="C223">
        <f>INDEX(NOTA[//DB],Sheet1!A:A)</f>
        <v>1276</v>
      </c>
      <c r="D223">
        <f>MATCH(Table17[[#This Row],[//db]],[3]!Table2[\\],0)</f>
        <v>551</v>
      </c>
      <c r="E223" t="str">
        <f>INDEX([3]!db[NB NOTA],Table17[[#This Row],[//db]])</f>
        <v>GEL ZHIXIN + REFILL G-3160</v>
      </c>
      <c r="F223" t="str">
        <f>INDEX([3]!db[NB BM],Table17[[#This Row],[//db]])</f>
        <v>BP GEL ZHIXIN G 3160</v>
      </c>
      <c r="G223" t="str">
        <f>_xlfn.IFNA(INDEX([3]!Table2[NAMA],Table17[[#This Row],[dbconcat]]),"")</f>
        <v>BP GEL ZHIXIN G 3160</v>
      </c>
      <c r="H223" t="str">
        <f>INDEX([3]!Table2[KODE BARANG],Table17[[#This Row],[dbconcat]])</f>
        <v>BOL-ZI174</v>
      </c>
      <c r="I223" t="str">
        <f>IF(Table17[[#This Row],[Column3]]="",UPPER(Table17[[#This Row],[Column1]]),Table17[[#This Row],[Column3]])</f>
        <v>BP GEL ZHIXIN G 3160</v>
      </c>
      <c r="J223">
        <f>INDEX(NOTA[C],Sheet1!A:A)</f>
        <v>2</v>
      </c>
      <c r="K223">
        <f>IF(OR(Table17[[#This Row],[Column5]]=0,Table17[[#This Row],[Column3]]=""),"",INDEX([3]!Table2[ISI2],Table17[[#This Row],[dbconcat]]))</f>
        <v>120</v>
      </c>
      <c r="L223" t="str">
        <f>IF(Table17[[#This Row],[isis]]="","",INDEX([3]!Table2[SATUAN3],Table17[[#This Row],[dbconcat]]))</f>
        <v>LSN</v>
      </c>
      <c r="M223" t="str">
        <f>IF(Table17[[#This Row],[Column5]]=0,"",IF(Table17[[#This Row],[Column3]]="",INDEX([3]!db[QTY B],Table17[[#This Row],[//db]]),""))</f>
        <v/>
      </c>
      <c r="N223" t="str">
        <f>IF(Table17[[#This Row],[isin]]="","",INDEX([3]!db[STN B],Table17[[#This Row],[//db]]))</f>
        <v/>
      </c>
      <c r="O223" t="str">
        <f>IF(AND(Table17[[#This Row],[isis]]="",Table17[[#This Row],[isin]]=""),INDEX(NOTA[QTY],Sheet1!A:A)/IF(Table17[[#This Row],[Column5]]=0,1,Table17[[#This Row],[Column5]]),"")</f>
        <v/>
      </c>
      <c r="P223" t="str">
        <f>IF(Table17[[#This Row],[Column2]]="","",INDEX(NOTA[STN],Sheet1!A:A))</f>
        <v/>
      </c>
      <c r="Q223" s="5" t="str">
        <f>INDEX([3]!db[QTY B],Table17[[#This Row],[//db]])</f>
        <v>120</v>
      </c>
      <c r="R223" t="str">
        <f>INDEX([3]!db[STN B],Table17[[#This Row],[//db]])</f>
        <v>LSN</v>
      </c>
      <c r="S223" s="40" t="str">
        <f>IF(Table17[[#This Row],[Column5]]=0,Table17[[#This Row],[Column23]]/Table17[[#This Row],[Column224]],"")</f>
        <v/>
      </c>
      <c r="T223" s="4">
        <f>IF(Table17[[#This Row],[Column222]]="",Table17[[#This Row],[Column5]],Table17[[#This Row],[Column222]])</f>
        <v>2</v>
      </c>
      <c r="U223" s="4" t="str">
        <f>IF(Table17[[#This Row],[Column223]]=Table17[[#This Row],[Column24]],"",1)</f>
        <v/>
      </c>
      <c r="V223" s="5">
        <f>IF(Table17[[#This Row],[isis]]="",IF(Table17[[#This Row],[isin]]="",Table17[[#This Row],[Column2]],Table17[[#This Row],[isin]]),Table17[[#This Row],[isis]])</f>
        <v>120</v>
      </c>
      <c r="W223" s="3" t="str">
        <f>IF(Table17[[#This Row],[isis]]="",IF(Table17[[#This Row],[isin]]="",Table17[[#This Row],[Column22]],Table17[[#This Row],[stnn]]),Table17[[#This Row],[stns]])</f>
        <v>LSN</v>
      </c>
      <c r="X223" s="5">
        <f>IF(Table17[[#This Row],[Column2222]]&lt;1,Table17[[#This Row],[Column23]],Table17[[#This Row],[Column23]]*Table17[[#This Row],[Column2222]])</f>
        <v>240</v>
      </c>
      <c r="Y223" s="3" t="str">
        <f>Table17[[#This Row],[Column24]]</f>
        <v>LSN</v>
      </c>
      <c r="Z223" s="5">
        <f>Table17[[#This Row],[HRG / CTN]]/Table17[[#This Row],[Column23]]</f>
        <v>18250</v>
      </c>
      <c r="AA223" s="42" t="str">
        <f>IF(INDEX(NOTA[DISC 1],Sheet1!A:A)=0,"",INDEX(NOTA[DISC 1],Sheet1!A:A))</f>
        <v/>
      </c>
      <c r="AB223" s="42" t="str">
        <f>IF(INDEX(NOTA[DISC 2],Sheet1!A:A)=0,"",INDEX(NOTA[DISC 2],Sheet1!A:A))</f>
        <v/>
      </c>
      <c r="AC22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3" s="43">
        <f>INDEX(NOTA[HARGA/ CTN_H],Sheet1!A:A)</f>
        <v>2190000</v>
      </c>
      <c r="AE223" s="43">
        <f>IF(Table17[[#This Row],[DISC 3]]="",Table17[[#This Row],[HRG / CTN]],Table17[[#This Row],[HRG / CTN]]-(Table17[[#This Row],[HRG / CTN]]*Table17[[#This Row],[DISC 3]]))</f>
        <v>2190000</v>
      </c>
      <c r="AF223" s="14">
        <f>IF(Table17[[#This Row],[Column2222]]&lt;1,Table17[[#This Row],[Column9]],Table17[[#This Row],[Column9]]*Table17[[#This Row],[Column2222]])</f>
        <v>4380000</v>
      </c>
      <c r="AG223" s="43" t="str">
        <f ca="1">IF(NOT(AL224=Table17[[#This Row],[Column6]]),SUMIF(Table17[Column6],Table17[[#This Row],[Column6]],Table17[Column7]),"")</f>
        <v/>
      </c>
      <c r="AH223" s="44">
        <f ca="1">INDEX(NOTA[TGL_H],Sheet1!A:A)</f>
        <v>45467</v>
      </c>
      <c r="AI223" s="44">
        <f ca="1">INDEX(NOTA[TGL.NOTA_H],Sheet1!A:A)</f>
        <v>45464</v>
      </c>
      <c r="AK223" t="str">
        <f>IF(INDEX(NOTA[KETERANGAN],A:A)="","",INDEX(NOTA[KETERANGAN],A:A))</f>
        <v/>
      </c>
      <c r="AL223" t="str">
        <f ca="1">INDEX(NOTA[NO.NOTA_H],Sheet1!A:A)</f>
        <v>JUF476/24</v>
      </c>
      <c r="AM223">
        <f>INDEX(NOTA[KETERANGAN],Sheet1!A:A)</f>
        <v>0</v>
      </c>
      <c r="AN223" t="str">
        <f ca="1">INDEX(NOTA[SUPPLIER_H],Sheet1!A:A)</f>
        <v>DB STATIONERY</v>
      </c>
      <c r="AO223" t="e">
        <f t="shared" ca="1" si="8"/>
        <v>#N/A</v>
      </c>
    </row>
    <row r="224" spans="1:41">
      <c r="A224" s="3">
        <v>273</v>
      </c>
      <c r="C224">
        <f>INDEX(NOTA[//DB],Sheet1!A:A)</f>
        <v>1277</v>
      </c>
      <c r="D224">
        <f>MATCH(Table17[[#This Row],[//db]],[3]!Table2[\\],0)</f>
        <v>552</v>
      </c>
      <c r="E224" t="str">
        <f>INDEX([3]!db[NB NOTA],Table17[[#This Row],[//db]])</f>
        <v>GEL ZHIXIN + REFILL G-3166</v>
      </c>
      <c r="F224" t="str">
        <f>INDEX([3]!db[NB BM],Table17[[#This Row],[//db]])</f>
        <v>BP GEL ZHIXIN G 3166</v>
      </c>
      <c r="G224" t="str">
        <f>_xlfn.IFNA(INDEX([3]!Table2[NAMA],Table17[[#This Row],[dbconcat]]),"")</f>
        <v>BP GEL ZHIXIN G 3166</v>
      </c>
      <c r="H224" t="str">
        <f>INDEX([3]!Table2[KODE BARANG],Table17[[#This Row],[dbconcat]])</f>
        <v>BOL-ZI175</v>
      </c>
      <c r="I224" t="str">
        <f>IF(Table17[[#This Row],[Column3]]="",UPPER(Table17[[#This Row],[Column1]]),Table17[[#This Row],[Column3]])</f>
        <v>BP GEL ZHIXIN G 3166</v>
      </c>
      <c r="J224">
        <f>INDEX(NOTA[C],Sheet1!A:A)</f>
        <v>2</v>
      </c>
      <c r="K224">
        <f>IF(OR(Table17[[#This Row],[Column5]]=0,Table17[[#This Row],[Column3]]=""),"",INDEX([3]!Table2[ISI2],Table17[[#This Row],[dbconcat]]))</f>
        <v>120</v>
      </c>
      <c r="L224" t="str">
        <f>IF(Table17[[#This Row],[isis]]="","",INDEX([3]!Table2[SATUAN3],Table17[[#This Row],[dbconcat]]))</f>
        <v>LSN</v>
      </c>
      <c r="M224" t="str">
        <f>IF(Table17[[#This Row],[Column5]]=0,"",IF(Table17[[#This Row],[Column3]]="",INDEX([3]!db[QTY B],Table17[[#This Row],[//db]]),""))</f>
        <v/>
      </c>
      <c r="N224" t="str">
        <f>IF(Table17[[#This Row],[isin]]="","",INDEX([3]!db[STN B],Table17[[#This Row],[//db]]))</f>
        <v/>
      </c>
      <c r="O224" t="str">
        <f>IF(AND(Table17[[#This Row],[isis]]="",Table17[[#This Row],[isin]]=""),INDEX(NOTA[QTY],Sheet1!A:A)/IF(Table17[[#This Row],[Column5]]=0,1,Table17[[#This Row],[Column5]]),"")</f>
        <v/>
      </c>
      <c r="P224" t="str">
        <f>IF(Table17[[#This Row],[Column2]]="","",INDEX(NOTA[STN],Sheet1!A:A))</f>
        <v/>
      </c>
      <c r="Q224" s="5" t="str">
        <f>INDEX([3]!db[QTY B],Table17[[#This Row],[//db]])</f>
        <v>120</v>
      </c>
      <c r="R224" t="str">
        <f>INDEX([3]!db[STN B],Table17[[#This Row],[//db]])</f>
        <v>LSN</v>
      </c>
      <c r="S224" s="40" t="str">
        <f>IF(Table17[[#This Row],[Column5]]=0,Table17[[#This Row],[Column23]]/Table17[[#This Row],[Column224]],"")</f>
        <v/>
      </c>
      <c r="T224" s="4">
        <f>IF(Table17[[#This Row],[Column222]]="",Table17[[#This Row],[Column5]],Table17[[#This Row],[Column222]])</f>
        <v>2</v>
      </c>
      <c r="U224" s="4" t="str">
        <f>IF(Table17[[#This Row],[Column223]]=Table17[[#This Row],[Column24]],"",1)</f>
        <v/>
      </c>
      <c r="V224" s="5">
        <f>IF(Table17[[#This Row],[isis]]="",IF(Table17[[#This Row],[isin]]="",Table17[[#This Row],[Column2]],Table17[[#This Row],[isin]]),Table17[[#This Row],[isis]])</f>
        <v>120</v>
      </c>
      <c r="W224" s="3" t="str">
        <f>IF(Table17[[#This Row],[isis]]="",IF(Table17[[#This Row],[isin]]="",Table17[[#This Row],[Column22]],Table17[[#This Row],[stnn]]),Table17[[#This Row],[stns]])</f>
        <v>LSN</v>
      </c>
      <c r="X224" s="5">
        <f>IF(Table17[[#This Row],[Column2222]]&lt;1,Table17[[#This Row],[Column23]],Table17[[#This Row],[Column23]]*Table17[[#This Row],[Column2222]])</f>
        <v>240</v>
      </c>
      <c r="Y224" s="3" t="str">
        <f>Table17[[#This Row],[Column24]]</f>
        <v>LSN</v>
      </c>
      <c r="Z224" s="5">
        <f>Table17[[#This Row],[HRG / CTN]]/Table17[[#This Row],[Column23]]</f>
        <v>18250</v>
      </c>
      <c r="AA224" s="42" t="str">
        <f>IF(INDEX(NOTA[DISC 1],Sheet1!A:A)=0,"",INDEX(NOTA[DISC 1],Sheet1!A:A))</f>
        <v/>
      </c>
      <c r="AB224" s="42" t="str">
        <f>IF(INDEX(NOTA[DISC 2],Sheet1!A:A)=0,"",INDEX(NOTA[DISC 2],Sheet1!A:A))</f>
        <v/>
      </c>
      <c r="AC22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4" s="43">
        <f>INDEX(NOTA[HARGA/ CTN_H],Sheet1!A:A)</f>
        <v>2190000</v>
      </c>
      <c r="AE224" s="43">
        <f>IF(Table17[[#This Row],[DISC 3]]="",Table17[[#This Row],[HRG / CTN]],Table17[[#This Row],[HRG / CTN]]-(Table17[[#This Row],[HRG / CTN]]*Table17[[#This Row],[DISC 3]]))</f>
        <v>2190000</v>
      </c>
      <c r="AF224" s="14">
        <f>IF(Table17[[#This Row],[Column2222]]&lt;1,Table17[[#This Row],[Column9]],Table17[[#This Row],[Column9]]*Table17[[#This Row],[Column2222]])</f>
        <v>4380000</v>
      </c>
      <c r="AG224" s="43" t="str">
        <f ca="1">IF(NOT(AL225=Table17[[#This Row],[Column6]]),SUMIF(Table17[Column6],Table17[[#This Row],[Column6]],Table17[Column7]),"")</f>
        <v/>
      </c>
      <c r="AH224" s="44">
        <f ca="1">INDEX(NOTA[TGL_H],Sheet1!A:A)</f>
        <v>45467</v>
      </c>
      <c r="AI224" s="44">
        <f ca="1">INDEX(NOTA[TGL.NOTA_H],Sheet1!A:A)</f>
        <v>45464</v>
      </c>
      <c r="AK224" t="str">
        <f>IF(INDEX(NOTA[KETERANGAN],A:A)="","",INDEX(NOTA[KETERANGAN],A:A))</f>
        <v/>
      </c>
      <c r="AL224" t="str">
        <f ca="1">INDEX(NOTA[NO.NOTA_H],Sheet1!A:A)</f>
        <v>JUF476/24</v>
      </c>
      <c r="AM224">
        <f>INDEX(NOTA[KETERANGAN],Sheet1!A:A)</f>
        <v>0</v>
      </c>
      <c r="AN224" t="str">
        <f ca="1">INDEX(NOTA[SUPPLIER_H],Sheet1!A:A)</f>
        <v>DB STATIONERY</v>
      </c>
      <c r="AO224" t="e">
        <f t="shared" ca="1" si="8"/>
        <v>#N/A</v>
      </c>
    </row>
    <row r="225" spans="1:41">
      <c r="A225" s="3">
        <v>274</v>
      </c>
      <c r="C225">
        <f>INDEX(NOTA[//DB],Sheet1!A:A)</f>
        <v>1267</v>
      </c>
      <c r="D225">
        <f>MATCH(Table17[[#This Row],[//db]],[3]!Table2[\\],0)</f>
        <v>553</v>
      </c>
      <c r="E225" t="str">
        <f>INDEX([3]!db[NB NOTA],Table17[[#This Row],[//db]])</f>
        <v>GEL ZHIXIN + REFILL G 3167</v>
      </c>
      <c r="F225" t="str">
        <f>INDEX([3]!db[NB BM],Table17[[#This Row],[//db]])</f>
        <v>BP GEL ZHIXIN G 3167</v>
      </c>
      <c r="G225" t="str">
        <f>_xlfn.IFNA(INDEX([3]!Table2[NAMA],Table17[[#This Row],[dbconcat]]),"")</f>
        <v>BP GEL ZHIXIN G 3167</v>
      </c>
      <c r="H225" t="str">
        <f>INDEX([3]!Table2[KODE BARANG],Table17[[#This Row],[dbconcat]])</f>
        <v>BOL-ZI176</v>
      </c>
      <c r="I225" t="str">
        <f>IF(Table17[[#This Row],[Column3]]="",UPPER(Table17[[#This Row],[Column1]]),Table17[[#This Row],[Column3]])</f>
        <v>BP GEL ZHIXIN G 3167</v>
      </c>
      <c r="J225">
        <f>INDEX(NOTA[C],Sheet1!A:A)</f>
        <v>2</v>
      </c>
      <c r="K225">
        <f>IF(OR(Table17[[#This Row],[Column5]]=0,Table17[[#This Row],[Column3]]=""),"",INDEX([3]!Table2[ISI2],Table17[[#This Row],[dbconcat]]))</f>
        <v>120</v>
      </c>
      <c r="L225" t="str">
        <f>IF(Table17[[#This Row],[isis]]="","",INDEX([3]!Table2[SATUAN3],Table17[[#This Row],[dbconcat]]))</f>
        <v>LSN</v>
      </c>
      <c r="M225" t="str">
        <f>IF(Table17[[#This Row],[Column5]]=0,"",IF(Table17[[#This Row],[Column3]]="",INDEX([3]!db[QTY B],Table17[[#This Row],[//db]]),""))</f>
        <v/>
      </c>
      <c r="N225" t="str">
        <f>IF(Table17[[#This Row],[isin]]="","",INDEX([3]!db[STN B],Table17[[#This Row],[//db]]))</f>
        <v/>
      </c>
      <c r="O225" t="str">
        <f>IF(AND(Table17[[#This Row],[isis]]="",Table17[[#This Row],[isin]]=""),INDEX(NOTA[QTY],Sheet1!A:A)/IF(Table17[[#This Row],[Column5]]=0,1,Table17[[#This Row],[Column5]]),"")</f>
        <v/>
      </c>
      <c r="P225" t="str">
        <f>IF(Table17[[#This Row],[Column2]]="","",INDEX(NOTA[STN],Sheet1!A:A))</f>
        <v/>
      </c>
      <c r="Q225" s="5" t="str">
        <f>INDEX([3]!db[QTY B],Table17[[#This Row],[//db]])</f>
        <v>120</v>
      </c>
      <c r="R225" t="str">
        <f>INDEX([3]!db[STN B],Table17[[#This Row],[//db]])</f>
        <v>LSN</v>
      </c>
      <c r="S225" s="40" t="str">
        <f>IF(Table17[[#This Row],[Column5]]=0,Table17[[#This Row],[Column23]]/Table17[[#This Row],[Column224]],"")</f>
        <v/>
      </c>
      <c r="T225" s="4">
        <f>IF(Table17[[#This Row],[Column222]]="",Table17[[#This Row],[Column5]],Table17[[#This Row],[Column222]])</f>
        <v>2</v>
      </c>
      <c r="U225" s="4" t="str">
        <f>IF(Table17[[#This Row],[Column223]]=Table17[[#This Row],[Column24]],"",1)</f>
        <v/>
      </c>
      <c r="V225" s="5">
        <f>IF(Table17[[#This Row],[isis]]="",IF(Table17[[#This Row],[isin]]="",Table17[[#This Row],[Column2]],Table17[[#This Row],[isin]]),Table17[[#This Row],[isis]])</f>
        <v>120</v>
      </c>
      <c r="W225" s="3" t="str">
        <f>IF(Table17[[#This Row],[isis]]="",IF(Table17[[#This Row],[isin]]="",Table17[[#This Row],[Column22]],Table17[[#This Row],[stnn]]),Table17[[#This Row],[stns]])</f>
        <v>LSN</v>
      </c>
      <c r="X225" s="5">
        <f>IF(Table17[[#This Row],[Column2222]]&lt;1,Table17[[#This Row],[Column23]],Table17[[#This Row],[Column23]]*Table17[[#This Row],[Column2222]])</f>
        <v>240</v>
      </c>
      <c r="Y225" s="3" t="str">
        <f>Table17[[#This Row],[Column24]]</f>
        <v>LSN</v>
      </c>
      <c r="Z225" s="5">
        <f>Table17[[#This Row],[HRG / CTN]]/Table17[[#This Row],[Column23]]</f>
        <v>18250</v>
      </c>
      <c r="AA225" s="42" t="str">
        <f>IF(INDEX(NOTA[DISC 1],Sheet1!A:A)=0,"",INDEX(NOTA[DISC 1],Sheet1!A:A))</f>
        <v/>
      </c>
      <c r="AB225" s="42" t="str">
        <f>IF(INDEX(NOTA[DISC 2],Sheet1!A:A)=0,"",INDEX(NOTA[DISC 2],Sheet1!A:A))</f>
        <v/>
      </c>
      <c r="AC22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5" s="43">
        <f>INDEX(NOTA[HARGA/ CTN_H],Sheet1!A:A)</f>
        <v>2190000</v>
      </c>
      <c r="AE225" s="43">
        <f>IF(Table17[[#This Row],[DISC 3]]="",Table17[[#This Row],[HRG / CTN]],Table17[[#This Row],[HRG / CTN]]-(Table17[[#This Row],[HRG / CTN]]*Table17[[#This Row],[DISC 3]]))</f>
        <v>2190000</v>
      </c>
      <c r="AF225" s="14">
        <f>IF(Table17[[#This Row],[Column2222]]&lt;1,Table17[[#This Row],[Column9]],Table17[[#This Row],[Column9]]*Table17[[#This Row],[Column2222]])</f>
        <v>4380000</v>
      </c>
      <c r="AG225" s="43" t="str">
        <f ca="1">IF(NOT(AL226=Table17[[#This Row],[Column6]]),SUMIF(Table17[Column6],Table17[[#This Row],[Column6]],Table17[Column7]),"")</f>
        <v/>
      </c>
      <c r="AH225" s="44">
        <f ca="1">INDEX(NOTA[TGL_H],Sheet1!A:A)</f>
        <v>45467</v>
      </c>
      <c r="AI225" s="44">
        <f ca="1">INDEX(NOTA[TGL.NOTA_H],Sheet1!A:A)</f>
        <v>45464</v>
      </c>
      <c r="AK225" t="str">
        <f>IF(INDEX(NOTA[KETERANGAN],A:A)="","",INDEX(NOTA[KETERANGAN],A:A))</f>
        <v/>
      </c>
      <c r="AL225" t="str">
        <f ca="1">INDEX(NOTA[NO.NOTA_H],Sheet1!A:A)</f>
        <v>JUF476/24</v>
      </c>
      <c r="AM225">
        <f>INDEX(NOTA[KETERANGAN],Sheet1!A:A)</f>
        <v>0</v>
      </c>
      <c r="AN225" t="str">
        <f ca="1">INDEX(NOTA[SUPPLIER_H],Sheet1!A:A)</f>
        <v>DB STATIONERY</v>
      </c>
      <c r="AO225" t="e">
        <f t="shared" ca="1" si="8"/>
        <v>#N/A</v>
      </c>
    </row>
    <row r="226" spans="1:41">
      <c r="A226" s="3">
        <v>275</v>
      </c>
      <c r="C226">
        <f>INDEX(NOTA[//DB],Sheet1!A:A)</f>
        <v>1293</v>
      </c>
      <c r="D226">
        <f>MATCH(Table17[[#This Row],[//db]],[3]!Table2[\\],0)</f>
        <v>554</v>
      </c>
      <c r="E226" t="str">
        <f>INDEX([3]!db[NB NOTA],Table17[[#This Row],[//db]])</f>
        <v>GEL ZHIXIN + REFILL G-5017</v>
      </c>
      <c r="F226" t="str">
        <f>INDEX([3]!db[NB BM],Table17[[#This Row],[//db]])</f>
        <v>BP GEL ZHIXIN G 5017</v>
      </c>
      <c r="G226" t="str">
        <f>_xlfn.IFNA(INDEX([3]!Table2[NAMA],Table17[[#This Row],[dbconcat]]),"")</f>
        <v>BP GEL ZHIXIN G 5017</v>
      </c>
      <c r="H226" t="str">
        <f>INDEX([3]!Table2[KODE BARANG],Table17[[#This Row],[dbconcat]])</f>
        <v>BOL-ZI177</v>
      </c>
      <c r="I226" t="str">
        <f>IF(Table17[[#This Row],[Column3]]="",UPPER(Table17[[#This Row],[Column1]]),Table17[[#This Row],[Column3]])</f>
        <v>BP GEL ZHIXIN G 5017</v>
      </c>
      <c r="J226">
        <f>INDEX(NOTA[C],Sheet1!A:A)</f>
        <v>2</v>
      </c>
      <c r="K226">
        <f>IF(OR(Table17[[#This Row],[Column5]]=0,Table17[[#This Row],[Column3]]=""),"",INDEX([3]!Table2[ISI2],Table17[[#This Row],[dbconcat]]))</f>
        <v>120</v>
      </c>
      <c r="L226" t="str">
        <f>IF(Table17[[#This Row],[isis]]="","",INDEX([3]!Table2[SATUAN3],Table17[[#This Row],[dbconcat]]))</f>
        <v>LSN</v>
      </c>
      <c r="M226" t="str">
        <f>IF(Table17[[#This Row],[Column5]]=0,"",IF(Table17[[#This Row],[Column3]]="",INDEX([3]!db[QTY B],Table17[[#This Row],[//db]]),""))</f>
        <v/>
      </c>
      <c r="N226" t="str">
        <f>IF(Table17[[#This Row],[isin]]="","",INDEX([3]!db[STN B],Table17[[#This Row],[//db]]))</f>
        <v/>
      </c>
      <c r="O226" t="str">
        <f>IF(AND(Table17[[#This Row],[isis]]="",Table17[[#This Row],[isin]]=""),INDEX(NOTA[QTY],Sheet1!A:A)/IF(Table17[[#This Row],[Column5]]=0,1,Table17[[#This Row],[Column5]]),"")</f>
        <v/>
      </c>
      <c r="P226" t="str">
        <f>IF(Table17[[#This Row],[Column2]]="","",INDEX(NOTA[STN],Sheet1!A:A))</f>
        <v/>
      </c>
      <c r="Q226" s="5" t="str">
        <f>INDEX([3]!db[QTY B],Table17[[#This Row],[//db]])</f>
        <v>120</v>
      </c>
      <c r="R226" t="str">
        <f>INDEX([3]!db[STN B],Table17[[#This Row],[//db]])</f>
        <v>LSN</v>
      </c>
      <c r="S226" s="40" t="str">
        <f>IF(Table17[[#This Row],[Column5]]=0,Table17[[#This Row],[Column23]]/Table17[[#This Row],[Column224]],"")</f>
        <v/>
      </c>
      <c r="T226" s="4">
        <f>IF(Table17[[#This Row],[Column222]]="",Table17[[#This Row],[Column5]],Table17[[#This Row],[Column222]])</f>
        <v>2</v>
      </c>
      <c r="U226" s="4" t="str">
        <f>IF(Table17[[#This Row],[Column223]]=Table17[[#This Row],[Column24]],"",1)</f>
        <v/>
      </c>
      <c r="V226" s="5">
        <f>IF(Table17[[#This Row],[isis]]="",IF(Table17[[#This Row],[isin]]="",Table17[[#This Row],[Column2]],Table17[[#This Row],[isin]]),Table17[[#This Row],[isis]])</f>
        <v>120</v>
      </c>
      <c r="W226" s="3" t="str">
        <f>IF(Table17[[#This Row],[isis]]="",IF(Table17[[#This Row],[isin]]="",Table17[[#This Row],[Column22]],Table17[[#This Row],[stnn]]),Table17[[#This Row],[stns]])</f>
        <v>LSN</v>
      </c>
      <c r="X226" s="5">
        <f>IF(Table17[[#This Row],[Column2222]]&lt;1,Table17[[#This Row],[Column23]],Table17[[#This Row],[Column23]]*Table17[[#This Row],[Column2222]])</f>
        <v>240</v>
      </c>
      <c r="Y226" s="3" t="str">
        <f>Table17[[#This Row],[Column24]]</f>
        <v>LSN</v>
      </c>
      <c r="Z226" s="5">
        <f>Table17[[#This Row],[HRG / CTN]]/Table17[[#This Row],[Column23]]</f>
        <v>18250</v>
      </c>
      <c r="AA226" s="42" t="str">
        <f>IF(INDEX(NOTA[DISC 1],Sheet1!A:A)=0,"",INDEX(NOTA[DISC 1],Sheet1!A:A))</f>
        <v/>
      </c>
      <c r="AB226" s="42" t="str">
        <f>IF(INDEX(NOTA[DISC 2],Sheet1!A:A)=0,"",INDEX(NOTA[DISC 2],Sheet1!A:A))</f>
        <v/>
      </c>
      <c r="AC22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6" s="43">
        <f>INDEX(NOTA[HARGA/ CTN_H],Sheet1!A:A)</f>
        <v>2190000</v>
      </c>
      <c r="AE226" s="43">
        <f>IF(Table17[[#This Row],[DISC 3]]="",Table17[[#This Row],[HRG / CTN]],Table17[[#This Row],[HRG / CTN]]-(Table17[[#This Row],[HRG / CTN]]*Table17[[#This Row],[DISC 3]]))</f>
        <v>2190000</v>
      </c>
      <c r="AF226" s="14">
        <f>IF(Table17[[#This Row],[Column2222]]&lt;1,Table17[[#This Row],[Column9]],Table17[[#This Row],[Column9]]*Table17[[#This Row],[Column2222]])</f>
        <v>4380000</v>
      </c>
      <c r="AG226" s="43" t="str">
        <f ca="1">IF(NOT(AL227=Table17[[#This Row],[Column6]]),SUMIF(Table17[Column6],Table17[[#This Row],[Column6]],Table17[Column7]),"")</f>
        <v/>
      </c>
      <c r="AH226" s="44">
        <f ca="1">INDEX(NOTA[TGL_H],Sheet1!A:A)</f>
        <v>45467</v>
      </c>
      <c r="AI226" s="44">
        <f ca="1">INDEX(NOTA[TGL.NOTA_H],Sheet1!A:A)</f>
        <v>45464</v>
      </c>
      <c r="AK226" t="str">
        <f>IF(INDEX(NOTA[KETERANGAN],A:A)="","",INDEX(NOTA[KETERANGAN],A:A))</f>
        <v/>
      </c>
      <c r="AL226" t="str">
        <f ca="1">INDEX(NOTA[NO.NOTA_H],Sheet1!A:A)</f>
        <v>JUF476/24</v>
      </c>
      <c r="AM226">
        <f>INDEX(NOTA[KETERANGAN],Sheet1!A:A)</f>
        <v>0</v>
      </c>
      <c r="AN226" t="str">
        <f ca="1">INDEX(NOTA[SUPPLIER_H],Sheet1!A:A)</f>
        <v>DB STATIONERY</v>
      </c>
      <c r="AO226" t="e">
        <f t="shared" ca="1" si="8"/>
        <v>#N/A</v>
      </c>
    </row>
    <row r="227" spans="1:41">
      <c r="A227" s="3">
        <v>276</v>
      </c>
      <c r="C227">
        <f>INDEX(NOTA[//DB],Sheet1!A:A)</f>
        <v>1278</v>
      </c>
      <c r="D227">
        <f>MATCH(Table17[[#This Row],[//db]],[3]!Table2[\\],0)</f>
        <v>555</v>
      </c>
      <c r="E227" t="str">
        <f>INDEX([3]!db[NB NOTA],Table17[[#This Row],[//db]])</f>
        <v>GEL ZHIXIN + REFILL G-5018</v>
      </c>
      <c r="F227" t="str">
        <f>INDEX([3]!db[NB BM],Table17[[#This Row],[//db]])</f>
        <v>BP GEL ZHIXIN G 5018</v>
      </c>
      <c r="G227" t="str">
        <f>_xlfn.IFNA(INDEX([3]!Table2[NAMA],Table17[[#This Row],[dbconcat]]),"")</f>
        <v>BP GEL ZHIXIN G 5018</v>
      </c>
      <c r="H227" t="str">
        <f>INDEX([3]!Table2[KODE BARANG],Table17[[#This Row],[dbconcat]])</f>
        <v>BOL-ZI178</v>
      </c>
      <c r="I227" t="str">
        <f>IF(Table17[[#This Row],[Column3]]="",UPPER(Table17[[#This Row],[Column1]]),Table17[[#This Row],[Column3]])</f>
        <v>BP GEL ZHIXIN G 5018</v>
      </c>
      <c r="J227">
        <f>INDEX(NOTA[C],Sheet1!A:A)</f>
        <v>2</v>
      </c>
      <c r="K227">
        <f>IF(OR(Table17[[#This Row],[Column5]]=0,Table17[[#This Row],[Column3]]=""),"",INDEX([3]!Table2[ISI2],Table17[[#This Row],[dbconcat]]))</f>
        <v>120</v>
      </c>
      <c r="L227" t="str">
        <f>IF(Table17[[#This Row],[isis]]="","",INDEX([3]!Table2[SATUAN3],Table17[[#This Row],[dbconcat]]))</f>
        <v>LSN</v>
      </c>
      <c r="M227" t="str">
        <f>IF(Table17[[#This Row],[Column5]]=0,"",IF(Table17[[#This Row],[Column3]]="",INDEX([3]!db[QTY B],Table17[[#This Row],[//db]]),""))</f>
        <v/>
      </c>
      <c r="N227" t="str">
        <f>IF(Table17[[#This Row],[isin]]="","",INDEX([3]!db[STN B],Table17[[#This Row],[//db]]))</f>
        <v/>
      </c>
      <c r="O227" t="str">
        <f>IF(AND(Table17[[#This Row],[isis]]="",Table17[[#This Row],[isin]]=""),INDEX(NOTA[QTY],Sheet1!A:A)/IF(Table17[[#This Row],[Column5]]=0,1,Table17[[#This Row],[Column5]]),"")</f>
        <v/>
      </c>
      <c r="P227" t="str">
        <f>IF(Table17[[#This Row],[Column2]]="","",INDEX(NOTA[STN],Sheet1!A:A))</f>
        <v/>
      </c>
      <c r="Q227" s="5" t="str">
        <f>INDEX([3]!db[QTY B],Table17[[#This Row],[//db]])</f>
        <v>120</v>
      </c>
      <c r="R227" t="str">
        <f>INDEX([3]!db[STN B],Table17[[#This Row],[//db]])</f>
        <v>LSN</v>
      </c>
      <c r="S227" s="40" t="str">
        <f>IF(Table17[[#This Row],[Column5]]=0,Table17[[#This Row],[Column23]]/Table17[[#This Row],[Column224]],"")</f>
        <v/>
      </c>
      <c r="T227" s="4">
        <f>IF(Table17[[#This Row],[Column222]]="",Table17[[#This Row],[Column5]],Table17[[#This Row],[Column222]])</f>
        <v>2</v>
      </c>
      <c r="U227" s="4" t="str">
        <f>IF(Table17[[#This Row],[Column223]]=Table17[[#This Row],[Column24]],"",1)</f>
        <v/>
      </c>
      <c r="V227" s="5">
        <f>IF(Table17[[#This Row],[isis]]="",IF(Table17[[#This Row],[isin]]="",Table17[[#This Row],[Column2]],Table17[[#This Row],[isin]]),Table17[[#This Row],[isis]])</f>
        <v>120</v>
      </c>
      <c r="W227" s="3" t="str">
        <f>IF(Table17[[#This Row],[isis]]="",IF(Table17[[#This Row],[isin]]="",Table17[[#This Row],[Column22]],Table17[[#This Row],[stnn]]),Table17[[#This Row],[stns]])</f>
        <v>LSN</v>
      </c>
      <c r="X227" s="5">
        <f>IF(Table17[[#This Row],[Column2222]]&lt;1,Table17[[#This Row],[Column23]],Table17[[#This Row],[Column23]]*Table17[[#This Row],[Column2222]])</f>
        <v>240</v>
      </c>
      <c r="Y227" s="3" t="str">
        <f>Table17[[#This Row],[Column24]]</f>
        <v>LSN</v>
      </c>
      <c r="Z227" s="5">
        <f>Table17[[#This Row],[HRG / CTN]]/Table17[[#This Row],[Column23]]</f>
        <v>18250</v>
      </c>
      <c r="AA227" s="42" t="str">
        <f>IF(INDEX(NOTA[DISC 1],Sheet1!A:A)=0,"",INDEX(NOTA[DISC 1],Sheet1!A:A))</f>
        <v/>
      </c>
      <c r="AB227" s="42" t="str">
        <f>IF(INDEX(NOTA[DISC 2],Sheet1!A:A)=0,"",INDEX(NOTA[DISC 2],Sheet1!A:A))</f>
        <v/>
      </c>
      <c r="AC22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7" s="43">
        <f>INDEX(NOTA[HARGA/ CTN_H],Sheet1!A:A)</f>
        <v>2190000</v>
      </c>
      <c r="AE227" s="43">
        <f>IF(Table17[[#This Row],[DISC 3]]="",Table17[[#This Row],[HRG / CTN]],Table17[[#This Row],[HRG / CTN]]-(Table17[[#This Row],[HRG / CTN]]*Table17[[#This Row],[DISC 3]]))</f>
        <v>2190000</v>
      </c>
      <c r="AF227" s="14">
        <f>IF(Table17[[#This Row],[Column2222]]&lt;1,Table17[[#This Row],[Column9]],Table17[[#This Row],[Column9]]*Table17[[#This Row],[Column2222]])</f>
        <v>4380000</v>
      </c>
      <c r="AG227" s="43" t="str">
        <f ca="1">IF(NOT(AL228=Table17[[#This Row],[Column6]]),SUMIF(Table17[Column6],Table17[[#This Row],[Column6]],Table17[Column7]),"")</f>
        <v/>
      </c>
      <c r="AH227" s="44">
        <f ca="1">INDEX(NOTA[TGL_H],Sheet1!A:A)</f>
        <v>45467</v>
      </c>
      <c r="AI227" s="44">
        <f ca="1">INDEX(NOTA[TGL.NOTA_H],Sheet1!A:A)</f>
        <v>45464</v>
      </c>
      <c r="AK227" t="str">
        <f>IF(INDEX(NOTA[KETERANGAN],A:A)="","",INDEX(NOTA[KETERANGAN],A:A))</f>
        <v/>
      </c>
      <c r="AL227" t="str">
        <f ca="1">INDEX(NOTA[NO.NOTA_H],Sheet1!A:A)</f>
        <v>JUF476/24</v>
      </c>
      <c r="AM227">
        <f>INDEX(NOTA[KETERANGAN],Sheet1!A:A)</f>
        <v>0</v>
      </c>
      <c r="AN227" t="str">
        <f ca="1">INDEX(NOTA[SUPPLIER_H],Sheet1!A:A)</f>
        <v>DB STATIONERY</v>
      </c>
      <c r="AO227" t="e">
        <f t="shared" ca="1" si="8"/>
        <v>#N/A</v>
      </c>
    </row>
    <row r="228" spans="1:41">
      <c r="A228" s="3">
        <v>277</v>
      </c>
      <c r="C228">
        <f>INDEX(NOTA[//DB],Sheet1!A:A)</f>
        <v>1279</v>
      </c>
      <c r="D228">
        <f>MATCH(Table17[[#This Row],[//db]],[3]!Table2[\\],0)</f>
        <v>556</v>
      </c>
      <c r="E228" t="str">
        <f>INDEX([3]!db[NB NOTA],Table17[[#This Row],[//db]])</f>
        <v>GEL ZHIXIN + REFILL G-5035</v>
      </c>
      <c r="F228" t="str">
        <f>INDEX([3]!db[NB BM],Table17[[#This Row],[//db]])</f>
        <v>BP GEL ZHIXIN G 5035</v>
      </c>
      <c r="G228" t="str">
        <f>_xlfn.IFNA(INDEX([3]!Table2[NAMA],Table17[[#This Row],[dbconcat]]),"")</f>
        <v>BP GEL ZHIXIN G 5035</v>
      </c>
      <c r="H228" t="str">
        <f>INDEX([3]!Table2[KODE BARANG],Table17[[#This Row],[dbconcat]])</f>
        <v>BOL-ZI179</v>
      </c>
      <c r="I228" t="str">
        <f>IF(Table17[[#This Row],[Column3]]="",UPPER(Table17[[#This Row],[Column1]]),Table17[[#This Row],[Column3]])</f>
        <v>BP GEL ZHIXIN G 5035</v>
      </c>
      <c r="J228">
        <f>INDEX(NOTA[C],Sheet1!A:A)</f>
        <v>2</v>
      </c>
      <c r="K228">
        <f>IF(OR(Table17[[#This Row],[Column5]]=0,Table17[[#This Row],[Column3]]=""),"",INDEX([3]!Table2[ISI2],Table17[[#This Row],[dbconcat]]))</f>
        <v>120</v>
      </c>
      <c r="L228" t="str">
        <f>IF(Table17[[#This Row],[isis]]="","",INDEX([3]!Table2[SATUAN3],Table17[[#This Row],[dbconcat]]))</f>
        <v>LSN</v>
      </c>
      <c r="M228" t="str">
        <f>IF(Table17[[#This Row],[Column5]]=0,"",IF(Table17[[#This Row],[Column3]]="",INDEX([3]!db[QTY B],Table17[[#This Row],[//db]]),""))</f>
        <v/>
      </c>
      <c r="N228" t="str">
        <f>IF(Table17[[#This Row],[isin]]="","",INDEX([3]!db[STN B],Table17[[#This Row],[//db]]))</f>
        <v/>
      </c>
      <c r="O228" t="str">
        <f>IF(AND(Table17[[#This Row],[isis]]="",Table17[[#This Row],[isin]]=""),INDEX(NOTA[QTY],Sheet1!A:A)/IF(Table17[[#This Row],[Column5]]=0,1,Table17[[#This Row],[Column5]]),"")</f>
        <v/>
      </c>
      <c r="P228" t="str">
        <f>IF(Table17[[#This Row],[Column2]]="","",INDEX(NOTA[STN],Sheet1!A:A))</f>
        <v/>
      </c>
      <c r="Q228" s="5" t="str">
        <f>INDEX([3]!db[QTY B],Table17[[#This Row],[//db]])</f>
        <v>120</v>
      </c>
      <c r="R228" t="str">
        <f>INDEX([3]!db[STN B],Table17[[#This Row],[//db]])</f>
        <v>LSN</v>
      </c>
      <c r="S228" s="40" t="str">
        <f>IF(Table17[[#This Row],[Column5]]=0,Table17[[#This Row],[Column23]]/Table17[[#This Row],[Column224]],"")</f>
        <v/>
      </c>
      <c r="T228" s="4">
        <f>IF(Table17[[#This Row],[Column222]]="",Table17[[#This Row],[Column5]],Table17[[#This Row],[Column222]])</f>
        <v>2</v>
      </c>
      <c r="U228" s="4" t="str">
        <f>IF(Table17[[#This Row],[Column223]]=Table17[[#This Row],[Column24]],"",1)</f>
        <v/>
      </c>
      <c r="V228" s="5">
        <f>IF(Table17[[#This Row],[isis]]="",IF(Table17[[#This Row],[isin]]="",Table17[[#This Row],[Column2]],Table17[[#This Row],[isin]]),Table17[[#This Row],[isis]])</f>
        <v>120</v>
      </c>
      <c r="W228" s="3" t="str">
        <f>IF(Table17[[#This Row],[isis]]="",IF(Table17[[#This Row],[isin]]="",Table17[[#This Row],[Column22]],Table17[[#This Row],[stnn]]),Table17[[#This Row],[stns]])</f>
        <v>LSN</v>
      </c>
      <c r="X228" s="5">
        <f>IF(Table17[[#This Row],[Column2222]]&lt;1,Table17[[#This Row],[Column23]],Table17[[#This Row],[Column23]]*Table17[[#This Row],[Column2222]])</f>
        <v>240</v>
      </c>
      <c r="Y228" s="3" t="str">
        <f>Table17[[#This Row],[Column24]]</f>
        <v>LSN</v>
      </c>
      <c r="Z228" s="5">
        <f>Table17[[#This Row],[HRG / CTN]]/Table17[[#This Row],[Column23]]</f>
        <v>18250</v>
      </c>
      <c r="AA228" s="42" t="str">
        <f>IF(INDEX(NOTA[DISC 1],Sheet1!A:A)=0,"",INDEX(NOTA[DISC 1],Sheet1!A:A))</f>
        <v/>
      </c>
      <c r="AB228" s="42" t="str">
        <f>IF(INDEX(NOTA[DISC 2],Sheet1!A:A)=0,"",INDEX(NOTA[DISC 2],Sheet1!A:A))</f>
        <v/>
      </c>
      <c r="AC22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8" s="43">
        <f>INDEX(NOTA[HARGA/ CTN_H],Sheet1!A:A)</f>
        <v>2190000</v>
      </c>
      <c r="AE228" s="43">
        <f>IF(Table17[[#This Row],[DISC 3]]="",Table17[[#This Row],[HRG / CTN]],Table17[[#This Row],[HRG / CTN]]-(Table17[[#This Row],[HRG / CTN]]*Table17[[#This Row],[DISC 3]]))</f>
        <v>2190000</v>
      </c>
      <c r="AF228" s="14">
        <f>IF(Table17[[#This Row],[Column2222]]&lt;1,Table17[[#This Row],[Column9]],Table17[[#This Row],[Column9]]*Table17[[#This Row],[Column2222]])</f>
        <v>4380000</v>
      </c>
      <c r="AG228" s="43" t="str">
        <f ca="1">IF(NOT(AL229=Table17[[#This Row],[Column6]]),SUMIF(Table17[Column6],Table17[[#This Row],[Column6]],Table17[Column7]),"")</f>
        <v/>
      </c>
      <c r="AH228" s="44">
        <f ca="1">INDEX(NOTA[TGL_H],Sheet1!A:A)</f>
        <v>45467</v>
      </c>
      <c r="AI228" s="44">
        <f ca="1">INDEX(NOTA[TGL.NOTA_H],Sheet1!A:A)</f>
        <v>45464</v>
      </c>
      <c r="AK228" t="str">
        <f>IF(INDEX(NOTA[KETERANGAN],A:A)="","",INDEX(NOTA[KETERANGAN],A:A))</f>
        <v/>
      </c>
      <c r="AL228" t="str">
        <f ca="1">INDEX(NOTA[NO.NOTA_H],Sheet1!A:A)</f>
        <v>JUF476/24</v>
      </c>
      <c r="AM228">
        <f>INDEX(NOTA[KETERANGAN],Sheet1!A:A)</f>
        <v>0</v>
      </c>
      <c r="AN228" t="str">
        <f ca="1">INDEX(NOTA[SUPPLIER_H],Sheet1!A:A)</f>
        <v>DB STATIONERY</v>
      </c>
      <c r="AO228" t="e">
        <f t="shared" ca="1" si="8"/>
        <v>#N/A</v>
      </c>
    </row>
    <row r="229" spans="1:41">
      <c r="A229" s="3">
        <v>278</v>
      </c>
      <c r="C229">
        <f>INDEX(NOTA[//DB],Sheet1!A:A)</f>
        <v>1280</v>
      </c>
      <c r="D229">
        <f>MATCH(Table17[[#This Row],[//db]],[3]!Table2[\\],0)</f>
        <v>557</v>
      </c>
      <c r="E229" t="str">
        <f>INDEX([3]!db[NB NOTA],Table17[[#This Row],[//db]])</f>
        <v>GEL ZHIXIN + REFILL G-5040</v>
      </c>
      <c r="F229" t="str">
        <f>INDEX([3]!db[NB BM],Table17[[#This Row],[//db]])</f>
        <v>BP GEL ZHIXIN G 5040</v>
      </c>
      <c r="G229" t="str">
        <f>_xlfn.IFNA(INDEX([3]!Table2[NAMA],Table17[[#This Row],[dbconcat]]),"")</f>
        <v>BP GEL ZHIXIN G 5040</v>
      </c>
      <c r="H229" t="str">
        <f>INDEX([3]!Table2[KODE BARANG],Table17[[#This Row],[dbconcat]])</f>
        <v>BOL-ZI180</v>
      </c>
      <c r="I229" t="str">
        <f>IF(Table17[[#This Row],[Column3]]="",UPPER(Table17[[#This Row],[Column1]]),Table17[[#This Row],[Column3]])</f>
        <v>BP GEL ZHIXIN G 5040</v>
      </c>
      <c r="J229">
        <f>INDEX(NOTA[C],Sheet1!A:A)</f>
        <v>2</v>
      </c>
      <c r="K229">
        <f>IF(OR(Table17[[#This Row],[Column5]]=0,Table17[[#This Row],[Column3]]=""),"",INDEX([3]!Table2[ISI2],Table17[[#This Row],[dbconcat]]))</f>
        <v>120</v>
      </c>
      <c r="L229" t="str">
        <f>IF(Table17[[#This Row],[isis]]="","",INDEX([3]!Table2[SATUAN3],Table17[[#This Row],[dbconcat]]))</f>
        <v>LSN</v>
      </c>
      <c r="M229" t="str">
        <f>IF(Table17[[#This Row],[Column5]]=0,"",IF(Table17[[#This Row],[Column3]]="",INDEX([3]!db[QTY B],Table17[[#This Row],[//db]]),""))</f>
        <v/>
      </c>
      <c r="N229" t="str">
        <f>IF(Table17[[#This Row],[isin]]="","",INDEX([3]!db[STN B],Table17[[#This Row],[//db]]))</f>
        <v/>
      </c>
      <c r="O229" t="str">
        <f>IF(AND(Table17[[#This Row],[isis]]="",Table17[[#This Row],[isin]]=""),INDEX(NOTA[QTY],Sheet1!A:A)/IF(Table17[[#This Row],[Column5]]=0,1,Table17[[#This Row],[Column5]]),"")</f>
        <v/>
      </c>
      <c r="P229" t="str">
        <f>IF(Table17[[#This Row],[Column2]]="","",INDEX(NOTA[STN],Sheet1!A:A))</f>
        <v/>
      </c>
      <c r="Q229" s="5" t="str">
        <f>INDEX([3]!db[QTY B],Table17[[#This Row],[//db]])</f>
        <v>120</v>
      </c>
      <c r="R229" t="str">
        <f>INDEX([3]!db[STN B],Table17[[#This Row],[//db]])</f>
        <v>LSN</v>
      </c>
      <c r="S229" s="40" t="str">
        <f>IF(Table17[[#This Row],[Column5]]=0,Table17[[#This Row],[Column23]]/Table17[[#This Row],[Column224]],"")</f>
        <v/>
      </c>
      <c r="T229" s="4">
        <f>IF(Table17[[#This Row],[Column222]]="",Table17[[#This Row],[Column5]],Table17[[#This Row],[Column222]])</f>
        <v>2</v>
      </c>
      <c r="U229" s="4" t="str">
        <f>IF(Table17[[#This Row],[Column223]]=Table17[[#This Row],[Column24]],"",1)</f>
        <v/>
      </c>
      <c r="V229" s="5">
        <f>IF(Table17[[#This Row],[isis]]="",IF(Table17[[#This Row],[isin]]="",Table17[[#This Row],[Column2]],Table17[[#This Row],[isin]]),Table17[[#This Row],[isis]])</f>
        <v>120</v>
      </c>
      <c r="W229" s="3" t="str">
        <f>IF(Table17[[#This Row],[isis]]="",IF(Table17[[#This Row],[isin]]="",Table17[[#This Row],[Column22]],Table17[[#This Row],[stnn]]),Table17[[#This Row],[stns]])</f>
        <v>LSN</v>
      </c>
      <c r="X229" s="5">
        <f>IF(Table17[[#This Row],[Column2222]]&lt;1,Table17[[#This Row],[Column23]],Table17[[#This Row],[Column23]]*Table17[[#This Row],[Column2222]])</f>
        <v>240</v>
      </c>
      <c r="Y229" s="3" t="str">
        <f>Table17[[#This Row],[Column24]]</f>
        <v>LSN</v>
      </c>
      <c r="Z229" s="5">
        <f>Table17[[#This Row],[HRG / CTN]]/Table17[[#This Row],[Column23]]</f>
        <v>18250</v>
      </c>
      <c r="AA229" s="42" t="str">
        <f>IF(INDEX(NOTA[DISC 1],Sheet1!A:A)=0,"",INDEX(NOTA[DISC 1],Sheet1!A:A))</f>
        <v/>
      </c>
      <c r="AB229" s="42" t="str">
        <f>IF(INDEX(NOTA[DISC 2],Sheet1!A:A)=0,"",INDEX(NOTA[DISC 2],Sheet1!A:A))</f>
        <v/>
      </c>
      <c r="AC22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9" s="43">
        <f>INDEX(NOTA[HARGA/ CTN_H],Sheet1!A:A)</f>
        <v>2190000</v>
      </c>
      <c r="AE229" s="43">
        <f>IF(Table17[[#This Row],[DISC 3]]="",Table17[[#This Row],[HRG / CTN]],Table17[[#This Row],[HRG / CTN]]-(Table17[[#This Row],[HRG / CTN]]*Table17[[#This Row],[DISC 3]]))</f>
        <v>2190000</v>
      </c>
      <c r="AF229" s="14">
        <f>IF(Table17[[#This Row],[Column2222]]&lt;1,Table17[[#This Row],[Column9]],Table17[[#This Row],[Column9]]*Table17[[#This Row],[Column2222]])</f>
        <v>4380000</v>
      </c>
      <c r="AG229" s="43" t="str">
        <f ca="1">IF(NOT(AL230=Table17[[#This Row],[Column6]]),SUMIF(Table17[Column6],Table17[[#This Row],[Column6]],Table17[Column7]),"")</f>
        <v/>
      </c>
      <c r="AH229" s="44">
        <f ca="1">INDEX(NOTA[TGL_H],Sheet1!A:A)</f>
        <v>45467</v>
      </c>
      <c r="AI229" s="44">
        <f ca="1">INDEX(NOTA[TGL.NOTA_H],Sheet1!A:A)</f>
        <v>45464</v>
      </c>
      <c r="AK229" t="str">
        <f>IF(INDEX(NOTA[KETERANGAN],A:A)="","",INDEX(NOTA[KETERANGAN],A:A))</f>
        <v/>
      </c>
      <c r="AL229" t="str">
        <f ca="1">INDEX(NOTA[NO.NOTA_H],Sheet1!A:A)</f>
        <v>JUF476/24</v>
      </c>
      <c r="AM229">
        <f>INDEX(NOTA[KETERANGAN],Sheet1!A:A)</f>
        <v>0</v>
      </c>
      <c r="AN229" t="str">
        <f ca="1">INDEX(NOTA[SUPPLIER_H],Sheet1!A:A)</f>
        <v>DB STATIONERY</v>
      </c>
      <c r="AO229" t="e">
        <f t="shared" ca="1" si="8"/>
        <v>#N/A</v>
      </c>
    </row>
    <row r="230" spans="1:41">
      <c r="A230" s="3">
        <v>279</v>
      </c>
      <c r="C230">
        <f>INDEX(NOTA[//DB],Sheet1!A:A)</f>
        <v>1281</v>
      </c>
      <c r="D230">
        <f>MATCH(Table17[[#This Row],[//db]],[3]!Table2[\\],0)</f>
        <v>558</v>
      </c>
      <c r="E230" t="str">
        <f>INDEX([3]!db[NB NOTA],Table17[[#This Row],[//db]])</f>
        <v>GEL ZHIXIN + REFILL G-5042</v>
      </c>
      <c r="F230" t="str">
        <f>INDEX([3]!db[NB BM],Table17[[#This Row],[//db]])</f>
        <v>BP GEL ZHIXIN G 5042</v>
      </c>
      <c r="G230" t="str">
        <f>_xlfn.IFNA(INDEX([3]!Table2[NAMA],Table17[[#This Row],[dbconcat]]),"")</f>
        <v>BP GEL ZHIXIN G 5042</v>
      </c>
      <c r="H230" t="str">
        <f>INDEX([3]!Table2[KODE BARANG],Table17[[#This Row],[dbconcat]])</f>
        <v>BOL-ZI181</v>
      </c>
      <c r="I230" t="str">
        <f>IF(Table17[[#This Row],[Column3]]="",UPPER(Table17[[#This Row],[Column1]]),Table17[[#This Row],[Column3]])</f>
        <v>BP GEL ZHIXIN G 5042</v>
      </c>
      <c r="J230">
        <f>INDEX(NOTA[C],Sheet1!A:A)</f>
        <v>1</v>
      </c>
      <c r="K230">
        <f>IF(OR(Table17[[#This Row],[Column5]]=0,Table17[[#This Row],[Column3]]=""),"",INDEX([3]!Table2[ISI2],Table17[[#This Row],[dbconcat]]))</f>
        <v>120</v>
      </c>
      <c r="L230" t="str">
        <f>IF(Table17[[#This Row],[isis]]="","",INDEX([3]!Table2[SATUAN3],Table17[[#This Row],[dbconcat]]))</f>
        <v>LSN</v>
      </c>
      <c r="M230" t="str">
        <f>IF(Table17[[#This Row],[Column5]]=0,"",IF(Table17[[#This Row],[Column3]]="",INDEX([3]!db[QTY B],Table17[[#This Row],[//db]]),""))</f>
        <v/>
      </c>
      <c r="N230" t="str">
        <f>IF(Table17[[#This Row],[isin]]="","",INDEX([3]!db[STN B],Table17[[#This Row],[//db]]))</f>
        <v/>
      </c>
      <c r="O230" t="str">
        <f>IF(AND(Table17[[#This Row],[isis]]="",Table17[[#This Row],[isin]]=""),INDEX(NOTA[QTY],Sheet1!A:A)/IF(Table17[[#This Row],[Column5]]=0,1,Table17[[#This Row],[Column5]]),"")</f>
        <v/>
      </c>
      <c r="P230" t="str">
        <f>IF(Table17[[#This Row],[Column2]]="","",INDEX(NOTA[STN],Sheet1!A:A))</f>
        <v/>
      </c>
      <c r="Q230" s="5" t="str">
        <f>INDEX([3]!db[QTY B],Table17[[#This Row],[//db]])</f>
        <v>120</v>
      </c>
      <c r="R230" t="str">
        <f>INDEX([3]!db[STN B],Table17[[#This Row],[//db]])</f>
        <v>LSN</v>
      </c>
      <c r="S230" s="40" t="str">
        <f>IF(Table17[[#This Row],[Column5]]=0,Table17[[#This Row],[Column23]]/Table17[[#This Row],[Column224]],"")</f>
        <v/>
      </c>
      <c r="T230" s="4">
        <f>IF(Table17[[#This Row],[Column222]]="",Table17[[#This Row],[Column5]],Table17[[#This Row],[Column222]])</f>
        <v>1</v>
      </c>
      <c r="U230" s="4" t="str">
        <f>IF(Table17[[#This Row],[Column223]]=Table17[[#This Row],[Column24]],"",1)</f>
        <v/>
      </c>
      <c r="V230" s="5">
        <f>IF(Table17[[#This Row],[isis]]="",IF(Table17[[#This Row],[isin]]="",Table17[[#This Row],[Column2]],Table17[[#This Row],[isin]]),Table17[[#This Row],[isis]])</f>
        <v>120</v>
      </c>
      <c r="W230" s="3" t="str">
        <f>IF(Table17[[#This Row],[isis]]="",IF(Table17[[#This Row],[isin]]="",Table17[[#This Row],[Column22]],Table17[[#This Row],[stnn]]),Table17[[#This Row],[stns]])</f>
        <v>LSN</v>
      </c>
      <c r="X230" s="5">
        <f>IF(Table17[[#This Row],[Column2222]]&lt;1,Table17[[#This Row],[Column23]],Table17[[#This Row],[Column23]]*Table17[[#This Row],[Column2222]])</f>
        <v>120</v>
      </c>
      <c r="Y230" s="3" t="str">
        <f>Table17[[#This Row],[Column24]]</f>
        <v>LSN</v>
      </c>
      <c r="Z230" s="5">
        <f>Table17[[#This Row],[HRG / CTN]]/Table17[[#This Row],[Column23]]</f>
        <v>18250</v>
      </c>
      <c r="AA230" s="42" t="str">
        <f>IF(INDEX(NOTA[DISC 1],Sheet1!A:A)=0,"",INDEX(NOTA[DISC 1],Sheet1!A:A))</f>
        <v/>
      </c>
      <c r="AB230" s="42" t="str">
        <f>IF(INDEX(NOTA[DISC 2],Sheet1!A:A)=0,"",INDEX(NOTA[DISC 2],Sheet1!A:A))</f>
        <v/>
      </c>
      <c r="AC23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30" s="43">
        <f>INDEX(NOTA[HARGA/ CTN_H],Sheet1!A:A)</f>
        <v>2190000</v>
      </c>
      <c r="AE230" s="43">
        <f>IF(Table17[[#This Row],[DISC 3]]="",Table17[[#This Row],[HRG / CTN]],Table17[[#This Row],[HRG / CTN]]-(Table17[[#This Row],[HRG / CTN]]*Table17[[#This Row],[DISC 3]]))</f>
        <v>2190000</v>
      </c>
      <c r="AF230" s="14">
        <f>IF(Table17[[#This Row],[Column2222]]&lt;1,Table17[[#This Row],[Column9]],Table17[[#This Row],[Column9]]*Table17[[#This Row],[Column2222]])</f>
        <v>2190000</v>
      </c>
      <c r="AG230" s="43" t="str">
        <f ca="1">IF(NOT(AL231=Table17[[#This Row],[Column6]]),SUMIF(Table17[Column6],Table17[[#This Row],[Column6]],Table17[Column7]),"")</f>
        <v/>
      </c>
      <c r="AH230" s="44">
        <f ca="1">INDEX(NOTA[TGL_H],Sheet1!A:A)</f>
        <v>45467</v>
      </c>
      <c r="AI230" s="44">
        <f ca="1">INDEX(NOTA[TGL.NOTA_H],Sheet1!A:A)</f>
        <v>45464</v>
      </c>
      <c r="AK230" t="str">
        <f>IF(INDEX(NOTA[KETERANGAN],A:A)="","",INDEX(NOTA[KETERANGAN],A:A))</f>
        <v/>
      </c>
      <c r="AL230" t="str">
        <f ca="1">INDEX(NOTA[NO.NOTA_H],Sheet1!A:A)</f>
        <v>JUF476/24</v>
      </c>
      <c r="AM230">
        <f>INDEX(NOTA[KETERANGAN],Sheet1!A:A)</f>
        <v>0</v>
      </c>
      <c r="AN230" t="str">
        <f ca="1">INDEX(NOTA[SUPPLIER_H],Sheet1!A:A)</f>
        <v>DB STATIONERY</v>
      </c>
      <c r="AO230" t="e">
        <f t="shared" ca="1" si="8"/>
        <v>#N/A</v>
      </c>
    </row>
    <row r="231" spans="1:41">
      <c r="A231" s="3">
        <v>280</v>
      </c>
      <c r="C231">
        <f>INDEX(NOTA[//DB],Sheet1!A:A)</f>
        <v>1281</v>
      </c>
      <c r="D231">
        <f>MATCH(Table17[[#This Row],[//db]],[3]!Table2[\\],0)</f>
        <v>558</v>
      </c>
      <c r="E231" t="str">
        <f>INDEX([3]!db[NB NOTA],Table17[[#This Row],[//db]])</f>
        <v>GEL ZHIXIN + REFILL G-5042</v>
      </c>
      <c r="F231" t="str">
        <f>INDEX([3]!db[NB BM],Table17[[#This Row],[//db]])</f>
        <v>BP GEL ZHIXIN G 5042</v>
      </c>
      <c r="G231" t="str">
        <f>_xlfn.IFNA(INDEX([3]!Table2[NAMA],Table17[[#This Row],[dbconcat]]),"")</f>
        <v>BP GEL ZHIXIN G 5042</v>
      </c>
      <c r="H231" t="str">
        <f>INDEX([3]!Table2[KODE BARANG],Table17[[#This Row],[dbconcat]])</f>
        <v>BOL-ZI181</v>
      </c>
      <c r="I231" t="str">
        <f>IF(Table17[[#This Row],[Column3]]="",UPPER(Table17[[#This Row],[Column1]]),Table17[[#This Row],[Column3]])</f>
        <v>BP GEL ZHIXIN G 5042</v>
      </c>
      <c r="J231">
        <f>INDEX(NOTA[C],Sheet1!A:A)</f>
        <v>1</v>
      </c>
      <c r="K231">
        <f>IF(OR(Table17[[#This Row],[Column5]]=0,Table17[[#This Row],[Column3]]=""),"",INDEX([3]!Table2[ISI2],Table17[[#This Row],[dbconcat]]))</f>
        <v>120</v>
      </c>
      <c r="L231" t="str">
        <f>IF(Table17[[#This Row],[isis]]="","",INDEX([3]!Table2[SATUAN3],Table17[[#This Row],[dbconcat]]))</f>
        <v>LSN</v>
      </c>
      <c r="M231" t="str">
        <f>IF(Table17[[#This Row],[Column5]]=0,"",IF(Table17[[#This Row],[Column3]]="",INDEX([3]!db[QTY B],Table17[[#This Row],[//db]]),""))</f>
        <v/>
      </c>
      <c r="N231" t="str">
        <f>IF(Table17[[#This Row],[isin]]="","",INDEX([3]!db[STN B],Table17[[#This Row],[//db]]))</f>
        <v/>
      </c>
      <c r="O231" t="str">
        <f>IF(AND(Table17[[#This Row],[isis]]="",Table17[[#This Row],[isin]]=""),INDEX(NOTA[QTY],Sheet1!A:A)/IF(Table17[[#This Row],[Column5]]=0,1,Table17[[#This Row],[Column5]]),"")</f>
        <v/>
      </c>
      <c r="P231" t="str">
        <f>IF(Table17[[#This Row],[Column2]]="","",INDEX(NOTA[STN],Sheet1!A:A))</f>
        <v/>
      </c>
      <c r="Q231" s="5" t="str">
        <f>INDEX([3]!db[QTY B],Table17[[#This Row],[//db]])</f>
        <v>120</v>
      </c>
      <c r="R231" t="str">
        <f>INDEX([3]!db[STN B],Table17[[#This Row],[//db]])</f>
        <v>LSN</v>
      </c>
      <c r="S231" s="40" t="str">
        <f>IF(Table17[[#This Row],[Column5]]=0,Table17[[#This Row],[Column23]]/Table17[[#This Row],[Column224]],"")</f>
        <v/>
      </c>
      <c r="T231" s="4">
        <f>IF(Table17[[#This Row],[Column222]]="",Table17[[#This Row],[Column5]],Table17[[#This Row],[Column222]])</f>
        <v>1</v>
      </c>
      <c r="U231" s="4" t="str">
        <f>IF(Table17[[#This Row],[Column223]]=Table17[[#This Row],[Column24]],"",1)</f>
        <v/>
      </c>
      <c r="V231" s="5">
        <f>IF(Table17[[#This Row],[isis]]="",IF(Table17[[#This Row],[isin]]="",Table17[[#This Row],[Column2]],Table17[[#This Row],[isin]]),Table17[[#This Row],[isis]])</f>
        <v>120</v>
      </c>
      <c r="W231" s="3" t="str">
        <f>IF(Table17[[#This Row],[isis]]="",IF(Table17[[#This Row],[isin]]="",Table17[[#This Row],[Column22]],Table17[[#This Row],[stnn]]),Table17[[#This Row],[stns]])</f>
        <v>LSN</v>
      </c>
      <c r="X231" s="5">
        <f>IF(Table17[[#This Row],[Column2222]]&lt;1,Table17[[#This Row],[Column23]],Table17[[#This Row],[Column23]]*Table17[[#This Row],[Column2222]])</f>
        <v>120</v>
      </c>
      <c r="Y231" s="3" t="str">
        <f>Table17[[#This Row],[Column24]]</f>
        <v>LSN</v>
      </c>
      <c r="Z231" s="5">
        <f>Table17[[#This Row],[HRG / CTN]]/Table17[[#This Row],[Column23]]</f>
        <v>0</v>
      </c>
      <c r="AA231" s="42" t="str">
        <f>IF(INDEX(NOTA[DISC 1],Sheet1!A:A)=0,"",INDEX(NOTA[DISC 1],Sheet1!A:A))</f>
        <v/>
      </c>
      <c r="AB231" s="42" t="str">
        <f>IF(INDEX(NOTA[DISC 2],Sheet1!A:A)=0,"",INDEX(NOTA[DISC 2],Sheet1!A:A))</f>
        <v/>
      </c>
      <c r="AC23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31" s="43">
        <f>INDEX(NOTA[HARGA/ CTN_H],Sheet1!A:A)</f>
        <v>0</v>
      </c>
      <c r="AE231" s="43">
        <f>IF(Table17[[#This Row],[DISC 3]]="",Table17[[#This Row],[HRG / CTN]],Table17[[#This Row],[HRG / CTN]]-(Table17[[#This Row],[HRG / CTN]]*Table17[[#This Row],[DISC 3]]))</f>
        <v>0</v>
      </c>
      <c r="AF231" s="14">
        <f>IF(Table17[[#This Row],[Column2222]]&lt;1,Table17[[#This Row],[Column9]],Table17[[#This Row],[Column9]]*Table17[[#This Row],[Column2222]])</f>
        <v>0</v>
      </c>
      <c r="AG231" s="43" t="str">
        <f ca="1">IF(NOT(AL232=Table17[[#This Row],[Column6]]),SUMIF(Table17[Column6],Table17[[#This Row],[Column6]],Table17[Column7]),"")</f>
        <v/>
      </c>
      <c r="AH231" s="44">
        <f ca="1">INDEX(NOTA[TGL_H],Sheet1!A:A)</f>
        <v>45467</v>
      </c>
      <c r="AI231" s="44">
        <f ca="1">INDEX(NOTA[TGL.NOTA_H],Sheet1!A:A)</f>
        <v>45464</v>
      </c>
      <c r="AK231" t="str">
        <f>IF(INDEX(NOTA[KETERANGAN],A:A)="","",INDEX(NOTA[KETERANGAN],A:A))</f>
        <v>BONUS</v>
      </c>
      <c r="AL231" t="str">
        <f ca="1">INDEX(NOTA[NO.NOTA_H],Sheet1!A:A)</f>
        <v>JUF476/24</v>
      </c>
      <c r="AM231" t="str">
        <f>INDEX(NOTA[KETERANGAN],Sheet1!A:A)</f>
        <v>BONUS</v>
      </c>
      <c r="AN231" t="str">
        <f ca="1">INDEX(NOTA[SUPPLIER_H],Sheet1!A:A)</f>
        <v>DB STATIONERY</v>
      </c>
      <c r="AO231" t="e">
        <f t="shared" ca="1" si="8"/>
        <v>#N/A</v>
      </c>
    </row>
    <row r="232" spans="1:41">
      <c r="A232" s="3">
        <v>281</v>
      </c>
      <c r="C232">
        <f>INDEX(NOTA[//DB],Sheet1!A:A)</f>
        <v>1036</v>
      </c>
      <c r="D232">
        <f>MATCH(Table17[[#This Row],[//db]],[3]!Table2[\\],0)</f>
        <v>707</v>
      </c>
      <c r="E232" t="str">
        <f>INDEX([3]!db[NB NOTA],Table17[[#This Row],[//db]])</f>
        <v>GEL 1.0 340 BIRU TG340BI</v>
      </c>
      <c r="F232" t="str">
        <f>INDEX([3]!db[NB BM],Table17[[#This Row],[//db]])</f>
        <v>Bp Tizo TG-340 Biru</v>
      </c>
      <c r="G232" t="str">
        <f>_xlfn.IFNA(INDEX([3]!Table2[NAMA],Table17[[#This Row],[dbconcat]]),"")</f>
        <v>BP TIZO TG340 BIRU</v>
      </c>
      <c r="H232" t="str">
        <f>INDEX([3]!Table2[KODE BARANG],Table17[[#This Row],[dbconcat]])</f>
        <v>BOL-TZ333</v>
      </c>
      <c r="I232" t="str">
        <f>IF(Table17[[#This Row],[Column3]]="",UPPER(Table17[[#This Row],[Column1]]),Table17[[#This Row],[Column3]])</f>
        <v>BP TIZO TG340 BIRU</v>
      </c>
      <c r="J232">
        <f>INDEX(NOTA[C],Sheet1!A:A)</f>
        <v>1</v>
      </c>
      <c r="K232">
        <f>IF(OR(Table17[[#This Row],[Column5]]=0,Table17[[#This Row],[Column3]]=""),"",INDEX([3]!Table2[ISI2],Table17[[#This Row],[dbconcat]]))</f>
        <v>96</v>
      </c>
      <c r="L232" t="str">
        <f>IF(Table17[[#This Row],[isis]]="","",INDEX([3]!Table2[SATUAN3],Table17[[#This Row],[dbconcat]]))</f>
        <v>LSN</v>
      </c>
      <c r="M232" t="str">
        <f>IF(Table17[[#This Row],[Column5]]=0,"",IF(Table17[[#This Row],[Column3]]="",INDEX([3]!db[QTY B],Table17[[#This Row],[//db]]),""))</f>
        <v/>
      </c>
      <c r="N232" t="str">
        <f>IF(Table17[[#This Row],[isin]]="","",INDEX([3]!db[STN B],Table17[[#This Row],[//db]]))</f>
        <v/>
      </c>
      <c r="O232" t="str">
        <f>IF(AND(Table17[[#This Row],[isis]]="",Table17[[#This Row],[isin]]=""),INDEX(NOTA[QTY],Sheet1!A:A)/IF(Table17[[#This Row],[Column5]]=0,1,Table17[[#This Row],[Column5]]),"")</f>
        <v/>
      </c>
      <c r="P232" t="str">
        <f>IF(Table17[[#This Row],[Column2]]="","",INDEX(NOTA[STN],Sheet1!A:A))</f>
        <v/>
      </c>
      <c r="Q232" s="5" t="str">
        <f>INDEX([3]!db[QTY B],Table17[[#This Row],[//db]])</f>
        <v>96</v>
      </c>
      <c r="R232" t="str">
        <f>INDEX([3]!db[STN B],Table17[[#This Row],[//db]])</f>
        <v>LSN</v>
      </c>
      <c r="S232" s="40" t="str">
        <f>IF(Table17[[#This Row],[Column5]]=0,Table17[[#This Row],[Column23]]/Table17[[#This Row],[Column224]],"")</f>
        <v/>
      </c>
      <c r="T232" s="4">
        <f>IF(Table17[[#This Row],[Column222]]="",Table17[[#This Row],[Column5]],Table17[[#This Row],[Column222]])</f>
        <v>1</v>
      </c>
      <c r="U232" s="4" t="str">
        <f>IF(Table17[[#This Row],[Column223]]=Table17[[#This Row],[Column24]],"",1)</f>
        <v/>
      </c>
      <c r="V232" s="5">
        <f>IF(Table17[[#This Row],[isis]]="",IF(Table17[[#This Row],[isin]]="",Table17[[#This Row],[Column2]],Table17[[#This Row],[isin]]),Table17[[#This Row],[isis]])</f>
        <v>96</v>
      </c>
      <c r="W232" s="3" t="str">
        <f>IF(Table17[[#This Row],[isis]]="",IF(Table17[[#This Row],[isin]]="",Table17[[#This Row],[Column22]],Table17[[#This Row],[stnn]]),Table17[[#This Row],[stns]])</f>
        <v>LSN</v>
      </c>
      <c r="X232" s="5">
        <f>IF(Table17[[#This Row],[Column2222]]&lt;1,Table17[[#This Row],[Column23]],Table17[[#This Row],[Column23]]*Table17[[#This Row],[Column2222]])</f>
        <v>96</v>
      </c>
      <c r="Y232" s="3" t="str">
        <f>Table17[[#This Row],[Column24]]</f>
        <v>LSN</v>
      </c>
      <c r="Z232" s="5">
        <f>Table17[[#This Row],[HRG / CTN]]/Table17[[#This Row],[Column23]]</f>
        <v>31500</v>
      </c>
      <c r="AA232" s="42" t="str">
        <f>IF(INDEX(NOTA[DISC 1],Sheet1!A:A)=0,"",INDEX(NOTA[DISC 1],Sheet1!A:A))</f>
        <v/>
      </c>
      <c r="AB232" s="42" t="str">
        <f>IF(INDEX(NOTA[DISC 2],Sheet1!A:A)=0,"",INDEX(NOTA[DISC 2],Sheet1!A:A))</f>
        <v/>
      </c>
      <c r="AC23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32" s="43">
        <f>INDEX(NOTA[HARGA/ CTN_H],Sheet1!A:A)</f>
        <v>3024000</v>
      </c>
      <c r="AE232" s="43">
        <f>IF(Table17[[#This Row],[DISC 3]]="",Table17[[#This Row],[HRG / CTN]],Table17[[#This Row],[HRG / CTN]]-(Table17[[#This Row],[HRG / CTN]]*Table17[[#This Row],[DISC 3]]))</f>
        <v>3024000</v>
      </c>
      <c r="AF232" s="14">
        <f>IF(Table17[[#This Row],[Column2222]]&lt;1,Table17[[#This Row],[Column9]],Table17[[#This Row],[Column9]]*Table17[[#This Row],[Column2222]])</f>
        <v>3024000</v>
      </c>
      <c r="AG232" s="43">
        <f ca="1">IF(NOT(AL233=Table17[[#This Row],[Column6]]),SUMIF(Table17[Column6],Table17[[#This Row],[Column6]],Table17[Column7]),"")</f>
        <v>59994000</v>
      </c>
      <c r="AH232" s="44">
        <f ca="1">INDEX(NOTA[TGL_H],Sheet1!A:A)</f>
        <v>45467</v>
      </c>
      <c r="AI232" s="44">
        <f ca="1">INDEX(NOTA[TGL.NOTA_H],Sheet1!A:A)</f>
        <v>45464</v>
      </c>
      <c r="AK232" t="str">
        <f>IF(INDEX(NOTA[KETERANGAN],A:A)="","",INDEX(NOTA[KETERANGAN],A:A))</f>
        <v/>
      </c>
      <c r="AL232" t="str">
        <f ca="1">INDEX(NOTA[NO.NOTA_H],Sheet1!A:A)</f>
        <v>JUF476/24</v>
      </c>
      <c r="AM232">
        <f>INDEX(NOTA[KETERANGAN],Sheet1!A:A)</f>
        <v>0</v>
      </c>
      <c r="AN232" t="str">
        <f ca="1">INDEX(NOTA[SUPPLIER_H],Sheet1!A:A)</f>
        <v>DB STATIONERY</v>
      </c>
      <c r="AO232" t="e">
        <f t="shared" ca="1" si="8"/>
        <v>#N/A</v>
      </c>
    </row>
    <row r="233" spans="1:41">
      <c r="A233" s="3">
        <v>283</v>
      </c>
      <c r="C233">
        <f>INDEX(NOTA[//DB],Sheet1!A:A)</f>
        <v>149</v>
      </c>
      <c r="D233">
        <f>MATCH(Table17[[#This Row],[//db]],[3]!Table2[\\],0)</f>
        <v>704</v>
      </c>
      <c r="E233" t="str">
        <f>INDEX([3]!db[NB NOTA],Table17[[#This Row],[//db]])</f>
        <v>BALLPEN GEL TF-3115 0.3MM HIGHTECH KNOCK</v>
      </c>
      <c r="F233" t="str">
        <f>INDEX([3]!db[NB BM],Table17[[#This Row],[//db]])</f>
        <v>BP TF-3115 HIGHTECH KNOCK</v>
      </c>
      <c r="G233" t="str">
        <f>_xlfn.IFNA(INDEX([3]!Table2[NAMA],Table17[[#This Row],[dbconcat]]),"")</f>
        <v>BP TF-3115 HIGHTECH KNOCK</v>
      </c>
      <c r="H233" t="str">
        <f>INDEX([3]!Table2[KODE BARANG],Table17[[#This Row],[dbconcat]])</f>
        <v>BOL-TF330</v>
      </c>
      <c r="I233" t="str">
        <f>IF(Table17[[#This Row],[Column3]]="",UPPER(Table17[[#This Row],[Column1]]),Table17[[#This Row],[Column3]])</f>
        <v>BP TF-3115 HIGHTECH KNOCK</v>
      </c>
      <c r="J233">
        <f>INDEX(NOTA[C],Sheet1!A:A)</f>
        <v>3</v>
      </c>
      <c r="K233">
        <f>IF(OR(Table17[[#This Row],[Column5]]=0,Table17[[#This Row],[Column3]]=""),"",INDEX([3]!Table2[ISI2],Table17[[#This Row],[dbconcat]]))</f>
        <v>144</v>
      </c>
      <c r="L233" t="str">
        <f>IF(Table17[[#This Row],[isis]]="","",INDEX([3]!Table2[SATUAN3],Table17[[#This Row],[dbconcat]]))</f>
        <v>LSN</v>
      </c>
      <c r="M233" t="str">
        <f>IF(Table17[[#This Row],[Column5]]=0,"",IF(Table17[[#This Row],[Column3]]="",INDEX([3]!db[QTY B],Table17[[#This Row],[//db]]),""))</f>
        <v/>
      </c>
      <c r="N233" t="str">
        <f>IF(Table17[[#This Row],[isin]]="","",INDEX([3]!db[STN B],Table17[[#This Row],[//db]]))</f>
        <v/>
      </c>
      <c r="O233" t="str">
        <f>IF(AND(Table17[[#This Row],[isis]]="",Table17[[#This Row],[isin]]=""),INDEX(NOTA[QTY],Sheet1!A:A)/IF(Table17[[#This Row],[Column5]]=0,1,Table17[[#This Row],[Column5]]),"")</f>
        <v/>
      </c>
      <c r="P233" t="str">
        <f>IF(Table17[[#This Row],[Column2]]="","",INDEX(NOTA[STN],Sheet1!A:A))</f>
        <v/>
      </c>
      <c r="Q233" s="5" t="str">
        <f>INDEX([3]!db[QTY B],Table17[[#This Row],[//db]])</f>
        <v>96</v>
      </c>
      <c r="R233" t="str">
        <f>INDEX([3]!db[STN B],Table17[[#This Row],[//db]])</f>
        <v>LSN</v>
      </c>
      <c r="S233" s="40" t="str">
        <f>IF(Table17[[#This Row],[Column5]]=0,Table17[[#This Row],[Column23]]/Table17[[#This Row],[Column224]],"")</f>
        <v/>
      </c>
      <c r="T233" s="4">
        <f>IF(Table17[[#This Row],[Column222]]="",Table17[[#This Row],[Column5]],Table17[[#This Row],[Column222]])</f>
        <v>3</v>
      </c>
      <c r="U233" s="4" t="str">
        <f>IF(Table17[[#This Row],[Column223]]=Table17[[#This Row],[Column24]],"",1)</f>
        <v/>
      </c>
      <c r="V233" s="5">
        <f>IF(Table17[[#This Row],[isis]]="",IF(Table17[[#This Row],[isin]]="",Table17[[#This Row],[Column2]],Table17[[#This Row],[isin]]),Table17[[#This Row],[isis]])</f>
        <v>144</v>
      </c>
      <c r="W233" s="3" t="str">
        <f>IF(Table17[[#This Row],[isis]]="",IF(Table17[[#This Row],[isin]]="",Table17[[#This Row],[Column22]],Table17[[#This Row],[stnn]]),Table17[[#This Row],[stns]])</f>
        <v>LSN</v>
      </c>
      <c r="X233" s="5">
        <f>IF(Table17[[#This Row],[Column2222]]&lt;1,Table17[[#This Row],[Column23]],Table17[[#This Row],[Column23]]*Table17[[#This Row],[Column2222]])</f>
        <v>432</v>
      </c>
      <c r="Y233" s="3" t="str">
        <f>Table17[[#This Row],[Column24]]</f>
        <v>LSN</v>
      </c>
      <c r="Z233" s="5">
        <f>Table17[[#This Row],[HRG / CTN]]/Table17[[#This Row],[Column23]]</f>
        <v>20333.333333333332</v>
      </c>
      <c r="AA233" s="42">
        <f>IF(INDEX(NOTA[DISC 1],Sheet1!A:A)=0,"",INDEX(NOTA[DISC 1],Sheet1!A:A))</f>
        <v>0.03</v>
      </c>
      <c r="AB233" s="42" t="str">
        <f>IF(INDEX(NOTA[DISC 2],Sheet1!A:A)=0,"",INDEX(NOTA[DISC 2],Sheet1!A:A))</f>
        <v/>
      </c>
      <c r="AC233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233" s="43">
        <f>INDEX(NOTA[HARGA/ CTN_H],Sheet1!A:A)</f>
        <v>2928000</v>
      </c>
      <c r="AE233" s="43">
        <f>IF(Table17[[#This Row],[DISC 3]]="",Table17[[#This Row],[HRG / CTN]],Table17[[#This Row],[HRG / CTN]]-(Table17[[#This Row],[HRG / CTN]]*Table17[[#This Row],[DISC 3]]))</f>
        <v>2840160</v>
      </c>
      <c r="AF233" s="14">
        <f>IF(Table17[[#This Row],[Column2222]]&lt;1,Table17[[#This Row],[Column9]],Table17[[#This Row],[Column9]]*Table17[[#This Row],[Column2222]])</f>
        <v>8520480</v>
      </c>
      <c r="AG233" s="43">
        <f ca="1">IF(NOT(AL234=Table17[[#This Row],[Column6]]),SUMIF(Table17[Column6],Table17[[#This Row],[Column6]],Table17[Column7]),"")</f>
        <v>8520480</v>
      </c>
      <c r="AH233" s="44">
        <f ca="1">INDEX(NOTA[TGL_H],Sheet1!A:A)</f>
        <v>45467</v>
      </c>
      <c r="AI233" s="44">
        <f ca="1">INDEX(NOTA[TGL.NOTA_H],Sheet1!A:A)</f>
        <v>38160</v>
      </c>
      <c r="AK233" t="str">
        <f>IF(INDEX(NOTA[KETERANGAN],A:A)="","",INDEX(NOTA[KETERANGAN],A:A))</f>
        <v/>
      </c>
      <c r="AL233" t="str">
        <f ca="1">INDEX(NOTA[NO.NOTA_H],Sheet1!A:A)</f>
        <v>HM/116/06-24H</v>
      </c>
      <c r="AM233">
        <f>INDEX(NOTA[KETERANGAN],Sheet1!A:A)</f>
        <v>0</v>
      </c>
      <c r="AN233" t="str">
        <f ca="1">INDEX(NOTA[SUPPLIER_H],Sheet1!A:A)</f>
        <v>DUTA BUANA</v>
      </c>
      <c r="AO233" t="e">
        <f t="shared" ca="1" si="8"/>
        <v>#N/A</v>
      </c>
    </row>
    <row r="234" spans="1:41">
      <c r="A234" s="3">
        <v>285</v>
      </c>
      <c r="C234">
        <f>INDEX(NOTA[//DB],Sheet1!A:A)</f>
        <v>2590</v>
      </c>
      <c r="D234">
        <f>MATCH(Table17[[#This Row],[//db]],[3]!Table2[\\],0)</f>
        <v>2680</v>
      </c>
      <c r="E234" t="str">
        <f>INDEX([3]!db[NB NOTA],Table17[[#This Row],[//db]])</f>
        <v>PENCIL TF-194-24 PASTEL 24WR PJ</v>
      </c>
      <c r="F234" t="str">
        <f>INDEX([3]!db[NB BM],Table17[[#This Row],[//db]])</f>
        <v>PW TF 194 24W</v>
      </c>
      <c r="G234" t="str">
        <f>_xlfn.IFNA(INDEX([3]!Table2[NAMA],Table17[[#This Row],[dbconcat]]),"")</f>
        <v>PW TF 194 24W</v>
      </c>
      <c r="H234" t="str">
        <f>INDEX([3]!Table2[KODE BARANG],Table17[[#This Row],[dbconcat]])</f>
        <v>PWA-TF21</v>
      </c>
      <c r="I234" t="str">
        <f>IF(Table17[[#This Row],[Column3]]="",UPPER(Table17[[#This Row],[Column1]]),Table17[[#This Row],[Column3]])</f>
        <v>PW TF 194 24W</v>
      </c>
      <c r="J234">
        <f>INDEX(NOTA[C],Sheet1!A:A)</f>
        <v>2</v>
      </c>
      <c r="K234">
        <f>IF(OR(Table17[[#This Row],[Column5]]=0,Table17[[#This Row],[Column3]]=""),"",INDEX([3]!Table2[ISI2],Table17[[#This Row],[dbconcat]]))</f>
        <v>10</v>
      </c>
      <c r="L234" t="str">
        <f>IF(Table17[[#This Row],[isis]]="","",INDEX([3]!Table2[SATUAN3],Table17[[#This Row],[dbconcat]]))</f>
        <v>LSN</v>
      </c>
      <c r="M234" t="str">
        <f>IF(Table17[[#This Row],[Column5]]=0,"",IF(Table17[[#This Row],[Column3]]="",INDEX([3]!db[QTY B],Table17[[#This Row],[//db]]),""))</f>
        <v/>
      </c>
      <c r="N234" t="str">
        <f>IF(Table17[[#This Row],[isin]]="","",INDEX([3]!db[STN B],Table17[[#This Row],[//db]]))</f>
        <v/>
      </c>
      <c r="O234" t="str">
        <f>IF(AND(Table17[[#This Row],[isis]]="",Table17[[#This Row],[isin]]=""),INDEX(NOTA[QTY],Sheet1!A:A)/IF(Table17[[#This Row],[Column5]]=0,1,Table17[[#This Row],[Column5]]),"")</f>
        <v/>
      </c>
      <c r="P234" t="str">
        <f>IF(Table17[[#This Row],[Column2]]="","",INDEX(NOTA[STN],Sheet1!A:A))</f>
        <v/>
      </c>
      <c r="Q234" s="5" t="str">
        <f>INDEX([3]!db[QTY B],Table17[[#This Row],[//db]])</f>
        <v>120</v>
      </c>
      <c r="R234" t="str">
        <f>INDEX([3]!db[STN B],Table17[[#This Row],[//db]])</f>
        <v>SET</v>
      </c>
      <c r="S234" s="40" t="str">
        <f>IF(Table17[[#This Row],[Column5]]=0,Table17[[#This Row],[Column23]]/Table17[[#This Row],[Column224]],"")</f>
        <v/>
      </c>
      <c r="T234" s="4">
        <f>IF(Table17[[#This Row],[Column222]]="",Table17[[#This Row],[Column5]],Table17[[#This Row],[Column222]])</f>
        <v>2</v>
      </c>
      <c r="U234" s="4">
        <f>IF(Table17[[#This Row],[Column223]]=Table17[[#This Row],[Column24]],"",1)</f>
        <v>1</v>
      </c>
      <c r="V234" s="5">
        <f>IF(Table17[[#This Row],[isis]]="",IF(Table17[[#This Row],[isin]]="",Table17[[#This Row],[Column2]],Table17[[#This Row],[isin]]),Table17[[#This Row],[isis]])</f>
        <v>10</v>
      </c>
      <c r="W234" s="3" t="str">
        <f>IF(Table17[[#This Row],[isis]]="",IF(Table17[[#This Row],[isin]]="",Table17[[#This Row],[Column22]],Table17[[#This Row],[stnn]]),Table17[[#This Row],[stns]])</f>
        <v>LSN</v>
      </c>
      <c r="X234" s="5">
        <f>IF(Table17[[#This Row],[Column2222]]&lt;1,Table17[[#This Row],[Column23]],Table17[[#This Row],[Column23]]*Table17[[#This Row],[Column2222]])</f>
        <v>20</v>
      </c>
      <c r="Y234" s="3" t="str">
        <f>Table17[[#This Row],[Column24]]</f>
        <v>LSN</v>
      </c>
      <c r="Z234" s="5">
        <f>Table17[[#This Row],[HRG / CTN]]/Table17[[#This Row],[Column23]]</f>
        <v>240000</v>
      </c>
      <c r="AA234" s="42">
        <f>IF(INDEX(NOTA[DISC 1],Sheet1!A:A)=0,"",INDEX(NOTA[DISC 1],Sheet1!A:A))</f>
        <v>0.03</v>
      </c>
      <c r="AB234" s="42" t="str">
        <f>IF(INDEX(NOTA[DISC 2],Sheet1!A:A)=0,"",INDEX(NOTA[DISC 2],Sheet1!A:A))</f>
        <v/>
      </c>
      <c r="AC234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234" s="43">
        <f>INDEX(NOTA[HARGA/ CTN_H],Sheet1!A:A)</f>
        <v>2400000</v>
      </c>
      <c r="AE234" s="43">
        <f>IF(Table17[[#This Row],[DISC 3]]="",Table17[[#This Row],[HRG / CTN]],Table17[[#This Row],[HRG / CTN]]-(Table17[[#This Row],[HRG / CTN]]*Table17[[#This Row],[DISC 3]]))</f>
        <v>2328000</v>
      </c>
      <c r="AF234" s="14">
        <f>IF(Table17[[#This Row],[Column2222]]&lt;1,Table17[[#This Row],[Column9]],Table17[[#This Row],[Column9]]*Table17[[#This Row],[Column2222]])</f>
        <v>4656000</v>
      </c>
      <c r="AG234" s="43">
        <f ca="1">IF(NOT(AL235=Table17[[#This Row],[Column6]]),SUMIF(Table17[Column6],Table17[[#This Row],[Column6]],Table17[Column7]),"")</f>
        <v>4656000</v>
      </c>
      <c r="AH234" s="44">
        <f ca="1">INDEX(NOTA[TGL_H],Sheet1!A:A)</f>
        <v>45467</v>
      </c>
      <c r="AI234" s="44">
        <f ca="1">INDEX(NOTA[TGL.NOTA_H],Sheet1!A:A)</f>
        <v>45465</v>
      </c>
      <c r="AK234" t="str">
        <f>IF(INDEX(NOTA[KETERANGAN],A:A)="","",INDEX(NOTA[KETERANGAN],A:A))</f>
        <v/>
      </c>
      <c r="AL234" t="str">
        <f ca="1">INDEX(NOTA[NO.NOTA_H],Sheet1!A:A)</f>
        <v>HM/115/06-24H</v>
      </c>
      <c r="AM234">
        <f>INDEX(NOTA[KETERANGAN],Sheet1!A:A)</f>
        <v>0</v>
      </c>
      <c r="AN234" t="str">
        <f ca="1">INDEX(NOTA[SUPPLIER_H],Sheet1!A:A)</f>
        <v>DUTA BUANA</v>
      </c>
      <c r="AO234" t="e">
        <f t="shared" ca="1" si="8"/>
        <v>#N/A</v>
      </c>
    </row>
    <row r="235" spans="1:41">
      <c r="A235" s="3">
        <v>287</v>
      </c>
      <c r="C235">
        <f>INDEX(NOTA[//DB],Sheet1!A:A)</f>
        <v>1017</v>
      </c>
      <c r="D235">
        <f>MATCH(Table17[[#This Row],[//db]],[3]!Table2[\\],0)</f>
        <v>1218</v>
      </c>
      <c r="E235" t="str">
        <f>INDEX([3]!db[NB NOTA],Table17[[#This Row],[//db]])</f>
        <v>PENGGARIS BESI 40CM YOEKER</v>
      </c>
      <c r="F235" t="str">
        <f>INDEX([3]!db[NB BM],Table17[[#This Row],[//db]])</f>
        <v>Garisan Besi Yoeker 40cm</v>
      </c>
      <c r="G235" t="str">
        <f>_xlfn.IFNA(INDEX([3]!Table2[NAMA],Table17[[#This Row],[dbconcat]]),"")</f>
        <v>GARISAN BESI YOEKER 40CM</v>
      </c>
      <c r="H235" t="str">
        <f>INDEX([3]!Table2[KODE BARANG],Table17[[#This Row],[dbconcat]])</f>
        <v>GAR-YK254</v>
      </c>
      <c r="I235" t="str">
        <f>IF(Table17[[#This Row],[Column3]]="",UPPER(Table17[[#This Row],[Column1]]),Table17[[#This Row],[Column3]])</f>
        <v>GARISAN BESI YOEKER 40CM</v>
      </c>
      <c r="J235">
        <f>INDEX(NOTA[C],Sheet1!A:A)</f>
        <v>2</v>
      </c>
      <c r="K235">
        <f>IF(OR(Table17[[#This Row],[Column5]]=0,Table17[[#This Row],[Column3]]=""),"",INDEX([3]!Table2[ISI2],Table17[[#This Row],[dbconcat]]))</f>
        <v>25</v>
      </c>
      <c r="L235" t="str">
        <f>IF(Table17[[#This Row],[isis]]="","",INDEX([3]!Table2[SATUAN3],Table17[[#This Row],[dbconcat]]))</f>
        <v>LSN</v>
      </c>
      <c r="M235" t="str">
        <f>IF(Table17[[#This Row],[Column5]]=0,"",IF(Table17[[#This Row],[Column3]]="",INDEX([3]!db[QTY B],Table17[[#This Row],[//db]]),""))</f>
        <v/>
      </c>
      <c r="N235" t="str">
        <f>IF(Table17[[#This Row],[isin]]="","",INDEX([3]!db[STN B],Table17[[#This Row],[//db]]))</f>
        <v/>
      </c>
      <c r="O235" t="str">
        <f>IF(AND(Table17[[#This Row],[isis]]="",Table17[[#This Row],[isin]]=""),INDEX(NOTA[QTY],Sheet1!A:A)/IF(Table17[[#This Row],[Column5]]=0,1,Table17[[#This Row],[Column5]]),"")</f>
        <v/>
      </c>
      <c r="P235" t="str">
        <f>IF(Table17[[#This Row],[Column2]]="","",INDEX(NOTA[STN],Sheet1!A:A))</f>
        <v/>
      </c>
      <c r="Q235" s="5" t="str">
        <f>INDEX([3]!db[QTY B],Table17[[#This Row],[//db]])</f>
        <v>25</v>
      </c>
      <c r="R235" t="str">
        <f>INDEX([3]!db[STN B],Table17[[#This Row],[//db]])</f>
        <v>LSN</v>
      </c>
      <c r="S235" s="40" t="str">
        <f>IF(Table17[[#This Row],[Column5]]=0,Table17[[#This Row],[Column23]]/Table17[[#This Row],[Column224]],"")</f>
        <v/>
      </c>
      <c r="T235" s="4">
        <f>IF(Table17[[#This Row],[Column222]]="",Table17[[#This Row],[Column5]],Table17[[#This Row],[Column222]])</f>
        <v>2</v>
      </c>
      <c r="U235" s="4" t="str">
        <f>IF(Table17[[#This Row],[Column223]]=Table17[[#This Row],[Column24]],"",1)</f>
        <v/>
      </c>
      <c r="V235" s="5">
        <f>IF(Table17[[#This Row],[isis]]="",IF(Table17[[#This Row],[isin]]="",Table17[[#This Row],[Column2]],Table17[[#This Row],[isin]]),Table17[[#This Row],[isis]])</f>
        <v>25</v>
      </c>
      <c r="W235" s="3" t="str">
        <f>IF(Table17[[#This Row],[isis]]="",IF(Table17[[#This Row],[isin]]="",Table17[[#This Row],[Column22]],Table17[[#This Row],[stnn]]),Table17[[#This Row],[stns]])</f>
        <v>LSN</v>
      </c>
      <c r="X235" s="5">
        <f>IF(Table17[[#This Row],[Column2222]]&lt;1,Table17[[#This Row],[Column23]],Table17[[#This Row],[Column23]]*Table17[[#This Row],[Column2222]])</f>
        <v>50</v>
      </c>
      <c r="Y235" s="3" t="str">
        <f>Table17[[#This Row],[Column24]]</f>
        <v>LSN</v>
      </c>
      <c r="Z235" s="5">
        <f>Table17[[#This Row],[HRG / CTN]]/Table17[[#This Row],[Column23]]</f>
        <v>32500</v>
      </c>
      <c r="AA235" s="42" t="str">
        <f>IF(INDEX(NOTA[DISC 1],Sheet1!A:A)=0,"",INDEX(NOTA[DISC 1],Sheet1!A:A))</f>
        <v/>
      </c>
      <c r="AB235" s="42" t="str">
        <f>IF(INDEX(NOTA[DISC 2],Sheet1!A:A)=0,"",INDEX(NOTA[DISC 2],Sheet1!A:A))</f>
        <v/>
      </c>
      <c r="AC23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35" s="43">
        <f>INDEX(NOTA[HARGA/ CTN_H],Sheet1!A:A)</f>
        <v>812500</v>
      </c>
      <c r="AE235" s="43">
        <f>IF(Table17[[#This Row],[DISC 3]]="",Table17[[#This Row],[HRG / CTN]],Table17[[#This Row],[HRG / CTN]]-(Table17[[#This Row],[HRG / CTN]]*Table17[[#This Row],[DISC 3]]))</f>
        <v>812500</v>
      </c>
      <c r="AF235" s="14">
        <f>IF(Table17[[#This Row],[Column2222]]&lt;1,Table17[[#This Row],[Column9]],Table17[[#This Row],[Column9]]*Table17[[#This Row],[Column2222]])</f>
        <v>1625000</v>
      </c>
      <c r="AG235" s="43" t="str">
        <f ca="1">IF(NOT(AL236=Table17[[#This Row],[Column6]]),SUMIF(Table17[Column6],Table17[[#This Row],[Column6]],Table17[Column7]),"")</f>
        <v/>
      </c>
      <c r="AH235" s="44">
        <f ca="1">INDEX(NOTA[TGL_H],Sheet1!A:A)</f>
        <v>45465</v>
      </c>
      <c r="AI235" s="44">
        <f ca="1">INDEX(NOTA[TGL.NOTA_H],Sheet1!A:A)</f>
        <v>45462</v>
      </c>
      <c r="AK235" t="str">
        <f>IF(INDEX(NOTA[KETERANGAN],A:A)="","",INDEX(NOTA[KETERANGAN],A:A))</f>
        <v/>
      </c>
      <c r="AL235" t="str">
        <f ca="1">INDEX(NOTA[NO.NOTA_H],Sheet1!A:A)</f>
        <v>SO24/1764</v>
      </c>
      <c r="AM235">
        <f>INDEX(NOTA[KETERANGAN],Sheet1!A:A)</f>
        <v>0</v>
      </c>
      <c r="AN235" t="str">
        <f ca="1">INDEX(NOTA[SUPPLIER_H],Sheet1!A:A)</f>
        <v>ANDY (YOEKER)</v>
      </c>
      <c r="AO235" t="e">
        <f t="shared" ref="AO235:AO238" ca="1" si="9">MATCH(AL:AL,AR:AR,0)</f>
        <v>#N/A</v>
      </c>
    </row>
    <row r="236" spans="1:41">
      <c r="A236" s="3">
        <v>288</v>
      </c>
      <c r="C236">
        <f>INDEX(NOTA[//DB],Sheet1!A:A)</f>
        <v>1018</v>
      </c>
      <c r="D236">
        <f>MATCH(Table17[[#This Row],[//db]],[3]!Table2[\\],0)</f>
        <v>1219</v>
      </c>
      <c r="E236" t="str">
        <f>INDEX([3]!db[NB NOTA],Table17[[#This Row],[//db]])</f>
        <v>PENGGARIS BESI 50CM YOEKER</v>
      </c>
      <c r="F236" t="str">
        <f>INDEX([3]!db[NB BM],Table17[[#This Row],[//db]])</f>
        <v>Garisan Besi Yoeker 50cm</v>
      </c>
      <c r="G236" t="str">
        <f>_xlfn.IFNA(INDEX([3]!Table2[NAMA],Table17[[#This Row],[dbconcat]]),"")</f>
        <v>GARISAN BESI YOEKER 50 CM</v>
      </c>
      <c r="H236" t="str">
        <f>INDEX([3]!Table2[KODE BARANG],Table17[[#This Row],[dbconcat]])</f>
        <v>GAR-YK255</v>
      </c>
      <c r="I236" t="str">
        <f>IF(Table17[[#This Row],[Column3]]="",UPPER(Table17[[#This Row],[Column1]]),Table17[[#This Row],[Column3]])</f>
        <v>GARISAN BESI YOEKER 50 CM</v>
      </c>
      <c r="J236">
        <f>INDEX(NOTA[C],Sheet1!A:A)</f>
        <v>2</v>
      </c>
      <c r="K236">
        <f>IF(OR(Table17[[#This Row],[Column5]]=0,Table17[[#This Row],[Column3]]=""),"",INDEX([3]!Table2[ISI2],Table17[[#This Row],[dbconcat]]))</f>
        <v>25</v>
      </c>
      <c r="L236" t="str">
        <f>IF(Table17[[#This Row],[isis]]="","",INDEX([3]!Table2[SATUAN3],Table17[[#This Row],[dbconcat]]))</f>
        <v>LSN</v>
      </c>
      <c r="M236" t="str">
        <f>IF(Table17[[#This Row],[Column5]]=0,"",IF(Table17[[#This Row],[Column3]]="",INDEX([3]!db[QTY B],Table17[[#This Row],[//db]]),""))</f>
        <v/>
      </c>
      <c r="N236" t="str">
        <f>IF(Table17[[#This Row],[isin]]="","",INDEX([3]!db[STN B],Table17[[#This Row],[//db]]))</f>
        <v/>
      </c>
      <c r="O236" t="str">
        <f>IF(AND(Table17[[#This Row],[isis]]="",Table17[[#This Row],[isin]]=""),INDEX(NOTA[QTY],Sheet1!A:A)/IF(Table17[[#This Row],[Column5]]=0,1,Table17[[#This Row],[Column5]]),"")</f>
        <v/>
      </c>
      <c r="P236" t="str">
        <f>IF(Table17[[#This Row],[Column2]]="","",INDEX(NOTA[STN],Sheet1!A:A))</f>
        <v/>
      </c>
      <c r="Q236" s="5" t="str">
        <f>INDEX([3]!db[QTY B],Table17[[#This Row],[//db]])</f>
        <v>25</v>
      </c>
      <c r="R236" t="str">
        <f>INDEX([3]!db[STN B],Table17[[#This Row],[//db]])</f>
        <v>LSN</v>
      </c>
      <c r="S236" s="40" t="str">
        <f>IF(Table17[[#This Row],[Column5]]=0,Table17[[#This Row],[Column23]]/Table17[[#This Row],[Column224]],"")</f>
        <v/>
      </c>
      <c r="T236" s="4">
        <f>IF(Table17[[#This Row],[Column222]]="",Table17[[#This Row],[Column5]],Table17[[#This Row],[Column222]])</f>
        <v>2</v>
      </c>
      <c r="U236" s="4" t="str">
        <f>IF(Table17[[#This Row],[Column223]]=Table17[[#This Row],[Column24]],"",1)</f>
        <v/>
      </c>
      <c r="V236" s="5">
        <f>IF(Table17[[#This Row],[isis]]="",IF(Table17[[#This Row],[isin]]="",Table17[[#This Row],[Column2]],Table17[[#This Row],[isin]]),Table17[[#This Row],[isis]])</f>
        <v>25</v>
      </c>
      <c r="W236" s="3" t="str">
        <f>IF(Table17[[#This Row],[isis]]="",IF(Table17[[#This Row],[isin]]="",Table17[[#This Row],[Column22]],Table17[[#This Row],[stnn]]),Table17[[#This Row],[stns]])</f>
        <v>LSN</v>
      </c>
      <c r="X236" s="5">
        <f>IF(Table17[[#This Row],[Column2222]]&lt;1,Table17[[#This Row],[Column23]],Table17[[#This Row],[Column23]]*Table17[[#This Row],[Column2222]])</f>
        <v>50</v>
      </c>
      <c r="Y236" s="3" t="str">
        <f>Table17[[#This Row],[Column24]]</f>
        <v>LSN</v>
      </c>
      <c r="Z236" s="5">
        <f>Table17[[#This Row],[HRG / CTN]]/Table17[[#This Row],[Column23]]</f>
        <v>37500</v>
      </c>
      <c r="AA236" s="42" t="str">
        <f>IF(INDEX(NOTA[DISC 1],Sheet1!A:A)=0,"",INDEX(NOTA[DISC 1],Sheet1!A:A))</f>
        <v/>
      </c>
      <c r="AB236" s="42" t="str">
        <f>IF(INDEX(NOTA[DISC 2],Sheet1!A:A)=0,"",INDEX(NOTA[DISC 2],Sheet1!A:A))</f>
        <v/>
      </c>
      <c r="AC23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36" s="43">
        <f>INDEX(NOTA[HARGA/ CTN_H],Sheet1!A:A)</f>
        <v>937500</v>
      </c>
      <c r="AE236" s="43">
        <f>IF(Table17[[#This Row],[DISC 3]]="",Table17[[#This Row],[HRG / CTN]],Table17[[#This Row],[HRG / CTN]]-(Table17[[#This Row],[HRG / CTN]]*Table17[[#This Row],[DISC 3]]))</f>
        <v>937500</v>
      </c>
      <c r="AF236" s="14">
        <f>IF(Table17[[#This Row],[Column2222]]&lt;1,Table17[[#This Row],[Column9]],Table17[[#This Row],[Column9]]*Table17[[#This Row],[Column2222]])</f>
        <v>1875000</v>
      </c>
      <c r="AG236" s="43">
        <f ca="1">IF(NOT(AL237=Table17[[#This Row],[Column6]]),SUMIF(Table17[Column6],Table17[[#This Row],[Column6]],Table17[Column7]),"")</f>
        <v>3500000</v>
      </c>
      <c r="AH236" s="44">
        <f ca="1">INDEX(NOTA[TGL_H],Sheet1!A:A)</f>
        <v>45465</v>
      </c>
      <c r="AI236" s="44">
        <f ca="1">INDEX(NOTA[TGL.NOTA_H],Sheet1!A:A)</f>
        <v>45462</v>
      </c>
      <c r="AK236" t="str">
        <f>IF(INDEX(NOTA[KETERANGAN],A:A)="","",INDEX(NOTA[KETERANGAN],A:A))</f>
        <v/>
      </c>
      <c r="AL236" t="str">
        <f ca="1">INDEX(NOTA[NO.NOTA_H],Sheet1!A:A)</f>
        <v>SO24/1764</v>
      </c>
      <c r="AM236">
        <f>INDEX(NOTA[KETERANGAN],Sheet1!A:A)</f>
        <v>0</v>
      </c>
      <c r="AN236" t="str">
        <f ca="1">INDEX(NOTA[SUPPLIER_H],Sheet1!A:A)</f>
        <v>ANDY (YOEKER)</v>
      </c>
      <c r="AO236" t="e">
        <f t="shared" ca="1" si="9"/>
        <v>#N/A</v>
      </c>
    </row>
    <row r="237" spans="1:41">
      <c r="A237" s="3">
        <v>290</v>
      </c>
      <c r="C237">
        <f>INDEX(NOTA[//DB],Sheet1!A:A)</f>
        <v>149</v>
      </c>
      <c r="D237">
        <f>MATCH(Table17[[#This Row],[//db]],[3]!Table2[\\],0)</f>
        <v>704</v>
      </c>
      <c r="E237" t="str">
        <f>INDEX([3]!db[NB NOTA],Table17[[#This Row],[//db]])</f>
        <v>BALLPEN GEL TF-3115 0.3MM HIGHTECH KNOCK</v>
      </c>
      <c r="F237" t="str">
        <f>INDEX([3]!db[NB BM],Table17[[#This Row],[//db]])</f>
        <v>BP TF-3115 HIGHTECH KNOCK</v>
      </c>
      <c r="G237" t="str">
        <f>_xlfn.IFNA(INDEX([3]!Table2[NAMA],Table17[[#This Row],[dbconcat]]),"")</f>
        <v>BP TF-3115 HIGHTECH KNOCK</v>
      </c>
      <c r="H237" t="str">
        <f>INDEX([3]!Table2[KODE BARANG],Table17[[#This Row],[dbconcat]])</f>
        <v>BOL-TF330</v>
      </c>
      <c r="I237" t="str">
        <f>IF(Table17[[#This Row],[Column3]]="",UPPER(Table17[[#This Row],[Column1]]),Table17[[#This Row],[Column3]])</f>
        <v>BP TF-3115 HIGHTECH KNOCK</v>
      </c>
      <c r="J237">
        <f>INDEX(NOTA[C],Sheet1!A:A)</f>
        <v>5</v>
      </c>
      <c r="K237">
        <f>IF(OR(Table17[[#This Row],[Column5]]=0,Table17[[#This Row],[Column3]]=""),"",INDEX([3]!Table2[ISI2],Table17[[#This Row],[dbconcat]]))</f>
        <v>144</v>
      </c>
      <c r="L237" t="str">
        <f>IF(Table17[[#This Row],[isis]]="","",INDEX([3]!Table2[SATUAN3],Table17[[#This Row],[dbconcat]]))</f>
        <v>LSN</v>
      </c>
      <c r="M237" t="str">
        <f>IF(Table17[[#This Row],[Column5]]=0,"",IF(Table17[[#This Row],[Column3]]="",INDEX([3]!db[QTY B],Table17[[#This Row],[//db]]),""))</f>
        <v/>
      </c>
      <c r="N237" t="str">
        <f>IF(Table17[[#This Row],[isin]]="","",INDEX([3]!db[STN B],Table17[[#This Row],[//db]]))</f>
        <v/>
      </c>
      <c r="O237" t="str">
        <f>IF(AND(Table17[[#This Row],[isis]]="",Table17[[#This Row],[isin]]=""),INDEX(NOTA[QTY],Sheet1!A:A)/IF(Table17[[#This Row],[Column5]]=0,1,Table17[[#This Row],[Column5]]),"")</f>
        <v/>
      </c>
      <c r="P237" t="str">
        <f>IF(Table17[[#This Row],[Column2]]="","",INDEX(NOTA[STN],Sheet1!A:A))</f>
        <v/>
      </c>
      <c r="Q237" s="5" t="str">
        <f>INDEX([3]!db[QTY B],Table17[[#This Row],[//db]])</f>
        <v>96</v>
      </c>
      <c r="R237" t="str">
        <f>INDEX([3]!db[STN B],Table17[[#This Row],[//db]])</f>
        <v>LSN</v>
      </c>
      <c r="S237" s="40" t="str">
        <f>IF(Table17[[#This Row],[Column5]]=0,Table17[[#This Row],[Column23]]/Table17[[#This Row],[Column224]],"")</f>
        <v/>
      </c>
      <c r="T237" s="4">
        <f>IF(Table17[[#This Row],[Column222]]="",Table17[[#This Row],[Column5]],Table17[[#This Row],[Column222]])</f>
        <v>5</v>
      </c>
      <c r="U237" s="4" t="str">
        <f>IF(Table17[[#This Row],[Column223]]=Table17[[#This Row],[Column24]],"",1)</f>
        <v/>
      </c>
      <c r="V237" s="5">
        <f>IF(Table17[[#This Row],[isis]]="",IF(Table17[[#This Row],[isin]]="",Table17[[#This Row],[Column2]],Table17[[#This Row],[isin]]),Table17[[#This Row],[isis]])</f>
        <v>144</v>
      </c>
      <c r="W237" s="3" t="str">
        <f>IF(Table17[[#This Row],[isis]]="",IF(Table17[[#This Row],[isin]]="",Table17[[#This Row],[Column22]],Table17[[#This Row],[stnn]]),Table17[[#This Row],[stns]])</f>
        <v>LSN</v>
      </c>
      <c r="X237" s="5">
        <f>IF(Table17[[#This Row],[Column2222]]&lt;1,Table17[[#This Row],[Column23]],Table17[[#This Row],[Column23]]*Table17[[#This Row],[Column2222]])</f>
        <v>720</v>
      </c>
      <c r="Y237" s="3" t="str">
        <f>Table17[[#This Row],[Column24]]</f>
        <v>LSN</v>
      </c>
      <c r="Z237" s="5">
        <f>Table17[[#This Row],[HRG / CTN]]/Table17[[#This Row],[Column23]]</f>
        <v>20333.333333333332</v>
      </c>
      <c r="AA237" s="42">
        <f>IF(INDEX(NOTA[DISC 1],Sheet1!A:A)=0,"",INDEX(NOTA[DISC 1],Sheet1!A:A))</f>
        <v>0.03</v>
      </c>
      <c r="AB237" s="42" t="str">
        <f>IF(INDEX(NOTA[DISC 2],Sheet1!A:A)=0,"",INDEX(NOTA[DISC 2],Sheet1!A:A))</f>
        <v/>
      </c>
      <c r="AC237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237" s="43">
        <f>INDEX(NOTA[HARGA/ CTN_H],Sheet1!A:A)</f>
        <v>2928000</v>
      </c>
      <c r="AE237" s="43">
        <f>IF(Table17[[#This Row],[DISC 3]]="",Table17[[#This Row],[HRG / CTN]],Table17[[#This Row],[HRG / CTN]]-(Table17[[#This Row],[HRG / CTN]]*Table17[[#This Row],[DISC 3]]))</f>
        <v>2840160</v>
      </c>
      <c r="AF237" s="14">
        <f>IF(Table17[[#This Row],[Column2222]]&lt;1,Table17[[#This Row],[Column9]],Table17[[#This Row],[Column9]]*Table17[[#This Row],[Column2222]])</f>
        <v>14200800</v>
      </c>
      <c r="AG237" s="43" t="str">
        <f ca="1">IF(NOT(AL238=Table17[[#This Row],[Column6]]),SUMIF(Table17[Column6],Table17[[#This Row],[Column6]],Table17[Column7]),"")</f>
        <v/>
      </c>
      <c r="AH237" s="44">
        <f ca="1">INDEX(NOTA[TGL_H],Sheet1!A:A)</f>
        <v>45465</v>
      </c>
      <c r="AI237" s="44">
        <f ca="1">INDEX(NOTA[TGL.NOTA_H],Sheet1!A:A)</f>
        <v>45462</v>
      </c>
      <c r="AK237" t="str">
        <f>IF(INDEX(NOTA[KETERANGAN],A:A)="","",INDEX(NOTA[KETERANGAN],A:A))</f>
        <v/>
      </c>
      <c r="AL237" t="str">
        <f ca="1">INDEX(NOTA[NO.NOTA_H],Sheet1!A:A)</f>
        <v>HM/110/06</v>
      </c>
      <c r="AM237">
        <f>INDEX(NOTA[KETERANGAN],Sheet1!A:A)</f>
        <v>0</v>
      </c>
      <c r="AN237" t="str">
        <f ca="1">INDEX(NOTA[SUPPLIER_H],Sheet1!A:A)</f>
        <v>DUTA BUANA</v>
      </c>
      <c r="AO237" t="e">
        <f t="shared" ca="1" si="9"/>
        <v>#N/A</v>
      </c>
    </row>
    <row r="238" spans="1:41">
      <c r="A238" s="3">
        <v>291</v>
      </c>
      <c r="C238">
        <f>INDEX(NOTA[//DB],Sheet1!A:A)</f>
        <v>143</v>
      </c>
      <c r="D238">
        <f>MATCH(Table17[[#This Row],[//db]],[3]!Table2[\\],0)</f>
        <v>711</v>
      </c>
      <c r="E238" t="str">
        <f>INDEX([3]!db[NB NOTA],Table17[[#This Row],[//db]])</f>
        <v>BALLPEN GEL TF-1190 BR 0.3MM HIGHTECH</v>
      </c>
      <c r="F238" t="str">
        <f>INDEX([3]!db[NB BM],Table17[[#This Row],[//db]])</f>
        <v>BP GEL TF-1190 0.3MM HIGHTECH (B)</v>
      </c>
      <c r="G238" t="str">
        <f>_xlfn.IFNA(INDEX([3]!Table2[NAMA],Table17[[#This Row],[dbconcat]]),"")</f>
        <v>BP GEL TF-1190 0.3MM HIGHTECH (B)</v>
      </c>
      <c r="H238" t="str">
        <f>INDEX([3]!Table2[KODE BARANG],Table17[[#This Row],[dbconcat]])</f>
        <v>BOL-TF337</v>
      </c>
      <c r="I238" t="str">
        <f>IF(Table17[[#This Row],[Column3]]="",UPPER(Table17[[#This Row],[Column1]]),Table17[[#This Row],[Column3]])</f>
        <v>BP GEL TF-1190 0.3MM HIGHTECH (B)</v>
      </c>
      <c r="J238">
        <f>INDEX(NOTA[C],Sheet1!A:A)</f>
        <v>6</v>
      </c>
      <c r="K238">
        <f>IF(OR(Table17[[#This Row],[Column5]]=0,Table17[[#This Row],[Column3]]=""),"",INDEX([3]!Table2[ISI2],Table17[[#This Row],[dbconcat]]))</f>
        <v>96</v>
      </c>
      <c r="L238" t="str">
        <f>IF(Table17[[#This Row],[isis]]="","",INDEX([3]!Table2[SATUAN3],Table17[[#This Row],[dbconcat]]))</f>
        <v>LSN</v>
      </c>
      <c r="M238" t="str">
        <f>IF(Table17[[#This Row],[Column5]]=0,"",IF(Table17[[#This Row],[Column3]]="",INDEX([3]!db[QTY B],Table17[[#This Row],[//db]]),""))</f>
        <v/>
      </c>
      <c r="N238" t="str">
        <f>IF(Table17[[#This Row],[isin]]="","",INDEX([3]!db[STN B],Table17[[#This Row],[//db]]))</f>
        <v/>
      </c>
      <c r="O238" t="str">
        <f>IF(AND(Table17[[#This Row],[isis]]="",Table17[[#This Row],[isin]]=""),INDEX(NOTA[QTY],Sheet1!A:A)/IF(Table17[[#This Row],[Column5]]=0,1,Table17[[#This Row],[Column5]]),"")</f>
        <v/>
      </c>
      <c r="P238" t="str">
        <f>IF(Table17[[#This Row],[Column2]]="","",INDEX(NOTA[STN],Sheet1!A:A))</f>
        <v/>
      </c>
      <c r="Q238" s="5" t="str">
        <f>INDEX([3]!db[QTY B],Table17[[#This Row],[//db]])</f>
        <v>96</v>
      </c>
      <c r="R238" t="str">
        <f>INDEX([3]!db[STN B],Table17[[#This Row],[//db]])</f>
        <v>LSN</v>
      </c>
      <c r="S238" s="40" t="str">
        <f>IF(Table17[[#This Row],[Column5]]=0,Table17[[#This Row],[Column23]]/Table17[[#This Row],[Column224]],"")</f>
        <v/>
      </c>
      <c r="T238" s="4">
        <f>IF(Table17[[#This Row],[Column222]]="",Table17[[#This Row],[Column5]],Table17[[#This Row],[Column222]])</f>
        <v>6</v>
      </c>
      <c r="U238" s="4" t="str">
        <f>IF(Table17[[#This Row],[Column223]]=Table17[[#This Row],[Column24]],"",1)</f>
        <v/>
      </c>
      <c r="V238" s="5">
        <f>IF(Table17[[#This Row],[isis]]="",IF(Table17[[#This Row],[isin]]="",Table17[[#This Row],[Column2]],Table17[[#This Row],[isin]]),Table17[[#This Row],[isis]])</f>
        <v>96</v>
      </c>
      <c r="W238" s="3" t="str">
        <f>IF(Table17[[#This Row],[isis]]="",IF(Table17[[#This Row],[isin]]="",Table17[[#This Row],[Column22]],Table17[[#This Row],[stnn]]),Table17[[#This Row],[stns]])</f>
        <v>LSN</v>
      </c>
      <c r="X238" s="5">
        <f>IF(Table17[[#This Row],[Column2222]]&lt;1,Table17[[#This Row],[Column23]],Table17[[#This Row],[Column23]]*Table17[[#This Row],[Column2222]])</f>
        <v>576</v>
      </c>
      <c r="Y238" s="3" t="str">
        <f>Table17[[#This Row],[Column24]]</f>
        <v>LSN</v>
      </c>
      <c r="Z238" s="5">
        <f>Table17[[#This Row],[HRG / CTN]]/Table17[[#This Row],[Column23]]</f>
        <v>26500</v>
      </c>
      <c r="AA238" s="42">
        <f>IF(INDEX(NOTA[DISC 1],Sheet1!A:A)=0,"",INDEX(NOTA[DISC 1],Sheet1!A:A))</f>
        <v>0.03</v>
      </c>
      <c r="AB238" s="42" t="str">
        <f>IF(INDEX(NOTA[DISC 2],Sheet1!A:A)=0,"",INDEX(NOTA[DISC 2],Sheet1!A:A))</f>
        <v/>
      </c>
      <c r="AC238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238" s="43">
        <f>INDEX(NOTA[HARGA/ CTN_H],Sheet1!A:A)</f>
        <v>2544000</v>
      </c>
      <c r="AE238" s="43">
        <f>IF(Table17[[#This Row],[DISC 3]]="",Table17[[#This Row],[HRG / CTN]],Table17[[#This Row],[HRG / CTN]]-(Table17[[#This Row],[HRG / CTN]]*Table17[[#This Row],[DISC 3]]))</f>
        <v>2467680</v>
      </c>
      <c r="AF238" s="14">
        <f>IF(Table17[[#This Row],[Column2222]]&lt;1,Table17[[#This Row],[Column9]],Table17[[#This Row],[Column9]]*Table17[[#This Row],[Column2222]])</f>
        <v>14806080</v>
      </c>
      <c r="AG238" s="43">
        <f ca="1">IF(NOT(AL239=Table17[[#This Row],[Column6]]),SUMIF(Table17[Column6],Table17[[#This Row],[Column6]],Table17[Column7]),"")</f>
        <v>29006880</v>
      </c>
      <c r="AH238" s="44">
        <f ca="1">INDEX(NOTA[TGL_H],Sheet1!A:A)</f>
        <v>45465</v>
      </c>
      <c r="AI238" s="44">
        <f ca="1">INDEX(NOTA[TGL.NOTA_H],Sheet1!A:A)</f>
        <v>45462</v>
      </c>
      <c r="AK238" t="str">
        <f>IF(INDEX(NOTA[KETERANGAN],A:A)="","",INDEX(NOTA[KETERANGAN],A:A))</f>
        <v/>
      </c>
      <c r="AL238" t="str">
        <f ca="1">INDEX(NOTA[NO.NOTA_H],Sheet1!A:A)</f>
        <v>HM/110/06</v>
      </c>
      <c r="AM238">
        <f>INDEX(NOTA[KETERANGAN],Sheet1!A:A)</f>
        <v>0</v>
      </c>
      <c r="AN238" t="str">
        <f ca="1">INDEX(NOTA[SUPPLIER_H],Sheet1!A:A)</f>
        <v>DUTA BUANA</v>
      </c>
      <c r="AO238" t="e">
        <f t="shared" ca="1" si="9"/>
        <v>#N/A</v>
      </c>
    </row>
    <row r="239" spans="1:41">
      <c r="A239" s="3" t="s">
        <v>509</v>
      </c>
    </row>
    <row r="240" spans="1:41">
      <c r="A240" s="3" t="s">
        <v>118</v>
      </c>
    </row>
  </sheetData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W93"/>
  <sheetViews>
    <sheetView zoomScale="85" zoomScaleNormal="85" workbookViewId="0">
      <selection activeCell="D19" sqref="A19:D19"/>
    </sheetView>
  </sheetViews>
  <sheetFormatPr defaultRowHeight="15"/>
  <cols>
    <col min="1" max="1" width="4.140625" customWidth="1"/>
    <col min="2" max="2" width="6" customWidth="1"/>
    <col min="3" max="3" width="16.42578125" customWidth="1"/>
    <col min="4" max="4" width="7" customWidth="1"/>
    <col min="5" max="5" width="3.140625" style="4" customWidth="1"/>
    <col min="6" max="6" width="26.5703125" customWidth="1"/>
    <col min="7" max="7" width="10.85546875" customWidth="1"/>
    <col min="8" max="8" width="10.85546875" style="2" customWidth="1"/>
    <col min="9" max="9" width="23.5703125" style="4" customWidth="1"/>
    <col min="10" max="10" width="8.85546875" customWidth="1"/>
    <col min="11" max="11" width="15.28515625" style="13" bestFit="1" customWidth="1"/>
    <col min="12" max="12" width="14.28515625" style="13" bestFit="1" customWidth="1"/>
    <col min="13" max="13" width="15.28515625" style="13" bestFit="1" customWidth="1"/>
    <col min="14" max="14" width="13.28515625" style="13" customWidth="1"/>
    <col min="15" max="15" width="15.28515625" style="13" bestFit="1" customWidth="1"/>
    <col min="16" max="16" width="14.28515625" style="13" bestFit="1" customWidth="1"/>
    <col min="17" max="17" width="15.28515625" style="13" bestFit="1" customWidth="1"/>
    <col min="18" max="18" width="4.7109375" customWidth="1"/>
    <col min="23" max="23" width="19.42578125" style="13" customWidth="1"/>
  </cols>
  <sheetData>
    <row r="1" spans="1:18">
      <c r="A1" t="s">
        <v>30</v>
      </c>
      <c r="B1" t="s">
        <v>0</v>
      </c>
      <c r="C1" t="s">
        <v>36</v>
      </c>
      <c r="D1" t="s">
        <v>52</v>
      </c>
      <c r="E1" s="4" t="s">
        <v>48</v>
      </c>
      <c r="F1" t="s">
        <v>2</v>
      </c>
      <c r="G1" t="s">
        <v>45</v>
      </c>
      <c r="H1" s="2" t="s">
        <v>6</v>
      </c>
      <c r="I1" s="4" t="s">
        <v>4</v>
      </c>
      <c r="J1" t="s">
        <v>5</v>
      </c>
      <c r="K1" s="13" t="s">
        <v>38</v>
      </c>
      <c r="L1" s="13" t="s">
        <v>39</v>
      </c>
      <c r="M1" s="13" t="s">
        <v>40</v>
      </c>
      <c r="N1" s="13" t="s">
        <v>19</v>
      </c>
      <c r="O1" s="13" t="s">
        <v>41</v>
      </c>
      <c r="P1" s="13" t="s">
        <v>43</v>
      </c>
      <c r="Q1" s="13" t="s">
        <v>21</v>
      </c>
      <c r="R1" t="s">
        <v>42</v>
      </c>
    </row>
    <row r="2" spans="1:18">
      <c r="A2" t="str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/>
      </c>
      <c r="B2" t="str">
        <f ca="1">HYPERLINK("[NOTA_.XLSX]NOTA!c"&amp;PAJAK[[#This Row],[//]],IF(PAJAK[[#This Row],[//]]="","",INDEX(INDIRECT("NOTA["&amp;PAJAK[#Headers]&amp;"]"),PAJAK[[#This Row],[//]]-2)))</f>
        <v/>
      </c>
      <c r="C2" t="str">
        <f ca="1">IF(PAJAK[[#This Row],[//]]="","",INDEX(INDIRECT("NOTA["&amp;PAJAK[#Headers]&amp;"]"),PAJAK[[#This Row],[//]]-2))</f>
        <v/>
      </c>
      <c r="D2" t="e">
        <f ca="1">MATCH(PAJAK[[#This Row],[ID]],[2]!Table1[ID],0)</f>
        <v>#REF!</v>
      </c>
      <c r="E2" s="4" t="str">
        <f ca="1">IF(PAJAK[[#This Row],[ID]]="","",COUNTIF(NOTA[ID_H],PAJAK[[#This Row],[ID]]))</f>
        <v/>
      </c>
      <c r="F2" t="str">
        <f ca="1">IF(PAJAK[[#This Row],[//]]="","",INDEX(CONV[2],MATCH(INDEX(INDIRECT("NOTA["&amp;PAJAK[#Headers]&amp;"]"),PAJAK[[#This Row],[//]]-2),CONV[1],0),0))</f>
        <v/>
      </c>
      <c r="G2" s="2" t="str">
        <f ca="1">IF(PAJAK[[#This Row],[//]]="","",INDEX(NOTA[TGL_H],PAJAK[[#This Row],[//]]-2))</f>
        <v/>
      </c>
      <c r="H2" s="2" t="str">
        <f ca="1">IF(PAJAK[[#This Row],[//]]="","",INDEX(INDIRECT("NOTA["&amp;PAJAK[#Headers]&amp;"]"),PAJAK[[#This Row],[//]]-2))</f>
        <v/>
      </c>
      <c r="I2" s="4" t="str">
        <f ca="1">IF(PAJAK[[#This Row],[//]]="","",INDEX(INDIRECT("NOTA["&amp;PAJAK[#Headers]&amp;"]"),PAJAK[[#This Row],[//]]-2))</f>
        <v/>
      </c>
      <c r="J2" t="e">
        <f ca="1">IF(OR(PAJAK[[#This Row],[//]]="",INDEX(INDIRECT("NOTA["&amp;PAJAK[#Headers]&amp;"]"),PAJAK[[#This Row],[//]]-2)=""),"",INDEX(INDIRECT("NOTA["&amp;PAJAK[#Headers]&amp;"]"),PAJAK[[#This Row],[//]]-2))</f>
        <v>#VALUE!</v>
      </c>
      <c r="K2" s="13" t="str">
        <f ca="1">IF(PAJAK[[#This Row],[//]]="","",SUMIF(NOTA[ID_H],PAJAK[[#This Row],[ID]],NOTA[JUMLAH]))</f>
        <v/>
      </c>
      <c r="L2" s="13" t="str">
        <f ca="1">IF(PAJAK[[#This Row],[//]]="","",SUMIF(NOTA[ID_H],PAJAK[[#This Row],[ID]],NOTA[DISC]))</f>
        <v/>
      </c>
      <c r="M2" s="13" t="e">
        <f ca="1">PAJAK[[#This Row],[SUB TOTAL]]-PAJAK[[#This Row],[DISKON]]</f>
        <v>#VALUE!</v>
      </c>
      <c r="N2" s="13" t="str">
        <f ca="1">IF(PAJAK[[#This Row],[//]]="","",INDEX(INDIRECT("NOTA["&amp;PAJAK[#Headers]&amp;"]"),PAJAK[[#This Row],[//]]-2+PAJAK[[#This Row],[QB]]-1))</f>
        <v/>
      </c>
      <c r="O2" s="13" t="e">
        <f ca="1">(PAJAK[[#This Row],[SUB T-DISC]]-PAJAK[[#This Row],[DISC DLL]])/111%</f>
        <v>#VALUE!</v>
      </c>
      <c r="P2" s="13" t="e">
        <f ca="1">PAJAK[[#This Row],[DPP]]*PAJAK[[#This Row],[PPN]]</f>
        <v>#VALUE!</v>
      </c>
      <c r="Q2" s="13" t="e">
        <f ca="1">PAJAK[[#This Row],[DPP]]+PAJAK[[#This Row],[PPN 11%]]</f>
        <v>#VALUE!</v>
      </c>
      <c r="R2" s="1" t="str">
        <f ca="1">IF(ISNUMBER(PAJAK[[#This Row],[//]]),PPN,"")</f>
        <v/>
      </c>
    </row>
    <row r="3" spans="1:18">
      <c r="A3" t="str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/>
      </c>
      <c r="B3" t="str">
        <f ca="1">HYPERLINK("[NOTA_.XLSX]NOTA!c"&amp;PAJAK[[#This Row],[//]],IF(PAJAK[[#This Row],[//]]="","",INDEX(INDIRECT("NOTA["&amp;PAJAK[#Headers]&amp;"]"),PAJAK[[#This Row],[//]]-2)))</f>
        <v/>
      </c>
      <c r="C3" t="str">
        <f ca="1">IF(PAJAK[[#This Row],[//]]="","",INDEX(INDIRECT("NOTA["&amp;PAJAK[#Headers]&amp;"]"),PAJAK[[#This Row],[//]]-2))</f>
        <v/>
      </c>
      <c r="D3" t="e">
        <f ca="1">MATCH(PAJAK[[#This Row],[ID]],[2]!Table1[ID],0)</f>
        <v>#REF!</v>
      </c>
      <c r="E3" s="4" t="str">
        <f ca="1">IF(PAJAK[[#This Row],[ID]]="","",COUNTIF(NOTA[ID_H],PAJAK[[#This Row],[ID]]))</f>
        <v/>
      </c>
      <c r="F3" t="str">
        <f ca="1">IF(PAJAK[[#This Row],[//]]="","",INDEX(CONV[2],MATCH(INDEX(INDIRECT("NOTA["&amp;PAJAK[#Headers]&amp;"]"),PAJAK[[#This Row],[//]]-2),CONV[1],0),0))</f>
        <v/>
      </c>
      <c r="G3" s="2" t="str">
        <f ca="1">IF(PAJAK[[#This Row],[//]]="","",INDEX(NOTA[TGL_H],PAJAK[[#This Row],[//]]-2))</f>
        <v/>
      </c>
      <c r="H3" s="2" t="str">
        <f ca="1">IF(PAJAK[[#This Row],[//]]="","",INDEX(INDIRECT("NOTA["&amp;PAJAK[#Headers]&amp;"]"),PAJAK[[#This Row],[//]]-2))</f>
        <v/>
      </c>
      <c r="I3" s="4" t="str">
        <f ca="1">IF(PAJAK[[#This Row],[//]]="","",INDEX(INDIRECT("NOTA["&amp;PAJAK[#Headers]&amp;"]"),PAJAK[[#This Row],[//]]-2))</f>
        <v/>
      </c>
      <c r="J3" t="e">
        <f ca="1">IF(OR(PAJAK[[#This Row],[//]]="",INDEX(INDIRECT("NOTA["&amp;PAJAK[#Headers]&amp;"]"),PAJAK[[#This Row],[//]]-2)=""),"",INDEX(INDIRECT("NOTA["&amp;PAJAK[#Headers]&amp;"]"),PAJAK[[#This Row],[//]]-2))</f>
        <v>#VALUE!</v>
      </c>
      <c r="K3" s="13" t="str">
        <f ca="1">IF(PAJAK[[#This Row],[//]]="","",SUMIF(NOTA[ID_H],PAJAK[[#This Row],[ID]],NOTA[JUMLAH]))</f>
        <v/>
      </c>
      <c r="L3" s="13" t="str">
        <f ca="1">IF(PAJAK[[#This Row],[//]]="","",SUMIF(NOTA[ID_H],PAJAK[[#This Row],[ID]],NOTA[DISC]))</f>
        <v/>
      </c>
      <c r="M3" s="13" t="e">
        <f ca="1">PAJAK[[#This Row],[SUB TOTAL]]-PAJAK[[#This Row],[DISKON]]</f>
        <v>#VALUE!</v>
      </c>
      <c r="N3" s="13" t="str">
        <f ca="1">IF(PAJAK[[#This Row],[//]]="","",INDEX(INDIRECT("NOTA["&amp;PAJAK[#Headers]&amp;"]"),PAJAK[[#This Row],[//]]-2+PAJAK[[#This Row],[QB]]-1))</f>
        <v/>
      </c>
      <c r="O3" s="13" t="e">
        <f ca="1">(PAJAK[[#This Row],[SUB T-DISC]]-PAJAK[[#This Row],[DISC DLL]])/111%</f>
        <v>#VALUE!</v>
      </c>
      <c r="P3" s="13" t="e">
        <f ca="1">PAJAK[[#This Row],[DPP]]*PAJAK[[#This Row],[PPN]]</f>
        <v>#VALUE!</v>
      </c>
      <c r="Q3" s="13" t="e">
        <f ca="1">PAJAK[[#This Row],[DPP]]+PAJAK[[#This Row],[PPN 11%]]</f>
        <v>#VALUE!</v>
      </c>
      <c r="R3" s="1" t="str">
        <f ca="1">IF(ISNUMBER(PAJAK[[#This Row],[//]]),PPN,"")</f>
        <v/>
      </c>
    </row>
    <row r="4" spans="1:18">
      <c r="A4" t="str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/>
      </c>
      <c r="B4" t="str">
        <f ca="1">HYPERLINK("[NOTA_.XLSX]NOTA!c"&amp;PAJAK[[#This Row],[//]],IF(PAJAK[[#This Row],[//]]="","",INDEX(INDIRECT("NOTA["&amp;PAJAK[#Headers]&amp;"]"),PAJAK[[#This Row],[//]]-2)))</f>
        <v/>
      </c>
      <c r="C4" t="str">
        <f ca="1">IF(PAJAK[[#This Row],[//]]="","",INDEX(INDIRECT("NOTA["&amp;PAJAK[#Headers]&amp;"]"),PAJAK[[#This Row],[//]]-2))</f>
        <v/>
      </c>
      <c r="D4" t="e">
        <f ca="1">MATCH(PAJAK[[#This Row],[ID]],[2]!Table1[ID],0)</f>
        <v>#REF!</v>
      </c>
      <c r="E4" s="4" t="str">
        <f ca="1">IF(PAJAK[[#This Row],[ID]]="","",COUNTIF(NOTA[ID_H],PAJAK[[#This Row],[ID]]))</f>
        <v/>
      </c>
      <c r="F4" t="str">
        <f ca="1">IF(PAJAK[[#This Row],[//]]="","",INDEX(CONV[2],MATCH(INDEX(INDIRECT("NOTA["&amp;PAJAK[#Headers]&amp;"]"),PAJAK[[#This Row],[//]]-2),CONV[1],0),0))</f>
        <v/>
      </c>
      <c r="G4" s="2" t="str">
        <f ca="1">IF(PAJAK[[#This Row],[//]]="","",INDEX(NOTA[TGL_H],PAJAK[[#This Row],[//]]-2))</f>
        <v/>
      </c>
      <c r="H4" s="2" t="str">
        <f ca="1">IF(PAJAK[[#This Row],[//]]="","",INDEX(INDIRECT("NOTA["&amp;PAJAK[#Headers]&amp;"]"),PAJAK[[#This Row],[//]]-2))</f>
        <v/>
      </c>
      <c r="I4" s="4" t="str">
        <f ca="1">IF(PAJAK[[#This Row],[//]]="","",INDEX(INDIRECT("NOTA["&amp;PAJAK[#Headers]&amp;"]"),PAJAK[[#This Row],[//]]-2))</f>
        <v/>
      </c>
      <c r="J4" t="e">
        <f ca="1">IF(OR(PAJAK[[#This Row],[//]]="",INDEX(INDIRECT("NOTA["&amp;PAJAK[#Headers]&amp;"]"),PAJAK[[#This Row],[//]]-2)=""),"",INDEX(INDIRECT("NOTA["&amp;PAJAK[#Headers]&amp;"]"),PAJAK[[#This Row],[//]]-2))</f>
        <v>#VALUE!</v>
      </c>
      <c r="K4" s="13" t="str">
        <f ca="1">IF(PAJAK[[#This Row],[//]]="","",SUMIF(NOTA[ID_H],PAJAK[[#This Row],[ID]],NOTA[JUMLAH]))</f>
        <v/>
      </c>
      <c r="L4" s="13" t="str">
        <f ca="1">IF(PAJAK[[#This Row],[//]]="","",SUMIF(NOTA[ID_H],PAJAK[[#This Row],[ID]],NOTA[DISC]))</f>
        <v/>
      </c>
      <c r="M4" s="13" t="e">
        <f ca="1">PAJAK[[#This Row],[SUB TOTAL]]-PAJAK[[#This Row],[DISKON]]</f>
        <v>#VALUE!</v>
      </c>
      <c r="N4" s="13" t="str">
        <f ca="1">IF(PAJAK[[#This Row],[//]]="","",INDEX(INDIRECT("NOTA["&amp;PAJAK[#Headers]&amp;"]"),PAJAK[[#This Row],[//]]-2+PAJAK[[#This Row],[QB]]-1))</f>
        <v/>
      </c>
      <c r="O4" s="13" t="e">
        <f ca="1">(PAJAK[[#This Row],[SUB T-DISC]]-PAJAK[[#This Row],[DISC DLL]])/111%</f>
        <v>#VALUE!</v>
      </c>
      <c r="P4" s="13" t="e">
        <f ca="1">PAJAK[[#This Row],[DPP]]*PAJAK[[#This Row],[PPN]]</f>
        <v>#VALUE!</v>
      </c>
      <c r="Q4" s="13" t="e">
        <f ca="1">PAJAK[[#This Row],[DPP]]+PAJAK[[#This Row],[PPN 11%]]</f>
        <v>#VALUE!</v>
      </c>
      <c r="R4" s="1" t="str">
        <f ca="1">IF(ISNUMBER(PAJAK[[#This Row],[//]]),PPN,"")</f>
        <v/>
      </c>
    </row>
    <row r="5" spans="1:18">
      <c r="A5" t="str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/>
      </c>
      <c r="B5" t="str">
        <f ca="1">HYPERLINK("[NOTA_.XLSX]NOTA!c"&amp;PAJAK[[#This Row],[//]],IF(PAJAK[[#This Row],[//]]="","",INDEX(INDIRECT("NOTA["&amp;PAJAK[#Headers]&amp;"]"),PAJAK[[#This Row],[//]]-2)))</f>
        <v/>
      </c>
      <c r="C5" t="str">
        <f ca="1">IF(PAJAK[[#This Row],[//]]="","",INDEX(INDIRECT("NOTA["&amp;PAJAK[#Headers]&amp;"]"),PAJAK[[#This Row],[//]]-2))</f>
        <v/>
      </c>
      <c r="D5" t="e">
        <f ca="1">MATCH(PAJAK[[#This Row],[ID]],[2]!Table1[ID],0)</f>
        <v>#REF!</v>
      </c>
      <c r="E5" s="4" t="str">
        <f ca="1">IF(PAJAK[[#This Row],[ID]]="","",COUNTIF(NOTA[ID_H],PAJAK[[#This Row],[ID]]))</f>
        <v/>
      </c>
      <c r="F5" t="str">
        <f ca="1">IF(PAJAK[[#This Row],[//]]="","",INDEX(CONV[2],MATCH(INDEX(INDIRECT("NOTA["&amp;PAJAK[#Headers]&amp;"]"),PAJAK[[#This Row],[//]]-2),CONV[1],0),0))</f>
        <v/>
      </c>
      <c r="G5" s="2" t="str">
        <f ca="1">IF(PAJAK[[#This Row],[//]]="","",INDEX(NOTA[TGL_H],PAJAK[[#This Row],[//]]-2))</f>
        <v/>
      </c>
      <c r="H5" s="2" t="str">
        <f ca="1">IF(PAJAK[[#This Row],[//]]="","",INDEX(INDIRECT("NOTA["&amp;PAJAK[#Headers]&amp;"]"),PAJAK[[#This Row],[//]]-2))</f>
        <v/>
      </c>
      <c r="I5" s="4" t="str">
        <f ca="1">IF(PAJAK[[#This Row],[//]]="","",INDEX(INDIRECT("NOTA["&amp;PAJAK[#Headers]&amp;"]"),PAJAK[[#This Row],[//]]-2))</f>
        <v/>
      </c>
      <c r="J5" t="e">
        <f ca="1">IF(OR(PAJAK[[#This Row],[//]]="",INDEX(INDIRECT("NOTA["&amp;PAJAK[#Headers]&amp;"]"),PAJAK[[#This Row],[//]]-2)=""),"",INDEX(INDIRECT("NOTA["&amp;PAJAK[#Headers]&amp;"]"),PAJAK[[#This Row],[//]]-2))</f>
        <v>#VALUE!</v>
      </c>
      <c r="K5" s="13" t="str">
        <f ca="1">IF(PAJAK[[#This Row],[//]]="","",SUMIF(NOTA[ID_H],PAJAK[[#This Row],[ID]],NOTA[JUMLAH]))</f>
        <v/>
      </c>
      <c r="L5" s="13" t="str">
        <f ca="1">IF(PAJAK[[#This Row],[//]]="","",SUMIF(NOTA[ID_H],PAJAK[[#This Row],[ID]],NOTA[DISC]))</f>
        <v/>
      </c>
      <c r="M5" s="13" t="e">
        <f ca="1">PAJAK[[#This Row],[SUB TOTAL]]-PAJAK[[#This Row],[DISKON]]</f>
        <v>#VALUE!</v>
      </c>
      <c r="N5" s="13" t="str">
        <f ca="1">IF(PAJAK[[#This Row],[//]]="","",INDEX(INDIRECT("NOTA["&amp;PAJAK[#Headers]&amp;"]"),PAJAK[[#This Row],[//]]-2+PAJAK[[#This Row],[QB]]-1))</f>
        <v/>
      </c>
      <c r="O5" s="13" t="e">
        <f ca="1">(PAJAK[[#This Row],[SUB T-DISC]]-PAJAK[[#This Row],[DISC DLL]])/111%</f>
        <v>#VALUE!</v>
      </c>
      <c r="P5" s="13" t="e">
        <f ca="1">PAJAK[[#This Row],[DPP]]*PAJAK[[#This Row],[PPN]]</f>
        <v>#VALUE!</v>
      </c>
      <c r="Q5" s="13" t="e">
        <f ca="1">PAJAK[[#This Row],[DPP]]+PAJAK[[#This Row],[PPN 11%]]</f>
        <v>#VALUE!</v>
      </c>
      <c r="R5" s="1" t="str">
        <f ca="1">IF(ISNUMBER(PAJAK[[#This Row],[//]]),PPN,"")</f>
        <v/>
      </c>
    </row>
    <row r="6" spans="1:18">
      <c r="A6" t="str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/>
      </c>
      <c r="B6" s="11" t="str">
        <f ca="1">HYPERLINK("[NOTA_.XLSX]NOTA!c"&amp;PAJAK[[#This Row],[//]],IF(PAJAK[[#This Row],[//]]="","",INDEX(INDIRECT("NOTA["&amp;PAJAK[#Headers]&amp;"]"),PAJAK[[#This Row],[//]]-2)))</f>
        <v/>
      </c>
      <c r="C6" t="str">
        <f ca="1">IF(PAJAK[[#This Row],[//]]="","",INDEX(INDIRECT("NOTA["&amp;PAJAK[#Headers]&amp;"]"),PAJAK[[#This Row],[//]]-2))</f>
        <v/>
      </c>
      <c r="D6" t="e">
        <f ca="1">MATCH(PAJAK[[#This Row],[ID]],[2]!Table1[ID],0)</f>
        <v>#REF!</v>
      </c>
      <c r="E6" s="4" t="str">
        <f ca="1">IF(PAJAK[[#This Row],[ID]]="","",COUNTIF(NOTA[ID_H],PAJAK[[#This Row],[ID]]))</f>
        <v/>
      </c>
      <c r="F6" t="str">
        <f ca="1">IF(PAJAK[[#This Row],[//]]="","",INDEX(CONV[2],MATCH(INDEX(INDIRECT("NOTA["&amp;PAJAK[#Headers]&amp;"]"),PAJAK[[#This Row],[//]]-2),CONV[1],0),0))</f>
        <v/>
      </c>
      <c r="G6" s="2" t="str">
        <f ca="1">IF(PAJAK[[#This Row],[//]]="","",INDEX(NOTA[TGL_H],PAJAK[[#This Row],[//]]-2))</f>
        <v/>
      </c>
      <c r="H6" s="2" t="str">
        <f ca="1">IF(PAJAK[[#This Row],[//]]="","",INDEX(INDIRECT("NOTA["&amp;PAJAK[#Headers]&amp;"]"),PAJAK[[#This Row],[//]]-2))</f>
        <v/>
      </c>
      <c r="I6" s="4" t="str">
        <f ca="1">IF(PAJAK[[#This Row],[//]]="","",INDEX(INDIRECT("NOTA["&amp;PAJAK[#Headers]&amp;"]"),PAJAK[[#This Row],[//]]-2))</f>
        <v/>
      </c>
      <c r="J6" t="e">
        <f ca="1">IF(OR(PAJAK[[#This Row],[//]]="",INDEX(INDIRECT("NOTA["&amp;PAJAK[#Headers]&amp;"]"),PAJAK[[#This Row],[//]]-2)=""),"",INDEX(INDIRECT("NOTA["&amp;PAJAK[#Headers]&amp;"]"),PAJAK[[#This Row],[//]]-2))</f>
        <v>#VALUE!</v>
      </c>
      <c r="K6" s="13" t="str">
        <f ca="1">IF(PAJAK[[#This Row],[//]]="","",SUMIF(NOTA[ID_H],PAJAK[[#This Row],[ID]],NOTA[JUMLAH]))</f>
        <v/>
      </c>
      <c r="L6" s="13" t="str">
        <f ca="1">IF(PAJAK[[#This Row],[//]]="","",SUMIF(NOTA[ID_H],PAJAK[[#This Row],[ID]],NOTA[DISC]))</f>
        <v/>
      </c>
      <c r="M6" s="13" t="e">
        <f ca="1">PAJAK[[#This Row],[SUB TOTAL]]-PAJAK[[#This Row],[DISKON]]</f>
        <v>#VALUE!</v>
      </c>
      <c r="N6" s="13" t="str">
        <f ca="1">IF(PAJAK[[#This Row],[//]]="","",INDEX(INDIRECT("NOTA["&amp;PAJAK[#Headers]&amp;"]"),PAJAK[[#This Row],[//]]-2+PAJAK[[#This Row],[QB]]-1))</f>
        <v/>
      </c>
      <c r="O6" s="13" t="e">
        <f ca="1">(PAJAK[[#This Row],[SUB T-DISC]]-PAJAK[[#This Row],[DISC DLL]])/111%</f>
        <v>#VALUE!</v>
      </c>
      <c r="P6" s="13" t="e">
        <f ca="1">PAJAK[[#This Row],[DPP]]*PAJAK[[#This Row],[PPN]]</f>
        <v>#VALUE!</v>
      </c>
      <c r="Q6" s="13" t="e">
        <f ca="1">PAJAK[[#This Row],[DPP]]+PAJAK[[#This Row],[PPN 11%]]</f>
        <v>#VALUE!</v>
      </c>
      <c r="R6" s="1" t="str">
        <f ca="1">IF(ISNUMBER(PAJAK[[#This Row],[//]]),PPN,"")</f>
        <v/>
      </c>
    </row>
    <row r="7" spans="1:18">
      <c r="A7" t="str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/>
      </c>
      <c r="B7" s="11" t="str">
        <f ca="1">HYPERLINK("[NOTA_.XLSX]NOTA!c"&amp;PAJAK[[#This Row],[//]],IF(PAJAK[[#This Row],[//]]="","",INDEX(INDIRECT("NOTA["&amp;PAJAK[#Headers]&amp;"]"),PAJAK[[#This Row],[//]]-2)))</f>
        <v/>
      </c>
      <c r="C7" t="str">
        <f ca="1">IF(PAJAK[[#This Row],[//]]="","",INDEX(INDIRECT("NOTA["&amp;PAJAK[#Headers]&amp;"]"),PAJAK[[#This Row],[//]]-2))</f>
        <v/>
      </c>
      <c r="D7" t="e">
        <f ca="1">MATCH(PAJAK[[#This Row],[ID]],[2]!Table1[ID],0)</f>
        <v>#REF!</v>
      </c>
      <c r="E7" s="4" t="str">
        <f ca="1">IF(PAJAK[[#This Row],[ID]]="","",COUNTIF(NOTA[ID_H],PAJAK[[#This Row],[ID]]))</f>
        <v/>
      </c>
      <c r="F7" t="str">
        <f ca="1">IF(PAJAK[[#This Row],[//]]="","",INDEX(CONV[2],MATCH(INDEX(INDIRECT("NOTA["&amp;PAJAK[#Headers]&amp;"]"),PAJAK[[#This Row],[//]]-2),CONV[1],0),0))</f>
        <v/>
      </c>
      <c r="G7" s="2" t="str">
        <f ca="1">IF(PAJAK[[#This Row],[//]]="","",INDEX(NOTA[TGL_H],PAJAK[[#This Row],[//]]-2))</f>
        <v/>
      </c>
      <c r="H7" s="2" t="str">
        <f ca="1">IF(PAJAK[[#This Row],[//]]="","",INDEX(INDIRECT("NOTA["&amp;PAJAK[#Headers]&amp;"]"),PAJAK[[#This Row],[//]]-2))</f>
        <v/>
      </c>
      <c r="I7" s="4" t="str">
        <f ca="1">IF(PAJAK[[#This Row],[//]]="","",INDEX(INDIRECT("NOTA["&amp;PAJAK[#Headers]&amp;"]"),PAJAK[[#This Row],[//]]-2))</f>
        <v/>
      </c>
      <c r="J7" t="e">
        <f ca="1">IF(OR(PAJAK[[#This Row],[//]]="",INDEX(INDIRECT("NOTA["&amp;PAJAK[#Headers]&amp;"]"),PAJAK[[#This Row],[//]]-2)=""),"",INDEX(INDIRECT("NOTA["&amp;PAJAK[#Headers]&amp;"]"),PAJAK[[#This Row],[//]]-2))</f>
        <v>#VALUE!</v>
      </c>
      <c r="K7" s="13" t="str">
        <f ca="1">IF(PAJAK[[#This Row],[//]]="","",SUMIF(NOTA[ID_H],PAJAK[[#This Row],[ID]],NOTA[JUMLAH]))</f>
        <v/>
      </c>
      <c r="L7" s="13" t="str">
        <f ca="1">IF(PAJAK[[#This Row],[//]]="","",SUMIF(NOTA[ID_H],PAJAK[[#This Row],[ID]],NOTA[DISC]))</f>
        <v/>
      </c>
      <c r="M7" s="13" t="e">
        <f ca="1">PAJAK[[#This Row],[SUB TOTAL]]-PAJAK[[#This Row],[DISKON]]</f>
        <v>#VALUE!</v>
      </c>
      <c r="N7" s="13" t="str">
        <f ca="1">IF(PAJAK[[#This Row],[//]]="","",INDEX(INDIRECT("NOTA["&amp;PAJAK[#Headers]&amp;"]"),PAJAK[[#This Row],[//]]-2+PAJAK[[#This Row],[QB]]-1))</f>
        <v/>
      </c>
      <c r="O7" s="13" t="e">
        <f ca="1">(PAJAK[[#This Row],[SUB T-DISC]]-PAJAK[[#This Row],[DISC DLL]])/111%</f>
        <v>#VALUE!</v>
      </c>
      <c r="P7" s="13" t="e">
        <f ca="1">PAJAK[[#This Row],[DPP]]*PAJAK[[#This Row],[PPN]]</f>
        <v>#VALUE!</v>
      </c>
      <c r="Q7" s="13" t="e">
        <f ca="1">PAJAK[[#This Row],[DPP]]+PAJAK[[#This Row],[PPN 11%]]</f>
        <v>#VALUE!</v>
      </c>
      <c r="R7" s="1" t="str">
        <f ca="1">IF(ISNUMBER(PAJAK[[#This Row],[//]]),PPN,"")</f>
        <v/>
      </c>
    </row>
    <row r="8" spans="1:18">
      <c r="A8" t="str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/>
      </c>
      <c r="B8" s="11" t="str">
        <f ca="1">HYPERLINK("[NOTA_.XLSX]NOTA!c"&amp;PAJAK[[#This Row],[//]],IF(PAJAK[[#This Row],[//]]="","",INDEX(INDIRECT("NOTA["&amp;PAJAK[#Headers]&amp;"]"),PAJAK[[#This Row],[//]]-2)))</f>
        <v/>
      </c>
      <c r="C8" t="str">
        <f ca="1">IF(PAJAK[[#This Row],[//]]="","",INDEX(INDIRECT("NOTA["&amp;PAJAK[#Headers]&amp;"]"),PAJAK[[#This Row],[//]]-2))</f>
        <v/>
      </c>
      <c r="D8" t="e">
        <f ca="1">MATCH(PAJAK[[#This Row],[ID]],[2]!Table1[ID],0)</f>
        <v>#REF!</v>
      </c>
      <c r="E8" s="4" t="str">
        <f ca="1">IF(PAJAK[[#This Row],[ID]]="","",COUNTIF(NOTA[ID_H],PAJAK[[#This Row],[ID]]))</f>
        <v/>
      </c>
      <c r="F8" t="str">
        <f ca="1">IF(PAJAK[[#This Row],[//]]="","",INDEX(CONV[2],MATCH(INDEX(INDIRECT("NOTA["&amp;PAJAK[#Headers]&amp;"]"),PAJAK[[#This Row],[//]]-2),CONV[1],0),0))</f>
        <v/>
      </c>
      <c r="G8" s="2" t="str">
        <f ca="1">IF(PAJAK[[#This Row],[//]]="","",INDEX(NOTA[TGL_H],PAJAK[[#This Row],[//]]-2))</f>
        <v/>
      </c>
      <c r="H8" s="2" t="str">
        <f ca="1">IF(PAJAK[[#This Row],[//]]="","",INDEX(INDIRECT("NOTA["&amp;PAJAK[#Headers]&amp;"]"),PAJAK[[#This Row],[//]]-2))</f>
        <v/>
      </c>
      <c r="I8" s="4" t="str">
        <f ca="1">IF(PAJAK[[#This Row],[//]]="","",INDEX(INDIRECT("NOTA["&amp;PAJAK[#Headers]&amp;"]"),PAJAK[[#This Row],[//]]-2))</f>
        <v/>
      </c>
      <c r="J8" t="e">
        <f ca="1">IF(OR(PAJAK[[#This Row],[//]]="",INDEX(INDIRECT("NOTA["&amp;PAJAK[#Headers]&amp;"]"),PAJAK[[#This Row],[//]]-2)=""),"",INDEX(INDIRECT("NOTA["&amp;PAJAK[#Headers]&amp;"]"),PAJAK[[#This Row],[//]]-2))</f>
        <v>#VALUE!</v>
      </c>
      <c r="K8" s="13" t="str">
        <f ca="1">IF(PAJAK[[#This Row],[//]]="","",SUMIF(NOTA[ID_H],PAJAK[[#This Row],[ID]],NOTA[JUMLAH]))</f>
        <v/>
      </c>
      <c r="L8" s="13" t="str">
        <f ca="1">IF(PAJAK[[#This Row],[//]]="","",SUMIF(NOTA[ID_H],PAJAK[[#This Row],[ID]],NOTA[DISC]))</f>
        <v/>
      </c>
      <c r="M8" s="13" t="e">
        <f ca="1">PAJAK[[#This Row],[SUB TOTAL]]-PAJAK[[#This Row],[DISKON]]</f>
        <v>#VALUE!</v>
      </c>
      <c r="N8" s="13" t="str">
        <f ca="1">IF(PAJAK[[#This Row],[//]]="","",INDEX(INDIRECT("NOTA["&amp;PAJAK[#Headers]&amp;"]"),PAJAK[[#This Row],[//]]-2+PAJAK[[#This Row],[QB]]-1))</f>
        <v/>
      </c>
      <c r="O8" s="13" t="e">
        <f ca="1">(PAJAK[[#This Row],[SUB T-DISC]]-PAJAK[[#This Row],[DISC DLL]])/111%</f>
        <v>#VALUE!</v>
      </c>
      <c r="P8" s="13" t="e">
        <f ca="1">PAJAK[[#This Row],[DPP]]*PAJAK[[#This Row],[PPN]]</f>
        <v>#VALUE!</v>
      </c>
      <c r="Q8" s="13" t="e">
        <f ca="1">PAJAK[[#This Row],[DPP]]+PAJAK[[#This Row],[PPN 11%]]</f>
        <v>#VALUE!</v>
      </c>
      <c r="R8" s="1" t="str">
        <f ca="1">IF(ISNUMBER(PAJAK[[#This Row],[//]]),PPN,"")</f>
        <v/>
      </c>
    </row>
    <row r="9" spans="1:18">
      <c r="A9" t="str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/>
      </c>
      <c r="B9" s="11" t="str">
        <f ca="1">HYPERLINK("[NOTA_.XLSX]NOTA!c"&amp;PAJAK[[#This Row],[//]],IF(PAJAK[[#This Row],[//]]="","",INDEX(INDIRECT("NOTA["&amp;PAJAK[#Headers]&amp;"]"),PAJAK[[#This Row],[//]]-2)))</f>
        <v/>
      </c>
      <c r="C9" t="str">
        <f ca="1">IF(PAJAK[[#This Row],[//]]="","",INDEX(INDIRECT("NOTA["&amp;PAJAK[#Headers]&amp;"]"),PAJAK[[#This Row],[//]]-2))</f>
        <v/>
      </c>
      <c r="D9" t="e">
        <f ca="1">MATCH(PAJAK[[#This Row],[ID]],[2]!Table1[ID],0)</f>
        <v>#REF!</v>
      </c>
      <c r="E9" s="4" t="str">
        <f ca="1">IF(PAJAK[[#This Row],[ID]]="","",COUNTIF(NOTA[ID_H],PAJAK[[#This Row],[ID]]))</f>
        <v/>
      </c>
      <c r="F9" t="str">
        <f ca="1">IF(PAJAK[[#This Row],[//]]="","",INDEX(CONV[2],MATCH(INDEX(INDIRECT("NOTA["&amp;PAJAK[#Headers]&amp;"]"),PAJAK[[#This Row],[//]]-2),CONV[1],0),0))</f>
        <v/>
      </c>
      <c r="G9" s="2" t="str">
        <f ca="1">IF(PAJAK[[#This Row],[//]]="","",INDEX(NOTA[TGL_H],PAJAK[[#This Row],[//]]-2))</f>
        <v/>
      </c>
      <c r="H9" s="2" t="str">
        <f ca="1">IF(PAJAK[[#This Row],[//]]="","",INDEX(INDIRECT("NOTA["&amp;PAJAK[#Headers]&amp;"]"),PAJAK[[#This Row],[//]]-2))</f>
        <v/>
      </c>
      <c r="I9" s="4" t="str">
        <f ca="1">IF(PAJAK[[#This Row],[//]]="","",INDEX(INDIRECT("NOTA["&amp;PAJAK[#Headers]&amp;"]"),PAJAK[[#This Row],[//]]-2))</f>
        <v/>
      </c>
      <c r="J9" t="e">
        <f ca="1">IF(OR(PAJAK[[#This Row],[//]]="",INDEX(INDIRECT("NOTA["&amp;PAJAK[#Headers]&amp;"]"),PAJAK[[#This Row],[//]]-2)=""),"",INDEX(INDIRECT("NOTA["&amp;PAJAK[#Headers]&amp;"]"),PAJAK[[#This Row],[//]]-2))</f>
        <v>#VALUE!</v>
      </c>
      <c r="K9" s="13" t="str">
        <f ca="1">IF(PAJAK[[#This Row],[//]]="","",SUMIF(NOTA[ID_H],PAJAK[[#This Row],[ID]],NOTA[JUMLAH]))</f>
        <v/>
      </c>
      <c r="L9" s="13" t="str">
        <f ca="1">IF(PAJAK[[#This Row],[//]]="","",SUMIF(NOTA[ID_H],PAJAK[[#This Row],[ID]],NOTA[DISC]))</f>
        <v/>
      </c>
      <c r="M9" s="13" t="e">
        <f ca="1">PAJAK[[#This Row],[SUB TOTAL]]-PAJAK[[#This Row],[DISKON]]</f>
        <v>#VALUE!</v>
      </c>
      <c r="N9" s="13" t="str">
        <f ca="1">IF(PAJAK[[#This Row],[//]]="","",INDEX(INDIRECT("NOTA["&amp;PAJAK[#Headers]&amp;"]"),PAJAK[[#This Row],[//]]-2+PAJAK[[#This Row],[QB]]-1))</f>
        <v/>
      </c>
      <c r="O9" s="13" t="e">
        <f ca="1">(PAJAK[[#This Row],[SUB T-DISC]]-PAJAK[[#This Row],[DISC DLL]])/111%</f>
        <v>#VALUE!</v>
      </c>
      <c r="P9" s="13" t="e">
        <f ca="1">PAJAK[[#This Row],[DPP]]*PAJAK[[#This Row],[PPN]]</f>
        <v>#VALUE!</v>
      </c>
      <c r="Q9" s="13" t="e">
        <f ca="1">PAJAK[[#This Row],[DPP]]+PAJAK[[#This Row],[PPN 11%]]</f>
        <v>#VALUE!</v>
      </c>
      <c r="R9" s="1" t="str">
        <f ca="1">IF(ISNUMBER(PAJAK[[#This Row],[//]]),PPN,"")</f>
        <v/>
      </c>
    </row>
    <row r="10" spans="1:18">
      <c r="A10" t="str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/>
      </c>
      <c r="B10" s="11" t="str">
        <f ca="1">HYPERLINK("[NOTA_.XLSX]NOTA!c"&amp;PAJAK[[#This Row],[//]],IF(PAJAK[[#This Row],[//]]="","",INDEX(INDIRECT("NOTA["&amp;PAJAK[#Headers]&amp;"]"),PAJAK[[#This Row],[//]]-2)))</f>
        <v/>
      </c>
      <c r="C10" t="str">
        <f ca="1">IF(PAJAK[[#This Row],[//]]="","",INDEX(INDIRECT("NOTA["&amp;PAJAK[#Headers]&amp;"]"),PAJAK[[#This Row],[//]]-2))</f>
        <v/>
      </c>
      <c r="D10" t="e">
        <f ca="1">MATCH(PAJAK[[#This Row],[ID]],[2]!Table1[ID],0)</f>
        <v>#REF!</v>
      </c>
      <c r="E10" s="4" t="str">
        <f ca="1">IF(PAJAK[[#This Row],[ID]]="","",COUNTIF(NOTA[ID_H],PAJAK[[#This Row],[ID]]))</f>
        <v/>
      </c>
      <c r="F10" t="str">
        <f ca="1">IF(PAJAK[[#This Row],[//]]="","",INDEX(CONV[2],MATCH(INDEX(INDIRECT("NOTA["&amp;PAJAK[#Headers]&amp;"]"),PAJAK[[#This Row],[//]]-2),CONV[1],0),0))</f>
        <v/>
      </c>
      <c r="G10" s="2" t="str">
        <f ca="1">IF(PAJAK[[#This Row],[//]]="","",INDEX(NOTA[TGL_H],PAJAK[[#This Row],[//]]-2))</f>
        <v/>
      </c>
      <c r="H10" s="2" t="str">
        <f ca="1">IF(PAJAK[[#This Row],[//]]="","",INDEX(INDIRECT("NOTA["&amp;PAJAK[#Headers]&amp;"]"),PAJAK[[#This Row],[//]]-2))</f>
        <v/>
      </c>
      <c r="I10" s="4" t="str">
        <f ca="1">IF(PAJAK[[#This Row],[//]]="","",INDEX(INDIRECT("NOTA["&amp;PAJAK[#Headers]&amp;"]"),PAJAK[[#This Row],[//]]-2))</f>
        <v/>
      </c>
      <c r="J10" t="e">
        <f ca="1">IF(OR(PAJAK[[#This Row],[//]]="",INDEX(INDIRECT("NOTA["&amp;PAJAK[#Headers]&amp;"]"),PAJAK[[#This Row],[//]]-2)=""),"",INDEX(INDIRECT("NOTA["&amp;PAJAK[#Headers]&amp;"]"),PAJAK[[#This Row],[//]]-2))</f>
        <v>#VALUE!</v>
      </c>
      <c r="K10" s="13" t="str">
        <f ca="1">IF(PAJAK[[#This Row],[//]]="","",SUMIF(NOTA[ID_H],PAJAK[[#This Row],[ID]],NOTA[JUMLAH]))</f>
        <v/>
      </c>
      <c r="L10" s="13" t="str">
        <f ca="1">IF(PAJAK[[#This Row],[//]]="","",SUMIF(NOTA[ID_H],PAJAK[[#This Row],[ID]],NOTA[DISC]))</f>
        <v/>
      </c>
      <c r="M10" s="13" t="e">
        <f ca="1">PAJAK[[#This Row],[SUB TOTAL]]-PAJAK[[#This Row],[DISKON]]</f>
        <v>#VALUE!</v>
      </c>
      <c r="N10" s="13" t="str">
        <f ca="1">IF(PAJAK[[#This Row],[//]]="","",INDEX(INDIRECT("NOTA["&amp;PAJAK[#Headers]&amp;"]"),PAJAK[[#This Row],[//]]-2+PAJAK[[#This Row],[QB]]-1))</f>
        <v/>
      </c>
      <c r="O10" s="13" t="e">
        <f ca="1">(PAJAK[[#This Row],[SUB T-DISC]]-PAJAK[[#This Row],[DISC DLL]])/111%</f>
        <v>#VALUE!</v>
      </c>
      <c r="P10" s="13" t="e">
        <f ca="1">PAJAK[[#This Row],[DPP]]*PAJAK[[#This Row],[PPN]]</f>
        <v>#VALUE!</v>
      </c>
      <c r="Q10" s="13" t="e">
        <f ca="1">PAJAK[[#This Row],[DPP]]+PAJAK[[#This Row],[PPN 11%]]</f>
        <v>#VALUE!</v>
      </c>
      <c r="R10" s="1" t="str">
        <f ca="1">IF(ISNUMBER(PAJAK[[#This Row],[//]]),PPN,"")</f>
        <v/>
      </c>
    </row>
    <row r="11" spans="1:18">
      <c r="A11" t="str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/>
      </c>
      <c r="B11" t="str">
        <f ca="1">HYPERLINK("[NOTA_.XLSX]NOTA!c"&amp;PAJAK[[#This Row],[//]],IF(PAJAK[[#This Row],[//]]="","",INDEX(INDIRECT("NOTA["&amp;PAJAK[#Headers]&amp;"]"),PAJAK[[#This Row],[//]]-2)))</f>
        <v/>
      </c>
      <c r="C11" t="str">
        <f ca="1">IF(PAJAK[[#This Row],[//]]="","",INDEX(INDIRECT("NOTA["&amp;PAJAK[#Headers]&amp;"]"),PAJAK[[#This Row],[//]]-2))</f>
        <v/>
      </c>
      <c r="D11" t="e">
        <f ca="1">MATCH(PAJAK[[#This Row],[ID]],[2]!Table1[ID],0)</f>
        <v>#REF!</v>
      </c>
      <c r="E11" s="4" t="str">
        <f ca="1">IF(PAJAK[[#This Row],[ID]]="","",COUNTIF(NOTA[ID_H],PAJAK[[#This Row],[ID]]))</f>
        <v/>
      </c>
      <c r="F11" t="str">
        <f ca="1">IF(PAJAK[[#This Row],[//]]="","",INDEX(CONV[2],MATCH(INDEX(INDIRECT("NOTA["&amp;PAJAK[#Headers]&amp;"]"),PAJAK[[#This Row],[//]]-2),CONV[1],0),0))</f>
        <v/>
      </c>
      <c r="G11" s="2" t="str">
        <f ca="1">IF(PAJAK[[#This Row],[//]]="","",INDEX(NOTA[TGL_H],PAJAK[[#This Row],[//]]-2))</f>
        <v/>
      </c>
      <c r="H11" s="2" t="str">
        <f ca="1">IF(PAJAK[[#This Row],[//]]="","",INDEX(INDIRECT("NOTA["&amp;PAJAK[#Headers]&amp;"]"),PAJAK[[#This Row],[//]]-2))</f>
        <v/>
      </c>
      <c r="I11" s="4" t="str">
        <f ca="1">IF(PAJAK[[#This Row],[//]]="","",INDEX(INDIRECT("NOTA["&amp;PAJAK[#Headers]&amp;"]"),PAJAK[[#This Row],[//]]-2))</f>
        <v/>
      </c>
      <c r="J11" t="e">
        <f ca="1">IF(OR(PAJAK[[#This Row],[//]]="",INDEX(INDIRECT("NOTA["&amp;PAJAK[#Headers]&amp;"]"),PAJAK[[#This Row],[//]]-2)=""),"",INDEX(INDIRECT("NOTA["&amp;PAJAK[#Headers]&amp;"]"),PAJAK[[#This Row],[//]]-2))</f>
        <v>#VALUE!</v>
      </c>
      <c r="K11" s="13" t="str">
        <f ca="1">IF(PAJAK[[#This Row],[//]]="","",SUMIF(NOTA[ID_H],PAJAK[[#This Row],[ID]],NOTA[JUMLAH]))</f>
        <v/>
      </c>
      <c r="L11" s="13" t="str">
        <f ca="1">IF(PAJAK[[#This Row],[//]]="","",SUMIF(NOTA[ID_H],PAJAK[[#This Row],[ID]],NOTA[DISC]))</f>
        <v/>
      </c>
      <c r="M11" s="13" t="e">
        <f ca="1">PAJAK[[#This Row],[SUB TOTAL]]-PAJAK[[#This Row],[DISKON]]</f>
        <v>#VALUE!</v>
      </c>
      <c r="N11" s="13" t="str">
        <f ca="1">IF(PAJAK[[#This Row],[//]]="","",INDEX(INDIRECT("NOTA["&amp;PAJAK[#Headers]&amp;"]"),PAJAK[[#This Row],[//]]-2+PAJAK[[#This Row],[QB]]-1))</f>
        <v/>
      </c>
      <c r="O11" s="13" t="e">
        <f ca="1">(PAJAK[[#This Row],[SUB T-DISC]]-PAJAK[[#This Row],[DISC DLL]])/111%</f>
        <v>#VALUE!</v>
      </c>
      <c r="P11" s="13" t="e">
        <f ca="1">PAJAK[[#This Row],[DPP]]*PAJAK[[#This Row],[PPN]]</f>
        <v>#VALUE!</v>
      </c>
      <c r="Q11" s="13" t="e">
        <f ca="1">PAJAK[[#This Row],[DPP]]+PAJAK[[#This Row],[PPN 11%]]</f>
        <v>#VALUE!</v>
      </c>
      <c r="R11" s="1" t="str">
        <f ca="1">IF(ISNUMBER(PAJAK[[#This Row],[//]]),PPN,"")</f>
        <v/>
      </c>
    </row>
    <row r="12" spans="1:18">
      <c r="A12" t="str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/>
      </c>
      <c r="B12" s="11" t="str">
        <f ca="1">HYPERLINK("[NOTA_.XLSX]NOTA!c"&amp;PAJAK[[#This Row],[//]],IF(PAJAK[[#This Row],[//]]="","",INDEX(INDIRECT("NOTA["&amp;PAJAK[#Headers]&amp;"]"),PAJAK[[#This Row],[//]]-2)))</f>
        <v/>
      </c>
      <c r="C12" t="str">
        <f ca="1">IF(PAJAK[[#This Row],[//]]="","",INDEX(INDIRECT("NOTA["&amp;PAJAK[#Headers]&amp;"]"),PAJAK[[#This Row],[//]]-2))</f>
        <v/>
      </c>
      <c r="D12" t="e">
        <f ca="1">MATCH(PAJAK[[#This Row],[ID]],[2]!Table1[ID],0)</f>
        <v>#REF!</v>
      </c>
      <c r="E12" s="4" t="str">
        <f ca="1">IF(PAJAK[[#This Row],[ID]]="","",COUNTIF(NOTA[ID_H],PAJAK[[#This Row],[ID]]))</f>
        <v/>
      </c>
      <c r="F12" t="str">
        <f ca="1">IF(PAJAK[[#This Row],[//]]="","",INDEX(CONV[2],MATCH(INDEX(INDIRECT("NOTA["&amp;PAJAK[#Headers]&amp;"]"),PAJAK[[#This Row],[//]]-2),CONV[1],0),0))</f>
        <v/>
      </c>
      <c r="G12" s="2" t="str">
        <f ca="1">IF(PAJAK[[#This Row],[//]]="","",INDEX(NOTA[TGL_H],PAJAK[[#This Row],[//]]-2))</f>
        <v/>
      </c>
      <c r="H12" s="2" t="str">
        <f ca="1">IF(PAJAK[[#This Row],[//]]="","",INDEX(INDIRECT("NOTA["&amp;PAJAK[#Headers]&amp;"]"),PAJAK[[#This Row],[//]]-2))</f>
        <v/>
      </c>
      <c r="I12" s="4" t="str">
        <f ca="1">IF(PAJAK[[#This Row],[//]]="","",INDEX(INDIRECT("NOTA["&amp;PAJAK[#Headers]&amp;"]"),PAJAK[[#This Row],[//]]-2))</f>
        <v/>
      </c>
      <c r="J12" t="e">
        <f ca="1">IF(OR(PAJAK[[#This Row],[//]]="",INDEX(INDIRECT("NOTA["&amp;PAJAK[#Headers]&amp;"]"),PAJAK[[#This Row],[//]]-2)=""),"",INDEX(INDIRECT("NOTA["&amp;PAJAK[#Headers]&amp;"]"),PAJAK[[#This Row],[//]]-2))</f>
        <v>#VALUE!</v>
      </c>
      <c r="K12" s="13" t="str">
        <f ca="1">IF(PAJAK[[#This Row],[//]]="","",SUMIF(NOTA[ID_H],PAJAK[[#This Row],[ID]],NOTA[JUMLAH]))</f>
        <v/>
      </c>
      <c r="L12" s="13" t="str">
        <f ca="1">IF(PAJAK[[#This Row],[//]]="","",SUMIF(NOTA[ID_H],PAJAK[[#This Row],[ID]],NOTA[DISC]))</f>
        <v/>
      </c>
      <c r="M12" s="13" t="e">
        <f ca="1">PAJAK[[#This Row],[SUB TOTAL]]-PAJAK[[#This Row],[DISKON]]</f>
        <v>#VALUE!</v>
      </c>
      <c r="N12" s="13" t="str">
        <f ca="1">IF(PAJAK[[#This Row],[//]]="","",INDEX(INDIRECT("NOTA["&amp;PAJAK[#Headers]&amp;"]"),PAJAK[[#This Row],[//]]-2+PAJAK[[#This Row],[QB]]-1))</f>
        <v/>
      </c>
      <c r="O12" s="13" t="e">
        <f ca="1">(PAJAK[[#This Row],[SUB T-DISC]]-PAJAK[[#This Row],[DISC DLL]])/111%</f>
        <v>#VALUE!</v>
      </c>
      <c r="P12" s="13" t="e">
        <f ca="1">PAJAK[[#This Row],[DPP]]*PAJAK[[#This Row],[PPN]]</f>
        <v>#VALUE!</v>
      </c>
      <c r="Q12" s="13" t="e">
        <f ca="1">PAJAK[[#This Row],[DPP]]+PAJAK[[#This Row],[PPN 11%]]</f>
        <v>#VALUE!</v>
      </c>
      <c r="R12" s="1" t="str">
        <f ca="1">IF(ISNUMBER(PAJAK[[#This Row],[//]]),PPN,"")</f>
        <v/>
      </c>
    </row>
    <row r="13" spans="1:18">
      <c r="A13" t="str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/>
      </c>
      <c r="B13" t="str">
        <f ca="1">HYPERLINK("[NOTA_.XLSX]NOTA!c"&amp;PAJAK[[#This Row],[//]],IF(PAJAK[[#This Row],[//]]="","",INDEX(INDIRECT("NOTA["&amp;PAJAK[#Headers]&amp;"]"),PAJAK[[#This Row],[//]]-2)))</f>
        <v/>
      </c>
      <c r="C13" t="str">
        <f ca="1">IF(PAJAK[[#This Row],[//]]="","",INDEX(INDIRECT("NOTA["&amp;PAJAK[#Headers]&amp;"]"),PAJAK[[#This Row],[//]]-2))</f>
        <v/>
      </c>
      <c r="D13" t="e">
        <f ca="1">MATCH(PAJAK[[#This Row],[ID]],[2]!Table1[ID],0)</f>
        <v>#REF!</v>
      </c>
      <c r="E13" s="4" t="str">
        <f ca="1">IF(PAJAK[[#This Row],[ID]]="","",COUNTIF(NOTA[ID_H],PAJAK[[#This Row],[ID]]))</f>
        <v/>
      </c>
      <c r="F13" t="str">
        <f ca="1">IF(PAJAK[[#This Row],[//]]="","",INDEX(CONV[2],MATCH(INDEX(INDIRECT("NOTA["&amp;PAJAK[#Headers]&amp;"]"),PAJAK[[#This Row],[//]]-2),CONV[1],0),0))</f>
        <v/>
      </c>
      <c r="G13" s="2" t="str">
        <f ca="1">IF(PAJAK[[#This Row],[//]]="","",INDEX(NOTA[TGL_H],PAJAK[[#This Row],[//]]-2))</f>
        <v/>
      </c>
      <c r="H13" s="2" t="str">
        <f ca="1">IF(PAJAK[[#This Row],[//]]="","",INDEX(INDIRECT("NOTA["&amp;PAJAK[#Headers]&amp;"]"),PAJAK[[#This Row],[//]]-2))</f>
        <v/>
      </c>
      <c r="I13" s="4" t="str">
        <f ca="1">IF(PAJAK[[#This Row],[//]]="","",INDEX(INDIRECT("NOTA["&amp;PAJAK[#Headers]&amp;"]"),PAJAK[[#This Row],[//]]-2))</f>
        <v/>
      </c>
      <c r="J13" t="e">
        <f ca="1">IF(OR(PAJAK[[#This Row],[//]]="",INDEX(INDIRECT("NOTA["&amp;PAJAK[#Headers]&amp;"]"),PAJAK[[#This Row],[//]]-2)=""),"",INDEX(INDIRECT("NOTA["&amp;PAJAK[#Headers]&amp;"]"),PAJAK[[#This Row],[//]]-2))</f>
        <v>#VALUE!</v>
      </c>
      <c r="K13" s="13" t="str">
        <f ca="1">IF(PAJAK[[#This Row],[//]]="","",SUMIF(NOTA[ID_H],PAJAK[[#This Row],[ID]],NOTA[JUMLAH]))</f>
        <v/>
      </c>
      <c r="L13" s="13" t="str">
        <f ca="1">IF(PAJAK[[#This Row],[//]]="","",SUMIF(NOTA[ID_H],PAJAK[[#This Row],[ID]],NOTA[DISC]))</f>
        <v/>
      </c>
      <c r="M13" s="13" t="e">
        <f ca="1">PAJAK[[#This Row],[SUB TOTAL]]-PAJAK[[#This Row],[DISKON]]</f>
        <v>#VALUE!</v>
      </c>
      <c r="N13" s="13" t="str">
        <f ca="1">IF(PAJAK[[#This Row],[//]]="","",INDEX(INDIRECT("NOTA["&amp;PAJAK[#Headers]&amp;"]"),PAJAK[[#This Row],[//]]-2+PAJAK[[#This Row],[QB]]-1))</f>
        <v/>
      </c>
      <c r="O13" s="13" t="e">
        <f ca="1">(PAJAK[[#This Row],[SUB T-DISC]]-PAJAK[[#This Row],[DISC DLL]])/111%</f>
        <v>#VALUE!</v>
      </c>
      <c r="P13" s="13" t="e">
        <f ca="1">PAJAK[[#This Row],[DPP]]*PAJAK[[#This Row],[PPN]]</f>
        <v>#VALUE!</v>
      </c>
      <c r="Q13" s="13" t="e">
        <f ca="1">PAJAK[[#This Row],[DPP]]+PAJAK[[#This Row],[PPN 11%]]</f>
        <v>#VALUE!</v>
      </c>
      <c r="R13" s="1" t="str">
        <f ca="1">IF(ISNUMBER(PAJAK[[#This Row],[//]]),PPN,"")</f>
        <v/>
      </c>
    </row>
    <row r="14" spans="1:18">
      <c r="A14" s="17" t="str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/>
      </c>
      <c r="B14" s="17" t="str">
        <f ca="1">HYPERLINK("[NOTA_.XLSX]NOTA!c"&amp;PAJAK[[#This Row],[//]],IF(PAJAK[[#This Row],[//]]="","",INDEX(INDIRECT("NOTA["&amp;PAJAK[#Headers]&amp;"]"),PAJAK[[#This Row],[//]]-2)))</f>
        <v/>
      </c>
      <c r="C14" s="17" t="str">
        <f ca="1">IF(PAJAK[[#This Row],[//]]="","",INDEX(INDIRECT("NOTA["&amp;PAJAK[#Headers]&amp;"]"),PAJAK[[#This Row],[//]]-2))</f>
        <v/>
      </c>
      <c r="D14" s="17" t="e">
        <f ca="1">MATCH(PAJAK[[#This Row],[ID]],[2]!Table1[ID],0)</f>
        <v>#REF!</v>
      </c>
      <c r="E14" s="18" t="str">
        <f ca="1">IF(PAJAK[[#This Row],[ID]]="","",COUNTIF(NOTA[ID_H],PAJAK[[#This Row],[ID]]))</f>
        <v/>
      </c>
      <c r="F14" s="17" t="str">
        <f ca="1">IF(PAJAK[[#This Row],[//]]="","",INDEX(CONV[2],MATCH(INDEX(INDIRECT("NOTA["&amp;PAJAK[#Headers]&amp;"]"),PAJAK[[#This Row],[//]]-2),CONV[1],0),0))</f>
        <v/>
      </c>
      <c r="G14" s="19" t="str">
        <f ca="1">IF(PAJAK[[#This Row],[//]]="","",INDEX(NOTA[TGL_H],PAJAK[[#This Row],[//]]-2))</f>
        <v/>
      </c>
      <c r="H14" s="19" t="str">
        <f ca="1">IF(PAJAK[[#This Row],[//]]="","",INDEX(INDIRECT("NOTA["&amp;PAJAK[#Headers]&amp;"]"),PAJAK[[#This Row],[//]]-2))</f>
        <v/>
      </c>
      <c r="I14" s="18" t="str">
        <f ca="1">IF(PAJAK[[#This Row],[//]]="","",INDEX(INDIRECT("NOTA["&amp;PAJAK[#Headers]&amp;"]"),PAJAK[[#This Row],[//]]-2))</f>
        <v/>
      </c>
      <c r="J14" s="17" t="e">
        <f ca="1">IF(OR(PAJAK[[#This Row],[//]]="",INDEX(INDIRECT("NOTA["&amp;PAJAK[#Headers]&amp;"]"),PAJAK[[#This Row],[//]]-2)=""),"",INDEX(INDIRECT("NOTA["&amp;PAJAK[#Headers]&amp;"]"),PAJAK[[#This Row],[//]]-2))</f>
        <v>#VALUE!</v>
      </c>
      <c r="K14" s="21" t="str">
        <f ca="1">IF(PAJAK[[#This Row],[//]]="","",SUMIF(NOTA[ID_H],PAJAK[[#This Row],[ID]],NOTA[JUMLAH]))</f>
        <v/>
      </c>
      <c r="L14" s="21" t="str">
        <f ca="1">IF(PAJAK[[#This Row],[//]]="","",SUMIF(NOTA[ID_H],PAJAK[[#This Row],[ID]],NOTA[DISC]))</f>
        <v/>
      </c>
      <c r="M14" s="21" t="e">
        <f ca="1">PAJAK[[#This Row],[SUB TOTAL]]-PAJAK[[#This Row],[DISKON]]</f>
        <v>#VALUE!</v>
      </c>
      <c r="N14" s="21" t="str">
        <f ca="1">IF(PAJAK[[#This Row],[//]]="","",INDEX(INDIRECT("NOTA["&amp;PAJAK[#Headers]&amp;"]"),PAJAK[[#This Row],[//]]-2+PAJAK[[#This Row],[QB]]-1))</f>
        <v/>
      </c>
      <c r="O14" s="21" t="e">
        <f ca="1">(PAJAK[[#This Row],[SUB T-DISC]]-PAJAK[[#This Row],[DISC DLL]])/111%</f>
        <v>#VALUE!</v>
      </c>
      <c r="P14" s="21" t="e">
        <f ca="1">PAJAK[[#This Row],[DPP]]*PAJAK[[#This Row],[PPN]]</f>
        <v>#VALUE!</v>
      </c>
      <c r="Q14" s="21" t="e">
        <f ca="1">PAJAK[[#This Row],[DPP]]+PAJAK[[#This Row],[PPN 11%]]</f>
        <v>#VALUE!</v>
      </c>
      <c r="R14" s="22" t="str">
        <f ca="1">IF(ISNUMBER(PAJAK[[#This Row],[//]]),PPN,"")</f>
        <v/>
      </c>
    </row>
    <row r="15" spans="1:18">
      <c r="A15" t="str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/>
      </c>
      <c r="B15" t="str">
        <f ca="1">HYPERLINK("[NOTA_.XLSX]NOTA!c"&amp;PAJAK[[#This Row],[//]],IF(PAJAK[[#This Row],[//]]="","",INDEX(INDIRECT("NOTA["&amp;PAJAK[#Headers]&amp;"]"),PAJAK[[#This Row],[//]]-2)))</f>
        <v/>
      </c>
      <c r="C15" t="str">
        <f ca="1">IF(PAJAK[[#This Row],[//]]="","",INDEX(INDIRECT("NOTA["&amp;PAJAK[#Headers]&amp;"]"),PAJAK[[#This Row],[//]]-2))</f>
        <v/>
      </c>
      <c r="D15" t="e">
        <f ca="1">MATCH(PAJAK[[#This Row],[ID]],[2]!Table1[ID],0)</f>
        <v>#REF!</v>
      </c>
      <c r="E15" s="4" t="str">
        <f ca="1">IF(PAJAK[[#This Row],[ID]]="","",COUNTIF(NOTA[ID_H],PAJAK[[#This Row],[ID]]))</f>
        <v/>
      </c>
      <c r="F15" t="str">
        <f ca="1">IF(PAJAK[[#This Row],[//]]="","",INDEX(CONV[2],MATCH(INDEX(INDIRECT("NOTA["&amp;PAJAK[#Headers]&amp;"]"),PAJAK[[#This Row],[//]]-2),CONV[1],0),0))</f>
        <v/>
      </c>
      <c r="G15" s="2" t="str">
        <f ca="1">IF(PAJAK[[#This Row],[//]]="","",INDEX(NOTA[TGL_H],PAJAK[[#This Row],[//]]-2))</f>
        <v/>
      </c>
      <c r="H15" s="2" t="str">
        <f ca="1">IF(PAJAK[[#This Row],[//]]="","",INDEX(INDIRECT("NOTA["&amp;PAJAK[#Headers]&amp;"]"),PAJAK[[#This Row],[//]]-2))</f>
        <v/>
      </c>
      <c r="I15" s="4" t="str">
        <f ca="1">IF(PAJAK[[#This Row],[//]]="","",INDEX(INDIRECT("NOTA["&amp;PAJAK[#Headers]&amp;"]"),PAJAK[[#This Row],[//]]-2))</f>
        <v/>
      </c>
      <c r="J15" t="e">
        <f ca="1">IF(OR(PAJAK[[#This Row],[//]]="",INDEX(INDIRECT("NOTA["&amp;PAJAK[#Headers]&amp;"]"),PAJAK[[#This Row],[//]]-2)=""),"",INDEX(INDIRECT("NOTA["&amp;PAJAK[#Headers]&amp;"]"),PAJAK[[#This Row],[//]]-2))</f>
        <v>#VALUE!</v>
      </c>
      <c r="K15" s="13" t="str">
        <f ca="1">IF(PAJAK[[#This Row],[//]]="","",SUMIF(NOTA[ID_H],PAJAK[[#This Row],[ID]],NOTA[JUMLAH]))</f>
        <v/>
      </c>
      <c r="L15" s="13" t="str">
        <f ca="1">IF(PAJAK[[#This Row],[//]]="","",SUMIF(NOTA[ID_H],PAJAK[[#This Row],[ID]],NOTA[DISC]))</f>
        <v/>
      </c>
      <c r="M15" s="13" t="e">
        <f ca="1">PAJAK[[#This Row],[SUB TOTAL]]-PAJAK[[#This Row],[DISKON]]</f>
        <v>#VALUE!</v>
      </c>
      <c r="N15" s="13" t="str">
        <f ca="1">IF(PAJAK[[#This Row],[//]]="","",INDEX(INDIRECT("NOTA["&amp;PAJAK[#Headers]&amp;"]"),PAJAK[[#This Row],[//]]-2+PAJAK[[#This Row],[QB]]-1))</f>
        <v/>
      </c>
      <c r="O15" s="13" t="e">
        <f ca="1">(PAJAK[[#This Row],[SUB T-DISC]]-PAJAK[[#This Row],[DISC DLL]])/111%</f>
        <v>#VALUE!</v>
      </c>
      <c r="P15" s="13" t="e">
        <f ca="1">PAJAK[[#This Row],[DPP]]*PAJAK[[#This Row],[PPN]]</f>
        <v>#VALUE!</v>
      </c>
      <c r="Q15" s="13" t="e">
        <f ca="1">PAJAK[[#This Row],[DPP]]+PAJAK[[#This Row],[PPN 11%]]</f>
        <v>#VALUE!</v>
      </c>
      <c r="R15" s="1" t="str">
        <f ca="1">IF(ISNUMBER(PAJAK[[#This Row],[//]]),PPN,"")</f>
        <v/>
      </c>
    </row>
    <row r="16" spans="1:18">
      <c r="A16" t="str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/>
      </c>
      <c r="B16" s="11" t="str">
        <f ca="1">HYPERLINK("[NOTA_.XLSX]NOTA!c"&amp;PAJAK[[#This Row],[//]],IF(PAJAK[[#This Row],[//]]="","",INDEX(INDIRECT("NOTA["&amp;PAJAK[#Headers]&amp;"]"),PAJAK[[#This Row],[//]]-2)))</f>
        <v/>
      </c>
      <c r="C16" t="str">
        <f ca="1">IF(PAJAK[[#This Row],[//]]="","",INDEX(INDIRECT("NOTA["&amp;PAJAK[#Headers]&amp;"]"),PAJAK[[#This Row],[//]]-2))</f>
        <v/>
      </c>
      <c r="D16" t="e">
        <f ca="1">MATCH(PAJAK[[#This Row],[ID]],[2]!Table1[ID],0)</f>
        <v>#REF!</v>
      </c>
      <c r="E16" s="4" t="str">
        <f ca="1">IF(PAJAK[[#This Row],[ID]]="","",COUNTIF(NOTA[ID_H],PAJAK[[#This Row],[ID]]))</f>
        <v/>
      </c>
      <c r="F16" t="str">
        <f ca="1">IF(PAJAK[[#This Row],[//]]="","",INDEX(CONV[2],MATCH(INDEX(INDIRECT("NOTA["&amp;PAJAK[#Headers]&amp;"]"),PAJAK[[#This Row],[//]]-2),CONV[1],0),0))</f>
        <v/>
      </c>
      <c r="G16" s="2" t="str">
        <f ca="1">IF(PAJAK[[#This Row],[//]]="","",INDEX(NOTA[TGL_H],PAJAK[[#This Row],[//]]-2))</f>
        <v/>
      </c>
      <c r="H16" s="2" t="str">
        <f ca="1">IF(PAJAK[[#This Row],[//]]="","",INDEX(INDIRECT("NOTA["&amp;PAJAK[#Headers]&amp;"]"),PAJAK[[#This Row],[//]]-2))</f>
        <v/>
      </c>
      <c r="I16" s="4" t="str">
        <f ca="1">IF(PAJAK[[#This Row],[//]]="","",INDEX(INDIRECT("NOTA["&amp;PAJAK[#Headers]&amp;"]"),PAJAK[[#This Row],[//]]-2))</f>
        <v/>
      </c>
      <c r="J16" t="e">
        <f ca="1">IF(OR(PAJAK[[#This Row],[//]]="",INDEX(INDIRECT("NOTA["&amp;PAJAK[#Headers]&amp;"]"),PAJAK[[#This Row],[//]]-2)=""),"",INDEX(INDIRECT("NOTA["&amp;PAJAK[#Headers]&amp;"]"),PAJAK[[#This Row],[//]]-2))</f>
        <v>#VALUE!</v>
      </c>
      <c r="K16" s="13" t="str">
        <f ca="1">IF(PAJAK[[#This Row],[//]]="","",SUMIF(NOTA[ID_H],PAJAK[[#This Row],[ID]],NOTA[JUMLAH]))</f>
        <v/>
      </c>
      <c r="L16" s="13" t="str">
        <f ca="1">IF(PAJAK[[#This Row],[//]]="","",SUMIF(NOTA[ID_H],PAJAK[[#This Row],[ID]],NOTA[DISC]))</f>
        <v/>
      </c>
      <c r="M16" s="13" t="e">
        <f ca="1">PAJAK[[#This Row],[SUB TOTAL]]-PAJAK[[#This Row],[DISKON]]</f>
        <v>#VALUE!</v>
      </c>
      <c r="N16" s="13" t="str">
        <f ca="1">IF(PAJAK[[#This Row],[//]]="","",INDEX(INDIRECT("NOTA["&amp;PAJAK[#Headers]&amp;"]"),PAJAK[[#This Row],[//]]-2+PAJAK[[#This Row],[QB]]-1))</f>
        <v/>
      </c>
      <c r="O16" s="13" t="e">
        <f ca="1">(PAJAK[[#This Row],[SUB T-DISC]]-PAJAK[[#This Row],[DISC DLL]])/111%</f>
        <v>#VALUE!</v>
      </c>
      <c r="P16" s="13" t="e">
        <f ca="1">PAJAK[[#This Row],[DPP]]*PAJAK[[#This Row],[PPN]]</f>
        <v>#VALUE!</v>
      </c>
      <c r="Q16" s="13" t="e">
        <f ca="1">PAJAK[[#This Row],[DPP]]+PAJAK[[#This Row],[PPN 11%]]</f>
        <v>#VALUE!</v>
      </c>
      <c r="R16" s="1" t="str">
        <f ca="1">IF(ISNUMBER(PAJAK[[#This Row],[//]]),PPN,"")</f>
        <v/>
      </c>
    </row>
    <row r="17" spans="1:18">
      <c r="A17" t="str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/>
      </c>
      <c r="B17" s="11" t="str">
        <f ca="1">HYPERLINK("[NOTA_.XLSX]NOTA!c"&amp;PAJAK[[#This Row],[//]],IF(PAJAK[[#This Row],[//]]="","",INDEX(INDIRECT("NOTA["&amp;PAJAK[#Headers]&amp;"]"),PAJAK[[#This Row],[//]]-2)))</f>
        <v/>
      </c>
      <c r="C17" t="str">
        <f ca="1">IF(PAJAK[[#This Row],[//]]="","",INDEX(INDIRECT("NOTA["&amp;PAJAK[#Headers]&amp;"]"),PAJAK[[#This Row],[//]]-2))</f>
        <v/>
      </c>
      <c r="D17" t="e">
        <f ca="1">MATCH(PAJAK[[#This Row],[ID]],[2]!Table1[ID],0)</f>
        <v>#REF!</v>
      </c>
      <c r="E17" s="4" t="str">
        <f ca="1">IF(PAJAK[[#This Row],[ID]]="","",COUNTIF(NOTA[ID_H],PAJAK[[#This Row],[ID]]))</f>
        <v/>
      </c>
      <c r="F17" t="str">
        <f ca="1">IF(PAJAK[[#This Row],[//]]="","",INDEX(CONV[2],MATCH(INDEX(INDIRECT("NOTA["&amp;PAJAK[#Headers]&amp;"]"),PAJAK[[#This Row],[//]]-2),CONV[1],0),0))</f>
        <v/>
      </c>
      <c r="G17" s="2" t="str">
        <f ca="1">IF(PAJAK[[#This Row],[//]]="","",INDEX(NOTA[TGL_H],PAJAK[[#This Row],[//]]-2))</f>
        <v/>
      </c>
      <c r="H17" s="2" t="str">
        <f ca="1">IF(PAJAK[[#This Row],[//]]="","",INDEX(INDIRECT("NOTA["&amp;PAJAK[#Headers]&amp;"]"),PAJAK[[#This Row],[//]]-2))</f>
        <v/>
      </c>
      <c r="I17" s="4" t="str">
        <f ca="1">IF(PAJAK[[#This Row],[//]]="","",INDEX(INDIRECT("NOTA["&amp;PAJAK[#Headers]&amp;"]"),PAJAK[[#This Row],[//]]-2))</f>
        <v/>
      </c>
      <c r="J17" t="e">
        <f ca="1">IF(OR(PAJAK[[#This Row],[//]]="",INDEX(INDIRECT("NOTA["&amp;PAJAK[#Headers]&amp;"]"),PAJAK[[#This Row],[//]]-2)=""),"",INDEX(INDIRECT("NOTA["&amp;PAJAK[#Headers]&amp;"]"),PAJAK[[#This Row],[//]]-2))</f>
        <v>#VALUE!</v>
      </c>
      <c r="K17" s="13" t="str">
        <f ca="1">IF(PAJAK[[#This Row],[//]]="","",SUMIF(NOTA[ID_H],PAJAK[[#This Row],[ID]],NOTA[JUMLAH]))</f>
        <v/>
      </c>
      <c r="L17" s="13" t="str">
        <f ca="1">IF(PAJAK[[#This Row],[//]]="","",SUMIF(NOTA[ID_H],PAJAK[[#This Row],[ID]],NOTA[DISC]))</f>
        <v/>
      </c>
      <c r="M17" s="13" t="e">
        <f ca="1">PAJAK[[#This Row],[SUB TOTAL]]-PAJAK[[#This Row],[DISKON]]</f>
        <v>#VALUE!</v>
      </c>
      <c r="N17" s="13" t="str">
        <f ca="1">IF(PAJAK[[#This Row],[//]]="","",INDEX(INDIRECT("NOTA["&amp;PAJAK[#Headers]&amp;"]"),PAJAK[[#This Row],[//]]-2+PAJAK[[#This Row],[QB]]-1))</f>
        <v/>
      </c>
      <c r="O17" s="13" t="e">
        <f ca="1">(PAJAK[[#This Row],[SUB T-DISC]]-PAJAK[[#This Row],[DISC DLL]])/111%</f>
        <v>#VALUE!</v>
      </c>
      <c r="P17" s="13" t="e">
        <f ca="1">PAJAK[[#This Row],[DPP]]*PAJAK[[#This Row],[PPN]]</f>
        <v>#VALUE!</v>
      </c>
      <c r="Q17" s="13" t="e">
        <f ca="1">PAJAK[[#This Row],[DPP]]+PAJAK[[#This Row],[PPN 11%]]</f>
        <v>#VALUE!</v>
      </c>
      <c r="R17" s="1" t="str">
        <f ca="1">IF(ISNUMBER(PAJAK[[#This Row],[//]]),PPN,"")</f>
        <v/>
      </c>
    </row>
    <row r="18" spans="1:18">
      <c r="A18" t="str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/>
      </c>
      <c r="B18" s="12" t="str">
        <f ca="1">HYPERLINK("[NOTA_.XLSX]NOTA!c"&amp;PAJAK[[#This Row],[//]],IF(PAJAK[[#This Row],[//]]="","",INDEX(INDIRECT("NOTA["&amp;PAJAK[#Headers]&amp;"]"),PAJAK[[#This Row],[//]]-2)))</f>
        <v/>
      </c>
      <c r="C18" t="str">
        <f ca="1">IF(PAJAK[[#This Row],[//]]="","",INDEX(INDIRECT("NOTA["&amp;PAJAK[#Headers]&amp;"]"),PAJAK[[#This Row],[//]]-2))</f>
        <v/>
      </c>
      <c r="D18" t="e">
        <f ca="1">MATCH(PAJAK[[#This Row],[ID]],[2]!Table1[ID],0)</f>
        <v>#REF!</v>
      </c>
      <c r="E18" s="4" t="str">
        <f ca="1">IF(PAJAK[[#This Row],[ID]]="","",COUNTIF(NOTA[ID_H],PAJAK[[#This Row],[ID]]))</f>
        <v/>
      </c>
      <c r="F18" t="str">
        <f ca="1">IF(PAJAK[[#This Row],[//]]="","",INDEX(CONV[2],MATCH(INDEX(INDIRECT("NOTA["&amp;PAJAK[#Headers]&amp;"]"),PAJAK[[#This Row],[//]]-2),CONV[1],0),0))</f>
        <v/>
      </c>
      <c r="G18" s="2" t="str">
        <f ca="1">IF(PAJAK[[#This Row],[//]]="","",INDEX(NOTA[TGL_H],PAJAK[[#This Row],[//]]-2))</f>
        <v/>
      </c>
      <c r="H18" s="2" t="str">
        <f ca="1">IF(PAJAK[[#This Row],[//]]="","",INDEX(INDIRECT("NOTA["&amp;PAJAK[#Headers]&amp;"]"),PAJAK[[#This Row],[//]]-2))</f>
        <v/>
      </c>
      <c r="I18" s="4" t="str">
        <f ca="1">IF(PAJAK[[#This Row],[//]]="","",INDEX(INDIRECT("NOTA["&amp;PAJAK[#Headers]&amp;"]"),PAJAK[[#This Row],[//]]-2))</f>
        <v/>
      </c>
      <c r="J18" t="e">
        <f ca="1">IF(OR(PAJAK[[#This Row],[//]]="",INDEX(INDIRECT("NOTA["&amp;PAJAK[#Headers]&amp;"]"),PAJAK[[#This Row],[//]]-2)=""),"",INDEX(INDIRECT("NOTA["&amp;PAJAK[#Headers]&amp;"]"),PAJAK[[#This Row],[//]]-2))</f>
        <v>#VALUE!</v>
      </c>
      <c r="K18" s="13" t="str">
        <f ca="1">IF(PAJAK[[#This Row],[//]]="","",SUMIF(NOTA[ID_H],PAJAK[[#This Row],[ID]],NOTA[JUMLAH]))</f>
        <v/>
      </c>
      <c r="L18" s="13" t="str">
        <f ca="1">IF(PAJAK[[#This Row],[//]]="","",SUMIF(NOTA[ID_H],PAJAK[[#This Row],[ID]],NOTA[DISC]))</f>
        <v/>
      </c>
      <c r="M18" s="13" t="e">
        <f ca="1">PAJAK[[#This Row],[SUB TOTAL]]-PAJAK[[#This Row],[DISKON]]</f>
        <v>#VALUE!</v>
      </c>
      <c r="N18" s="13" t="str">
        <f ca="1">IF(PAJAK[[#This Row],[//]]="","",INDEX(INDIRECT("NOTA["&amp;PAJAK[#Headers]&amp;"]"),PAJAK[[#This Row],[//]]-2+PAJAK[[#This Row],[QB]]-1))</f>
        <v/>
      </c>
      <c r="O18" s="13" t="e">
        <f ca="1">(PAJAK[[#This Row],[SUB T-DISC]]-PAJAK[[#This Row],[DISC DLL]])/111%</f>
        <v>#VALUE!</v>
      </c>
      <c r="P18" s="13" t="e">
        <f ca="1">PAJAK[[#This Row],[DPP]]*PAJAK[[#This Row],[PPN]]</f>
        <v>#VALUE!</v>
      </c>
      <c r="Q18" s="13" t="e">
        <f ca="1">PAJAK[[#This Row],[DPP]]+PAJAK[[#This Row],[PPN 11%]]</f>
        <v>#VALUE!</v>
      </c>
      <c r="R18" s="1" t="str">
        <f ca="1">IF(ISNUMBER(PAJAK[[#This Row],[//]]),PPN,"")</f>
        <v/>
      </c>
    </row>
    <row r="19" spans="1:18">
      <c r="A19" t="str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/>
      </c>
      <c r="B19" t="str">
        <f ca="1">HYPERLINK("[NOTA_.XLSX]NOTA!c"&amp;PAJAK[[#This Row],[//]],IF(PAJAK[[#This Row],[//]]="","",INDEX(INDIRECT("NOTA["&amp;PAJAK[#Headers]&amp;"]"),PAJAK[[#This Row],[//]]-2)))</f>
        <v/>
      </c>
      <c r="C19" t="str">
        <f ca="1">IF(PAJAK[[#This Row],[//]]="","",INDEX(INDIRECT("NOTA["&amp;PAJAK[#Headers]&amp;"]"),PAJAK[[#This Row],[//]]-2))</f>
        <v/>
      </c>
      <c r="D19" t="e">
        <f ca="1">MATCH(PAJAK[[#This Row],[ID]],[2]!Table1[ID],0)</f>
        <v>#REF!</v>
      </c>
      <c r="E19" s="4" t="str">
        <f ca="1">IF(PAJAK[[#This Row],[ID]]="","",COUNTIF(NOTA[ID_H],PAJAK[[#This Row],[ID]]))</f>
        <v/>
      </c>
      <c r="F19" t="str">
        <f ca="1">IF(PAJAK[[#This Row],[//]]="","",INDEX(CONV[2],MATCH(INDEX(INDIRECT("NOTA["&amp;PAJAK[#Headers]&amp;"]"),PAJAK[[#This Row],[//]]-2),CONV[1],0),0))</f>
        <v/>
      </c>
      <c r="G19" s="2" t="str">
        <f ca="1">IF(PAJAK[[#This Row],[//]]="","",INDEX(NOTA[TGL_H],PAJAK[[#This Row],[//]]-2))</f>
        <v/>
      </c>
      <c r="H19" s="2" t="str">
        <f ca="1">IF(PAJAK[[#This Row],[//]]="","",INDEX(INDIRECT("NOTA["&amp;PAJAK[#Headers]&amp;"]"),PAJAK[[#This Row],[//]]-2))</f>
        <v/>
      </c>
      <c r="I19" s="4" t="str">
        <f ca="1">IF(PAJAK[[#This Row],[//]]="","",INDEX(INDIRECT("NOTA["&amp;PAJAK[#Headers]&amp;"]"),PAJAK[[#This Row],[//]]-2))</f>
        <v/>
      </c>
      <c r="J19" t="e">
        <f ca="1">IF(OR(PAJAK[[#This Row],[//]]="",INDEX(INDIRECT("NOTA["&amp;PAJAK[#Headers]&amp;"]"),PAJAK[[#This Row],[//]]-2)=""),"",INDEX(INDIRECT("NOTA["&amp;PAJAK[#Headers]&amp;"]"),PAJAK[[#This Row],[//]]-2))</f>
        <v>#VALUE!</v>
      </c>
      <c r="K19" s="13" t="str">
        <f ca="1">IF(PAJAK[[#This Row],[//]]="","",SUMIF(NOTA[ID_H],PAJAK[[#This Row],[ID]],NOTA[JUMLAH]))</f>
        <v/>
      </c>
      <c r="L19" s="13" t="str">
        <f ca="1">IF(PAJAK[[#This Row],[//]]="","",SUMIF(NOTA[ID_H],PAJAK[[#This Row],[ID]],NOTA[DISC]))</f>
        <v/>
      </c>
      <c r="M19" s="13" t="e">
        <f ca="1">PAJAK[[#This Row],[SUB TOTAL]]-PAJAK[[#This Row],[DISKON]]</f>
        <v>#VALUE!</v>
      </c>
      <c r="N19" s="13" t="str">
        <f ca="1">IF(PAJAK[[#This Row],[//]]="","",INDEX(INDIRECT("NOTA["&amp;PAJAK[#Headers]&amp;"]"),PAJAK[[#This Row],[//]]-2+PAJAK[[#This Row],[QB]]-1))</f>
        <v/>
      </c>
      <c r="O19" s="13" t="e">
        <f ca="1">(PAJAK[[#This Row],[SUB T-DISC]]-PAJAK[[#This Row],[DISC DLL]])/111%</f>
        <v>#VALUE!</v>
      </c>
      <c r="P19" s="13" t="e">
        <f ca="1">PAJAK[[#This Row],[DPP]]*PAJAK[[#This Row],[PPN]]</f>
        <v>#VALUE!</v>
      </c>
      <c r="Q19" s="13" t="e">
        <f ca="1">PAJAK[[#This Row],[DPP]]+PAJAK[[#This Row],[PPN 11%]]</f>
        <v>#VALUE!</v>
      </c>
      <c r="R19" s="1" t="str">
        <f ca="1">IF(ISNUMBER(PAJAK[[#This Row],[//]]),PPN,"")</f>
        <v/>
      </c>
    </row>
    <row r="20" spans="1:18">
      <c r="A20" t="str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/>
      </c>
      <c r="B20" s="11" t="str">
        <f ca="1">HYPERLINK("[NOTA_.XLSX]NOTA!c"&amp;PAJAK[[#This Row],[//]],IF(PAJAK[[#This Row],[//]]="","",INDEX(INDIRECT("NOTA["&amp;PAJAK[#Headers]&amp;"]"),PAJAK[[#This Row],[//]]-2)))</f>
        <v/>
      </c>
      <c r="C20" t="str">
        <f ca="1">IF(PAJAK[[#This Row],[//]]="","",INDEX(INDIRECT("NOTA["&amp;PAJAK[#Headers]&amp;"]"),PAJAK[[#This Row],[//]]-2))</f>
        <v/>
      </c>
      <c r="D20" t="e">
        <f ca="1">MATCH(PAJAK[[#This Row],[ID]],[2]!Table1[ID],0)</f>
        <v>#REF!</v>
      </c>
      <c r="E20" s="4" t="str">
        <f ca="1">IF(PAJAK[[#This Row],[ID]]="","",COUNTIF(NOTA[ID_H],PAJAK[[#This Row],[ID]]))</f>
        <v/>
      </c>
      <c r="F20" t="str">
        <f ca="1">IF(PAJAK[[#This Row],[//]]="","",INDEX(CONV[2],MATCH(INDEX(INDIRECT("NOTA["&amp;PAJAK[#Headers]&amp;"]"),PAJAK[[#This Row],[//]]-2),CONV[1],0),0))</f>
        <v/>
      </c>
      <c r="G20" s="2" t="str">
        <f ca="1">IF(PAJAK[[#This Row],[//]]="","",INDEX(NOTA[TGL_H],PAJAK[[#This Row],[//]]-2))</f>
        <v/>
      </c>
      <c r="H20" s="2" t="str">
        <f ca="1">IF(PAJAK[[#This Row],[//]]="","",INDEX(INDIRECT("NOTA["&amp;PAJAK[#Headers]&amp;"]"),PAJAK[[#This Row],[//]]-2))</f>
        <v/>
      </c>
      <c r="I20" s="4" t="str">
        <f ca="1">IF(PAJAK[[#This Row],[//]]="","",INDEX(INDIRECT("NOTA["&amp;PAJAK[#Headers]&amp;"]"),PAJAK[[#This Row],[//]]-2))</f>
        <v/>
      </c>
      <c r="J20" t="e">
        <f ca="1">IF(OR(PAJAK[[#This Row],[//]]="",INDEX(INDIRECT("NOTA["&amp;PAJAK[#Headers]&amp;"]"),PAJAK[[#This Row],[//]]-2)=""),"",INDEX(INDIRECT("NOTA["&amp;PAJAK[#Headers]&amp;"]"),PAJAK[[#This Row],[//]]-2))</f>
        <v>#VALUE!</v>
      </c>
      <c r="K20" s="13" t="str">
        <f ca="1">IF(PAJAK[[#This Row],[//]]="","",SUMIF(NOTA[ID_H],PAJAK[[#This Row],[ID]],NOTA[JUMLAH]))</f>
        <v/>
      </c>
      <c r="L20" s="13" t="str">
        <f ca="1">IF(PAJAK[[#This Row],[//]]="","",SUMIF(NOTA[ID_H],PAJAK[[#This Row],[ID]],NOTA[DISC]))</f>
        <v/>
      </c>
      <c r="M20" s="13" t="e">
        <f ca="1">PAJAK[[#This Row],[SUB TOTAL]]-PAJAK[[#This Row],[DISKON]]</f>
        <v>#VALUE!</v>
      </c>
      <c r="N20" s="13" t="str">
        <f ca="1">IF(PAJAK[[#This Row],[//]]="","",INDEX(INDIRECT("NOTA["&amp;PAJAK[#Headers]&amp;"]"),PAJAK[[#This Row],[//]]-2+PAJAK[[#This Row],[QB]]-1))</f>
        <v/>
      </c>
      <c r="O20" s="13" t="e">
        <f ca="1">(PAJAK[[#This Row],[SUB T-DISC]]-PAJAK[[#This Row],[DISC DLL]])/111%</f>
        <v>#VALUE!</v>
      </c>
      <c r="P20" s="13" t="e">
        <f ca="1">PAJAK[[#This Row],[DPP]]*PAJAK[[#This Row],[PPN]]</f>
        <v>#VALUE!</v>
      </c>
      <c r="Q20" s="13" t="e">
        <f ca="1">PAJAK[[#This Row],[DPP]]+PAJAK[[#This Row],[PPN 11%]]</f>
        <v>#VALUE!</v>
      </c>
      <c r="R20" s="1" t="str">
        <f ca="1">IF(ISNUMBER(PAJAK[[#This Row],[//]]),PPN,"")</f>
        <v/>
      </c>
    </row>
    <row r="21" spans="1:18">
      <c r="A21" t="str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/>
      </c>
      <c r="B21" s="11" t="str">
        <f ca="1">HYPERLINK("[NOTA_.XLSX]NOTA!c"&amp;PAJAK[[#This Row],[//]],IF(PAJAK[[#This Row],[//]]="","",INDEX(INDIRECT("NOTA["&amp;PAJAK[#Headers]&amp;"]"),PAJAK[[#This Row],[//]]-2)))</f>
        <v/>
      </c>
      <c r="C21" t="str">
        <f ca="1">IF(PAJAK[[#This Row],[//]]="","",INDEX(INDIRECT("NOTA["&amp;PAJAK[#Headers]&amp;"]"),PAJAK[[#This Row],[//]]-2))</f>
        <v/>
      </c>
      <c r="D21" t="e">
        <f ca="1">MATCH(PAJAK[[#This Row],[ID]],[2]!Table1[ID],0)</f>
        <v>#REF!</v>
      </c>
      <c r="E21" s="4" t="str">
        <f ca="1">IF(PAJAK[[#This Row],[ID]]="","",COUNTIF(NOTA[ID_H],PAJAK[[#This Row],[ID]]))</f>
        <v/>
      </c>
      <c r="F21" t="str">
        <f ca="1">IF(PAJAK[[#This Row],[//]]="","",INDEX(CONV[2],MATCH(INDEX(INDIRECT("NOTA["&amp;PAJAK[#Headers]&amp;"]"),PAJAK[[#This Row],[//]]-2),CONV[1],0),0))</f>
        <v/>
      </c>
      <c r="G21" s="2" t="str">
        <f ca="1">IF(PAJAK[[#This Row],[//]]="","",INDEX(NOTA[TGL_H],PAJAK[[#This Row],[//]]-2))</f>
        <v/>
      </c>
      <c r="H21" s="2" t="str">
        <f ca="1">IF(PAJAK[[#This Row],[//]]="","",INDEX(INDIRECT("NOTA["&amp;PAJAK[#Headers]&amp;"]"),PAJAK[[#This Row],[//]]-2))</f>
        <v/>
      </c>
      <c r="I21" s="4" t="str">
        <f ca="1">IF(PAJAK[[#This Row],[//]]="","",INDEX(INDIRECT("NOTA["&amp;PAJAK[#Headers]&amp;"]"),PAJAK[[#This Row],[//]]-2))</f>
        <v/>
      </c>
      <c r="J21" t="e">
        <f ca="1">IF(OR(PAJAK[[#This Row],[//]]="",INDEX(INDIRECT("NOTA["&amp;PAJAK[#Headers]&amp;"]"),PAJAK[[#This Row],[//]]-2)=""),"",INDEX(INDIRECT("NOTA["&amp;PAJAK[#Headers]&amp;"]"),PAJAK[[#This Row],[//]]-2))</f>
        <v>#VALUE!</v>
      </c>
      <c r="K21" s="13" t="str">
        <f ca="1">IF(PAJAK[[#This Row],[//]]="","",SUMIF(NOTA[ID_H],PAJAK[[#This Row],[ID]],NOTA[JUMLAH]))</f>
        <v/>
      </c>
      <c r="L21" s="13" t="str">
        <f ca="1">IF(PAJAK[[#This Row],[//]]="","",SUMIF(NOTA[ID_H],PAJAK[[#This Row],[ID]],NOTA[DISC]))</f>
        <v/>
      </c>
      <c r="M21" s="13" t="e">
        <f ca="1">PAJAK[[#This Row],[SUB TOTAL]]-PAJAK[[#This Row],[DISKON]]</f>
        <v>#VALUE!</v>
      </c>
      <c r="N21" s="13" t="str">
        <f ca="1">IF(PAJAK[[#This Row],[//]]="","",INDEX(INDIRECT("NOTA["&amp;PAJAK[#Headers]&amp;"]"),PAJAK[[#This Row],[//]]-2+PAJAK[[#This Row],[QB]]-1))</f>
        <v/>
      </c>
      <c r="O21" s="13" t="e">
        <f ca="1">(PAJAK[[#This Row],[SUB T-DISC]]-PAJAK[[#This Row],[DISC DLL]])/111%</f>
        <v>#VALUE!</v>
      </c>
      <c r="P21" s="13" t="e">
        <f ca="1">PAJAK[[#This Row],[DPP]]*PAJAK[[#This Row],[PPN]]</f>
        <v>#VALUE!</v>
      </c>
      <c r="Q21" s="13" t="e">
        <f ca="1">PAJAK[[#This Row],[DPP]]+PAJAK[[#This Row],[PPN 11%]]</f>
        <v>#VALUE!</v>
      </c>
      <c r="R21" s="1" t="str">
        <f ca="1">IF(ISNUMBER(PAJAK[[#This Row],[//]]),PPN,"")</f>
        <v/>
      </c>
    </row>
    <row r="22" spans="1:18">
      <c r="A22" t="str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/>
      </c>
      <c r="B22" s="11" t="str">
        <f ca="1">HYPERLINK("[NOTA_.XLSX]NOTA!c"&amp;PAJAK[[#This Row],[//]],IF(PAJAK[[#This Row],[//]]="","",INDEX(INDIRECT("NOTA["&amp;PAJAK[#Headers]&amp;"]"),PAJAK[[#This Row],[//]]-2)))</f>
        <v/>
      </c>
      <c r="C22" t="str">
        <f ca="1">IF(PAJAK[[#This Row],[//]]="","",INDEX(INDIRECT("NOTA["&amp;PAJAK[#Headers]&amp;"]"),PAJAK[[#This Row],[//]]-2))</f>
        <v/>
      </c>
      <c r="D22" t="e">
        <f ca="1">MATCH(PAJAK[[#This Row],[ID]],[2]!Table1[ID],0)</f>
        <v>#REF!</v>
      </c>
      <c r="E22" s="4" t="str">
        <f ca="1">IF(PAJAK[[#This Row],[ID]]="","",COUNTIF(NOTA[ID_H],PAJAK[[#This Row],[ID]]))</f>
        <v/>
      </c>
      <c r="F22" t="str">
        <f ca="1">IF(PAJAK[[#This Row],[//]]="","",INDEX(CONV[2],MATCH(INDEX(INDIRECT("NOTA["&amp;PAJAK[#Headers]&amp;"]"),PAJAK[[#This Row],[//]]-2),CONV[1],0),0))</f>
        <v/>
      </c>
      <c r="G22" s="2" t="str">
        <f ca="1">IF(PAJAK[[#This Row],[//]]="","",INDEX(NOTA[TGL_H],PAJAK[[#This Row],[//]]-2))</f>
        <v/>
      </c>
      <c r="H22" s="2" t="str">
        <f ca="1">IF(PAJAK[[#This Row],[//]]="","",INDEX(INDIRECT("NOTA["&amp;PAJAK[#Headers]&amp;"]"),PAJAK[[#This Row],[//]]-2))</f>
        <v/>
      </c>
      <c r="I22" s="4" t="str">
        <f ca="1">IF(PAJAK[[#This Row],[//]]="","",INDEX(INDIRECT("NOTA["&amp;PAJAK[#Headers]&amp;"]"),PAJAK[[#This Row],[//]]-2))</f>
        <v/>
      </c>
      <c r="J22" t="e">
        <f ca="1">IF(OR(PAJAK[[#This Row],[//]]="",INDEX(INDIRECT("NOTA["&amp;PAJAK[#Headers]&amp;"]"),PAJAK[[#This Row],[//]]-2)=""),"",INDEX(INDIRECT("NOTA["&amp;PAJAK[#Headers]&amp;"]"),PAJAK[[#This Row],[//]]-2))</f>
        <v>#VALUE!</v>
      </c>
      <c r="K22" s="13" t="str">
        <f ca="1">IF(PAJAK[[#This Row],[//]]="","",SUMIF(NOTA[ID_H],PAJAK[[#This Row],[ID]],NOTA[JUMLAH]))</f>
        <v/>
      </c>
      <c r="L22" s="13" t="str">
        <f ca="1">IF(PAJAK[[#This Row],[//]]="","",SUMIF(NOTA[ID_H],PAJAK[[#This Row],[ID]],NOTA[DISC]))</f>
        <v/>
      </c>
      <c r="M22" s="13" t="e">
        <f ca="1">PAJAK[[#This Row],[SUB TOTAL]]-PAJAK[[#This Row],[DISKON]]</f>
        <v>#VALUE!</v>
      </c>
      <c r="N22" s="13" t="str">
        <f ca="1">IF(PAJAK[[#This Row],[//]]="","",INDEX(INDIRECT("NOTA["&amp;PAJAK[#Headers]&amp;"]"),PAJAK[[#This Row],[//]]-2+PAJAK[[#This Row],[QB]]-1))</f>
        <v/>
      </c>
      <c r="O22" s="13" t="e">
        <f ca="1">(PAJAK[[#This Row],[SUB T-DISC]]-PAJAK[[#This Row],[DISC DLL]])/111%</f>
        <v>#VALUE!</v>
      </c>
      <c r="P22" s="13" t="e">
        <f ca="1">PAJAK[[#This Row],[DPP]]*PAJAK[[#This Row],[PPN]]</f>
        <v>#VALUE!</v>
      </c>
      <c r="Q22" s="13" t="e">
        <f ca="1">PAJAK[[#This Row],[DPP]]+PAJAK[[#This Row],[PPN 11%]]</f>
        <v>#VALUE!</v>
      </c>
      <c r="R22" s="1" t="str">
        <f ca="1">IF(ISNUMBER(PAJAK[[#This Row],[//]]),PPN,"")</f>
        <v/>
      </c>
    </row>
    <row r="23" spans="1:18">
      <c r="A23" t="str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/>
      </c>
      <c r="B23" t="str">
        <f ca="1">HYPERLINK("[NOTA_.XLSX]NOTA!c"&amp;PAJAK[[#This Row],[//]],IF(PAJAK[[#This Row],[//]]="","",INDEX(INDIRECT("NOTA["&amp;PAJAK[#Headers]&amp;"]"),PAJAK[[#This Row],[//]]-2)))</f>
        <v/>
      </c>
      <c r="C23" t="str">
        <f ca="1">IF(PAJAK[[#This Row],[//]]="","",INDEX(INDIRECT("NOTA["&amp;PAJAK[#Headers]&amp;"]"),PAJAK[[#This Row],[//]]-2))</f>
        <v/>
      </c>
      <c r="D23" t="e">
        <f ca="1">MATCH(PAJAK[[#This Row],[ID]],[2]!Table1[ID],0)</f>
        <v>#REF!</v>
      </c>
      <c r="E23" s="4" t="str">
        <f ca="1">IF(PAJAK[[#This Row],[ID]]="","",COUNTIF(NOTA[ID_H],PAJAK[[#This Row],[ID]]))</f>
        <v/>
      </c>
      <c r="F23" t="str">
        <f ca="1">IF(PAJAK[[#This Row],[//]]="","",INDEX(CONV[2],MATCH(INDEX(INDIRECT("NOTA["&amp;PAJAK[#Headers]&amp;"]"),PAJAK[[#This Row],[//]]-2),CONV[1],0),0))</f>
        <v/>
      </c>
      <c r="G23" s="2" t="str">
        <f ca="1">IF(PAJAK[[#This Row],[//]]="","",INDEX(NOTA[TGL_H],PAJAK[[#This Row],[//]]-2))</f>
        <v/>
      </c>
      <c r="H23" s="2" t="str">
        <f ca="1">IF(PAJAK[[#This Row],[//]]="","",INDEX(INDIRECT("NOTA["&amp;PAJAK[#Headers]&amp;"]"),PAJAK[[#This Row],[//]]-2))</f>
        <v/>
      </c>
      <c r="I23" s="4" t="str">
        <f ca="1">IF(PAJAK[[#This Row],[//]]="","",INDEX(INDIRECT("NOTA["&amp;PAJAK[#Headers]&amp;"]"),PAJAK[[#This Row],[//]]-2))</f>
        <v/>
      </c>
      <c r="J23" t="e">
        <f ca="1">IF(OR(PAJAK[[#This Row],[//]]="",INDEX(INDIRECT("NOTA["&amp;PAJAK[#Headers]&amp;"]"),PAJAK[[#This Row],[//]]-2)=""),"",INDEX(INDIRECT("NOTA["&amp;PAJAK[#Headers]&amp;"]"),PAJAK[[#This Row],[//]]-2))</f>
        <v>#VALUE!</v>
      </c>
      <c r="K23" s="13" t="str">
        <f ca="1">IF(PAJAK[[#This Row],[//]]="","",SUMIF(NOTA[ID_H],PAJAK[[#This Row],[ID]],NOTA[JUMLAH]))</f>
        <v/>
      </c>
      <c r="L23" s="13" t="str">
        <f ca="1">IF(PAJAK[[#This Row],[//]]="","",SUMIF(NOTA[ID_H],PAJAK[[#This Row],[ID]],NOTA[DISC]))</f>
        <v/>
      </c>
      <c r="M23" s="13" t="e">
        <f ca="1">PAJAK[[#This Row],[SUB TOTAL]]-PAJAK[[#This Row],[DISKON]]</f>
        <v>#VALUE!</v>
      </c>
      <c r="N23" s="13" t="str">
        <f ca="1">IF(PAJAK[[#This Row],[//]]="","",INDEX(INDIRECT("NOTA["&amp;PAJAK[#Headers]&amp;"]"),PAJAK[[#This Row],[//]]-2+PAJAK[[#This Row],[QB]]-1))</f>
        <v/>
      </c>
      <c r="O23" s="13" t="e">
        <f ca="1">(PAJAK[[#This Row],[SUB T-DISC]]-PAJAK[[#This Row],[DISC DLL]])/111%</f>
        <v>#VALUE!</v>
      </c>
      <c r="P23" s="13" t="e">
        <f ca="1">PAJAK[[#This Row],[DPP]]*PAJAK[[#This Row],[PPN]]</f>
        <v>#VALUE!</v>
      </c>
      <c r="Q23" s="13" t="e">
        <f ca="1">PAJAK[[#This Row],[DPP]]+PAJAK[[#This Row],[PPN 11%]]</f>
        <v>#VALUE!</v>
      </c>
      <c r="R23" s="1" t="str">
        <f ca="1">IF(ISNUMBER(PAJAK[[#This Row],[//]]),PPN,"")</f>
        <v/>
      </c>
    </row>
    <row r="24" spans="1:18">
      <c r="A24" t="str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/>
      </c>
      <c r="B24" s="12" t="str">
        <f ca="1">HYPERLINK("[NOTA_.XLSX]NOTA!c"&amp;PAJAK[[#This Row],[//]],IF(PAJAK[[#This Row],[//]]="","",INDEX(INDIRECT("NOTA["&amp;PAJAK[#Headers]&amp;"]"),PAJAK[[#This Row],[//]]-2)))</f>
        <v/>
      </c>
      <c r="C24" t="str">
        <f ca="1">IF(PAJAK[[#This Row],[//]]="","",INDEX(INDIRECT("NOTA["&amp;PAJAK[#Headers]&amp;"]"),PAJAK[[#This Row],[//]]-2))</f>
        <v/>
      </c>
      <c r="D24" t="e">
        <f ca="1">MATCH(PAJAK[[#This Row],[ID]],[2]!Table1[ID],0)</f>
        <v>#REF!</v>
      </c>
      <c r="E24" s="4" t="str">
        <f ca="1">IF(PAJAK[[#This Row],[ID]]="","",COUNTIF(NOTA[ID_H],PAJAK[[#This Row],[ID]]))</f>
        <v/>
      </c>
      <c r="F24" t="str">
        <f ca="1">IF(PAJAK[[#This Row],[//]]="","",INDEX(CONV[2],MATCH(INDEX(INDIRECT("NOTA["&amp;PAJAK[#Headers]&amp;"]"),PAJAK[[#This Row],[//]]-2),CONV[1],0),0))</f>
        <v/>
      </c>
      <c r="G24" s="2" t="str">
        <f ca="1">IF(PAJAK[[#This Row],[//]]="","",INDEX(NOTA[TGL_H],PAJAK[[#This Row],[//]]-2))</f>
        <v/>
      </c>
      <c r="H24" s="2" t="str">
        <f ca="1">IF(PAJAK[[#This Row],[//]]="","",INDEX(INDIRECT("NOTA["&amp;PAJAK[#Headers]&amp;"]"),PAJAK[[#This Row],[//]]-2))</f>
        <v/>
      </c>
      <c r="I24" s="4" t="str">
        <f ca="1">IF(PAJAK[[#This Row],[//]]="","",INDEX(INDIRECT("NOTA["&amp;PAJAK[#Headers]&amp;"]"),PAJAK[[#This Row],[//]]-2))</f>
        <v/>
      </c>
      <c r="J24" t="e">
        <f ca="1">IF(OR(PAJAK[[#This Row],[//]]="",INDEX(INDIRECT("NOTA["&amp;PAJAK[#Headers]&amp;"]"),PAJAK[[#This Row],[//]]-2)=""),"",INDEX(INDIRECT("NOTA["&amp;PAJAK[#Headers]&amp;"]"),PAJAK[[#This Row],[//]]-2))</f>
        <v>#VALUE!</v>
      </c>
      <c r="K24" s="13" t="str">
        <f ca="1">IF(PAJAK[[#This Row],[//]]="","",SUMIF(NOTA[ID_H],PAJAK[[#This Row],[ID]],NOTA[JUMLAH]))</f>
        <v/>
      </c>
      <c r="L24" s="13" t="str">
        <f ca="1">IF(PAJAK[[#This Row],[//]]="","",SUMIF(NOTA[ID_H],PAJAK[[#This Row],[ID]],NOTA[DISC]))</f>
        <v/>
      </c>
      <c r="M24" s="13" t="e">
        <f ca="1">PAJAK[[#This Row],[SUB TOTAL]]-PAJAK[[#This Row],[DISKON]]</f>
        <v>#VALUE!</v>
      </c>
      <c r="N24" s="13" t="str">
        <f ca="1">IF(PAJAK[[#This Row],[//]]="","",INDEX(INDIRECT("NOTA["&amp;PAJAK[#Headers]&amp;"]"),PAJAK[[#This Row],[//]]-2+PAJAK[[#This Row],[QB]]-1))</f>
        <v/>
      </c>
      <c r="O24" s="13" t="e">
        <f ca="1">(PAJAK[[#This Row],[SUB T-DISC]]-PAJAK[[#This Row],[DISC DLL]])/111%</f>
        <v>#VALUE!</v>
      </c>
      <c r="P24" s="13" t="e">
        <f ca="1">PAJAK[[#This Row],[DPP]]*PAJAK[[#This Row],[PPN]]</f>
        <v>#VALUE!</v>
      </c>
      <c r="Q24" s="13" t="e">
        <f ca="1">PAJAK[[#This Row],[DPP]]+PAJAK[[#This Row],[PPN 11%]]</f>
        <v>#VALUE!</v>
      </c>
      <c r="R24" s="1" t="str">
        <f ca="1">IF(ISNUMBER(PAJAK[[#This Row],[//]]),PPN,"")</f>
        <v/>
      </c>
    </row>
    <row r="25" spans="1:18">
      <c r="A25" t="str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/>
      </c>
      <c r="B25" s="11" t="str">
        <f ca="1">HYPERLINK("[NOTA_.XLSX]NOTA!c"&amp;PAJAK[[#This Row],[//]],IF(PAJAK[[#This Row],[//]]="","",INDEX(INDIRECT("NOTA["&amp;PAJAK[#Headers]&amp;"]"),PAJAK[[#This Row],[//]]-2)))</f>
        <v/>
      </c>
      <c r="C25" t="str">
        <f ca="1">IF(PAJAK[[#This Row],[//]]="","",INDEX(INDIRECT("NOTA["&amp;PAJAK[#Headers]&amp;"]"),PAJAK[[#This Row],[//]]-2))</f>
        <v/>
      </c>
      <c r="D25" t="e">
        <f ca="1">MATCH(PAJAK[[#This Row],[ID]],[2]!Table1[ID],0)</f>
        <v>#REF!</v>
      </c>
      <c r="E25" s="4" t="str">
        <f ca="1">IF(PAJAK[[#This Row],[ID]]="","",COUNTIF(NOTA[ID_H],PAJAK[[#This Row],[ID]]))</f>
        <v/>
      </c>
      <c r="F25" t="str">
        <f ca="1">IF(PAJAK[[#This Row],[//]]="","",INDEX(CONV[2],MATCH(INDEX(INDIRECT("NOTA["&amp;PAJAK[#Headers]&amp;"]"),PAJAK[[#This Row],[//]]-2),CONV[1],0),0))</f>
        <v/>
      </c>
      <c r="G25" s="2" t="str">
        <f ca="1">IF(PAJAK[[#This Row],[//]]="","",INDEX(NOTA[TGL_H],PAJAK[[#This Row],[//]]-2))</f>
        <v/>
      </c>
      <c r="H25" s="2" t="str">
        <f ca="1">IF(PAJAK[[#This Row],[//]]="","",INDEX(INDIRECT("NOTA["&amp;PAJAK[#Headers]&amp;"]"),PAJAK[[#This Row],[//]]-2))</f>
        <v/>
      </c>
      <c r="I25" s="4" t="str">
        <f ca="1">IF(PAJAK[[#This Row],[//]]="","",INDEX(INDIRECT("NOTA["&amp;PAJAK[#Headers]&amp;"]"),PAJAK[[#This Row],[//]]-2))</f>
        <v/>
      </c>
      <c r="J25" t="e">
        <f ca="1">IF(OR(PAJAK[[#This Row],[//]]="",INDEX(INDIRECT("NOTA["&amp;PAJAK[#Headers]&amp;"]"),PAJAK[[#This Row],[//]]-2)=""),"",INDEX(INDIRECT("NOTA["&amp;PAJAK[#Headers]&amp;"]"),PAJAK[[#This Row],[//]]-2))</f>
        <v>#VALUE!</v>
      </c>
      <c r="K25" s="13" t="str">
        <f ca="1">IF(PAJAK[[#This Row],[//]]="","",SUMIF(NOTA[ID_H],PAJAK[[#This Row],[ID]],NOTA[JUMLAH]))</f>
        <v/>
      </c>
      <c r="L25" s="13" t="str">
        <f ca="1">IF(PAJAK[[#This Row],[//]]="","",SUMIF(NOTA[ID_H],PAJAK[[#This Row],[ID]],NOTA[DISC]))</f>
        <v/>
      </c>
      <c r="M25" s="13" t="e">
        <f ca="1">PAJAK[[#This Row],[SUB TOTAL]]-PAJAK[[#This Row],[DISKON]]</f>
        <v>#VALUE!</v>
      </c>
      <c r="N25" s="13" t="str">
        <f ca="1">IF(PAJAK[[#This Row],[//]]="","",INDEX(INDIRECT("NOTA["&amp;PAJAK[#Headers]&amp;"]"),PAJAK[[#This Row],[//]]-2+PAJAK[[#This Row],[QB]]-1))</f>
        <v/>
      </c>
      <c r="O25" s="13" t="e">
        <f ca="1">(PAJAK[[#This Row],[SUB T-DISC]]-PAJAK[[#This Row],[DISC DLL]])/111%</f>
        <v>#VALUE!</v>
      </c>
      <c r="P25" s="13" t="e">
        <f ca="1">PAJAK[[#This Row],[DPP]]*PAJAK[[#This Row],[PPN]]</f>
        <v>#VALUE!</v>
      </c>
      <c r="Q25" s="13" t="e">
        <f ca="1">PAJAK[[#This Row],[DPP]]+PAJAK[[#This Row],[PPN 11%]]</f>
        <v>#VALUE!</v>
      </c>
      <c r="R25" s="1" t="str">
        <f ca="1">IF(ISNUMBER(PAJAK[[#This Row],[//]]),PPN,"")</f>
        <v/>
      </c>
    </row>
    <row r="26" spans="1:18">
      <c r="A26" t="str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/>
      </c>
      <c r="B26" t="str">
        <f ca="1">HYPERLINK("[NOTA_.XLSX]NOTA!c"&amp;PAJAK[[#This Row],[//]],IF(PAJAK[[#This Row],[//]]="","",INDEX(INDIRECT("NOTA["&amp;PAJAK[#Headers]&amp;"]"),PAJAK[[#This Row],[//]]-2)))</f>
        <v/>
      </c>
      <c r="C26" t="str">
        <f ca="1">IF(PAJAK[[#This Row],[//]]="","",INDEX(INDIRECT("NOTA["&amp;PAJAK[#Headers]&amp;"]"),PAJAK[[#This Row],[//]]-2))</f>
        <v/>
      </c>
      <c r="D26" t="e">
        <f ca="1">MATCH(PAJAK[[#This Row],[ID]],[2]!Table1[ID],0)</f>
        <v>#REF!</v>
      </c>
      <c r="E26" s="4" t="str">
        <f ca="1">IF(PAJAK[[#This Row],[ID]]="","",COUNTIF(NOTA[ID_H],PAJAK[[#This Row],[ID]]))</f>
        <v/>
      </c>
      <c r="F26" t="str">
        <f ca="1">IF(PAJAK[[#This Row],[//]]="","",INDEX(CONV[2],MATCH(INDEX(INDIRECT("NOTA["&amp;PAJAK[#Headers]&amp;"]"),PAJAK[[#This Row],[//]]-2),CONV[1],0),0))</f>
        <v/>
      </c>
      <c r="G26" s="2" t="str">
        <f ca="1">IF(PAJAK[[#This Row],[//]]="","",INDEX(NOTA[TGL_H],PAJAK[[#This Row],[//]]-2))</f>
        <v/>
      </c>
      <c r="H26" s="2" t="str">
        <f ca="1">IF(PAJAK[[#This Row],[//]]="","",INDEX(INDIRECT("NOTA["&amp;PAJAK[#Headers]&amp;"]"),PAJAK[[#This Row],[//]]-2))</f>
        <v/>
      </c>
      <c r="I26" s="4" t="str">
        <f ca="1">IF(PAJAK[[#This Row],[//]]="","",INDEX(INDIRECT("NOTA["&amp;PAJAK[#Headers]&amp;"]"),PAJAK[[#This Row],[//]]-2))</f>
        <v/>
      </c>
      <c r="J26" t="e">
        <f ca="1">IF(OR(PAJAK[[#This Row],[//]]="",INDEX(INDIRECT("NOTA["&amp;PAJAK[#Headers]&amp;"]"),PAJAK[[#This Row],[//]]-2)=""),"",INDEX(INDIRECT("NOTA["&amp;PAJAK[#Headers]&amp;"]"),PAJAK[[#This Row],[//]]-2))</f>
        <v>#VALUE!</v>
      </c>
      <c r="K26" s="13" t="str">
        <f ca="1">IF(PAJAK[[#This Row],[//]]="","",SUMIF(NOTA[ID_H],PAJAK[[#This Row],[ID]],NOTA[JUMLAH]))</f>
        <v/>
      </c>
      <c r="L26" s="13" t="str">
        <f ca="1">IF(PAJAK[[#This Row],[//]]="","",SUMIF(NOTA[ID_H],PAJAK[[#This Row],[ID]],NOTA[DISC]))</f>
        <v/>
      </c>
      <c r="M26" s="13" t="e">
        <f ca="1">PAJAK[[#This Row],[SUB TOTAL]]-PAJAK[[#This Row],[DISKON]]</f>
        <v>#VALUE!</v>
      </c>
      <c r="N26" s="13" t="str">
        <f ca="1">IF(PAJAK[[#This Row],[//]]="","",INDEX(INDIRECT("NOTA["&amp;PAJAK[#Headers]&amp;"]"),PAJAK[[#This Row],[//]]-2+PAJAK[[#This Row],[QB]]-1))</f>
        <v/>
      </c>
      <c r="O26" s="13" t="e">
        <f ca="1">(PAJAK[[#This Row],[SUB T-DISC]]-PAJAK[[#This Row],[DISC DLL]])/111%</f>
        <v>#VALUE!</v>
      </c>
      <c r="P26" s="13" t="e">
        <f ca="1">PAJAK[[#This Row],[DPP]]*PAJAK[[#This Row],[PPN]]</f>
        <v>#VALUE!</v>
      </c>
      <c r="Q26" s="13" t="e">
        <f ca="1">PAJAK[[#This Row],[DPP]]+PAJAK[[#This Row],[PPN 11%]]</f>
        <v>#VALUE!</v>
      </c>
      <c r="R26" s="1" t="str">
        <f ca="1">IF(ISNUMBER(PAJAK[[#This Row],[//]]),PPN,"")</f>
        <v/>
      </c>
    </row>
    <row r="27" spans="1:18">
      <c r="A27" t="str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/>
      </c>
      <c r="B27" s="11" t="str">
        <f ca="1">HYPERLINK("[NOTA_.XLSX]NOTA!c"&amp;PAJAK[[#This Row],[//]],IF(PAJAK[[#This Row],[//]]="","",INDEX(INDIRECT("NOTA["&amp;PAJAK[#Headers]&amp;"]"),PAJAK[[#This Row],[//]]-2)))</f>
        <v/>
      </c>
      <c r="C27" t="str">
        <f ca="1">IF(PAJAK[[#This Row],[//]]="","",INDEX(INDIRECT("NOTA["&amp;PAJAK[#Headers]&amp;"]"),PAJAK[[#This Row],[//]]-2))</f>
        <v/>
      </c>
      <c r="D27" t="e">
        <f ca="1">MATCH(PAJAK[[#This Row],[ID]],[2]!Table1[ID],0)</f>
        <v>#REF!</v>
      </c>
      <c r="E27" s="4" t="str">
        <f ca="1">IF(PAJAK[[#This Row],[ID]]="","",COUNTIF(NOTA[ID_H],PAJAK[[#This Row],[ID]]))</f>
        <v/>
      </c>
      <c r="F27" t="str">
        <f ca="1">IF(PAJAK[[#This Row],[//]]="","",INDEX(CONV[2],MATCH(INDEX(INDIRECT("NOTA["&amp;PAJAK[#Headers]&amp;"]"),PAJAK[[#This Row],[//]]-2),CONV[1],0),0))</f>
        <v/>
      </c>
      <c r="G27" s="2" t="str">
        <f ca="1">IF(PAJAK[[#This Row],[//]]="","",INDEX(NOTA[TGL_H],PAJAK[[#This Row],[//]]-2))</f>
        <v/>
      </c>
      <c r="H27" s="2" t="str">
        <f ca="1">IF(PAJAK[[#This Row],[//]]="","",INDEX(INDIRECT("NOTA["&amp;PAJAK[#Headers]&amp;"]"),PAJAK[[#This Row],[//]]-2))</f>
        <v/>
      </c>
      <c r="I27" s="4" t="str">
        <f ca="1">IF(PAJAK[[#This Row],[//]]="","",INDEX(INDIRECT("NOTA["&amp;PAJAK[#Headers]&amp;"]"),PAJAK[[#This Row],[//]]-2))</f>
        <v/>
      </c>
      <c r="J27" t="e">
        <f ca="1">IF(OR(PAJAK[[#This Row],[//]]="",INDEX(INDIRECT("NOTA["&amp;PAJAK[#Headers]&amp;"]"),PAJAK[[#This Row],[//]]-2)=""),"",INDEX(INDIRECT("NOTA["&amp;PAJAK[#Headers]&amp;"]"),PAJAK[[#This Row],[//]]-2))</f>
        <v>#VALUE!</v>
      </c>
      <c r="K27" s="13" t="str">
        <f ca="1">IF(PAJAK[[#This Row],[//]]="","",SUMIF(NOTA[ID_H],PAJAK[[#This Row],[ID]],NOTA[JUMLAH]))</f>
        <v/>
      </c>
      <c r="L27" s="13" t="str">
        <f ca="1">IF(PAJAK[[#This Row],[//]]="","",SUMIF(NOTA[ID_H],PAJAK[[#This Row],[ID]],NOTA[DISC]))</f>
        <v/>
      </c>
      <c r="M27" s="13" t="e">
        <f ca="1">PAJAK[[#This Row],[SUB TOTAL]]-PAJAK[[#This Row],[DISKON]]</f>
        <v>#VALUE!</v>
      </c>
      <c r="N27" s="13" t="str">
        <f ca="1">IF(PAJAK[[#This Row],[//]]="","",INDEX(INDIRECT("NOTA["&amp;PAJAK[#Headers]&amp;"]"),PAJAK[[#This Row],[//]]-2+PAJAK[[#This Row],[QB]]-1))</f>
        <v/>
      </c>
      <c r="O27" s="13" t="e">
        <f ca="1">(PAJAK[[#This Row],[SUB T-DISC]]-PAJAK[[#This Row],[DISC DLL]])/111%</f>
        <v>#VALUE!</v>
      </c>
      <c r="P27" s="13" t="e">
        <f ca="1">PAJAK[[#This Row],[DPP]]*PAJAK[[#This Row],[PPN]]</f>
        <v>#VALUE!</v>
      </c>
      <c r="Q27" s="13" t="e">
        <f ca="1">PAJAK[[#This Row],[DPP]]+PAJAK[[#This Row],[PPN 11%]]</f>
        <v>#VALUE!</v>
      </c>
      <c r="R27" s="1" t="str">
        <f ca="1">IF(ISNUMBER(PAJAK[[#This Row],[//]]),PPN,"")</f>
        <v/>
      </c>
    </row>
    <row r="28" spans="1:18">
      <c r="A28" t="str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/>
      </c>
      <c r="B28" s="12" t="str">
        <f ca="1">HYPERLINK("[NOTA_.XLSX]NOTA!c"&amp;PAJAK[[#This Row],[//]],IF(PAJAK[[#This Row],[//]]="","",INDEX(INDIRECT("NOTA["&amp;PAJAK[#Headers]&amp;"]"),PAJAK[[#This Row],[//]]-2)))</f>
        <v/>
      </c>
      <c r="C28" t="str">
        <f ca="1">IF(PAJAK[[#This Row],[//]]="","",INDEX(INDIRECT("NOTA["&amp;PAJAK[#Headers]&amp;"]"),PAJAK[[#This Row],[//]]-2))</f>
        <v/>
      </c>
      <c r="D28" t="e">
        <f ca="1">MATCH(PAJAK[[#This Row],[ID]],[2]!Table1[ID],0)</f>
        <v>#REF!</v>
      </c>
      <c r="E28" s="4" t="str">
        <f ca="1">IF(PAJAK[[#This Row],[ID]]="","",COUNTIF(NOTA[ID_H],PAJAK[[#This Row],[ID]]))</f>
        <v/>
      </c>
      <c r="F28" t="str">
        <f ca="1">IF(PAJAK[[#This Row],[//]]="","",INDEX(CONV[2],MATCH(INDEX(INDIRECT("NOTA["&amp;PAJAK[#Headers]&amp;"]"),PAJAK[[#This Row],[//]]-2),CONV[1],0),0))</f>
        <v/>
      </c>
      <c r="G28" s="2" t="str">
        <f ca="1">IF(PAJAK[[#This Row],[//]]="","",INDEX(NOTA[TGL_H],PAJAK[[#This Row],[//]]-2))</f>
        <v/>
      </c>
      <c r="H28" s="2" t="str">
        <f ca="1">IF(PAJAK[[#This Row],[//]]="","",INDEX(INDIRECT("NOTA["&amp;PAJAK[#Headers]&amp;"]"),PAJAK[[#This Row],[//]]-2))</f>
        <v/>
      </c>
      <c r="I28" s="4" t="str">
        <f ca="1">IF(PAJAK[[#This Row],[//]]="","",INDEX(INDIRECT("NOTA["&amp;PAJAK[#Headers]&amp;"]"),PAJAK[[#This Row],[//]]-2))</f>
        <v/>
      </c>
      <c r="J28" t="e">
        <f ca="1">IF(OR(PAJAK[[#This Row],[//]]="",INDEX(INDIRECT("NOTA["&amp;PAJAK[#Headers]&amp;"]"),PAJAK[[#This Row],[//]]-2)=""),"",INDEX(INDIRECT("NOTA["&amp;PAJAK[#Headers]&amp;"]"),PAJAK[[#This Row],[//]]-2))</f>
        <v>#VALUE!</v>
      </c>
      <c r="K28" s="13" t="str">
        <f ca="1">IF(PAJAK[[#This Row],[//]]="","",SUMIF(NOTA[ID_H],PAJAK[[#This Row],[ID]],NOTA[JUMLAH]))</f>
        <v/>
      </c>
      <c r="L28" s="13" t="str">
        <f ca="1">IF(PAJAK[[#This Row],[//]]="","",SUMIF(NOTA[ID_H],PAJAK[[#This Row],[ID]],NOTA[DISC]))</f>
        <v/>
      </c>
      <c r="M28" s="13" t="e">
        <f ca="1">PAJAK[[#This Row],[SUB TOTAL]]-PAJAK[[#This Row],[DISKON]]</f>
        <v>#VALUE!</v>
      </c>
      <c r="N28" s="13" t="str">
        <f ca="1">IF(PAJAK[[#This Row],[//]]="","",INDEX(INDIRECT("NOTA["&amp;PAJAK[#Headers]&amp;"]"),PAJAK[[#This Row],[//]]-2+PAJAK[[#This Row],[QB]]-1))</f>
        <v/>
      </c>
      <c r="O28" s="13" t="e">
        <f ca="1">(PAJAK[[#This Row],[SUB T-DISC]]-PAJAK[[#This Row],[DISC DLL]])/111%</f>
        <v>#VALUE!</v>
      </c>
      <c r="P28" s="13" t="e">
        <f ca="1">PAJAK[[#This Row],[DPP]]*PAJAK[[#This Row],[PPN]]</f>
        <v>#VALUE!</v>
      </c>
      <c r="Q28" s="13" t="e">
        <f ca="1">PAJAK[[#This Row],[DPP]]+PAJAK[[#This Row],[PPN 11%]]</f>
        <v>#VALUE!</v>
      </c>
      <c r="R28" s="1" t="str">
        <f ca="1">IF(ISNUMBER(PAJAK[[#This Row],[//]]),PPN,"")</f>
        <v/>
      </c>
    </row>
    <row r="29" spans="1:18">
      <c r="A29" t="str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/>
      </c>
      <c r="B29" s="11" t="str">
        <f ca="1">HYPERLINK("[NOTA_.XLSX]NOTA!c"&amp;PAJAK[[#This Row],[//]],IF(PAJAK[[#This Row],[//]]="","",INDEX(INDIRECT("NOTA["&amp;PAJAK[#Headers]&amp;"]"),PAJAK[[#This Row],[//]]-2)))</f>
        <v/>
      </c>
      <c r="C29" t="str">
        <f ca="1">IF(PAJAK[[#This Row],[//]]="","",INDEX(INDIRECT("NOTA["&amp;PAJAK[#Headers]&amp;"]"),PAJAK[[#This Row],[//]]-2))</f>
        <v/>
      </c>
      <c r="D29" t="e">
        <f ca="1">MATCH(PAJAK[[#This Row],[ID]],[2]!Table1[ID],0)</f>
        <v>#REF!</v>
      </c>
      <c r="E29" s="4" t="str">
        <f ca="1">IF(PAJAK[[#This Row],[ID]]="","",COUNTIF(NOTA[ID_H],PAJAK[[#This Row],[ID]]))</f>
        <v/>
      </c>
      <c r="F29" t="str">
        <f ca="1">IF(PAJAK[[#This Row],[//]]="","",INDEX(CONV[2],MATCH(INDEX(INDIRECT("NOTA["&amp;PAJAK[#Headers]&amp;"]"),PAJAK[[#This Row],[//]]-2),CONV[1],0),0))</f>
        <v/>
      </c>
      <c r="G29" s="2" t="str">
        <f ca="1">IF(PAJAK[[#This Row],[//]]="","",INDEX(NOTA[TGL_H],PAJAK[[#This Row],[//]]-2))</f>
        <v/>
      </c>
      <c r="H29" s="2" t="str">
        <f ca="1">IF(PAJAK[[#This Row],[//]]="","",INDEX(INDIRECT("NOTA["&amp;PAJAK[#Headers]&amp;"]"),PAJAK[[#This Row],[//]]-2))</f>
        <v/>
      </c>
      <c r="I29" s="4" t="str">
        <f ca="1">IF(PAJAK[[#This Row],[//]]="","",INDEX(INDIRECT("NOTA["&amp;PAJAK[#Headers]&amp;"]"),PAJAK[[#This Row],[//]]-2))</f>
        <v/>
      </c>
      <c r="J29" t="e">
        <f ca="1">IF(OR(PAJAK[[#This Row],[//]]="",INDEX(INDIRECT("NOTA["&amp;PAJAK[#Headers]&amp;"]"),PAJAK[[#This Row],[//]]-2)=""),"",INDEX(INDIRECT("NOTA["&amp;PAJAK[#Headers]&amp;"]"),PAJAK[[#This Row],[//]]-2))</f>
        <v>#VALUE!</v>
      </c>
      <c r="K29" s="13" t="str">
        <f ca="1">IF(PAJAK[[#This Row],[//]]="","",SUMIF(NOTA[ID_H],PAJAK[[#This Row],[ID]],NOTA[JUMLAH]))</f>
        <v/>
      </c>
      <c r="L29" s="13" t="str">
        <f ca="1">IF(PAJAK[[#This Row],[//]]="","",SUMIF(NOTA[ID_H],PAJAK[[#This Row],[ID]],NOTA[DISC]))</f>
        <v/>
      </c>
      <c r="M29" s="13" t="e">
        <f ca="1">PAJAK[[#This Row],[SUB TOTAL]]-PAJAK[[#This Row],[DISKON]]</f>
        <v>#VALUE!</v>
      </c>
      <c r="N29" s="13" t="str">
        <f ca="1">IF(PAJAK[[#This Row],[//]]="","",INDEX(INDIRECT("NOTA["&amp;PAJAK[#Headers]&amp;"]"),PAJAK[[#This Row],[//]]-2+PAJAK[[#This Row],[QB]]-1))</f>
        <v/>
      </c>
      <c r="O29" s="13" t="e">
        <f ca="1">(PAJAK[[#This Row],[SUB T-DISC]]-PAJAK[[#This Row],[DISC DLL]])/111%</f>
        <v>#VALUE!</v>
      </c>
      <c r="P29" s="13" t="e">
        <f ca="1">PAJAK[[#This Row],[DPP]]*PAJAK[[#This Row],[PPN]]</f>
        <v>#VALUE!</v>
      </c>
      <c r="Q29" s="13" t="e">
        <f ca="1">PAJAK[[#This Row],[DPP]]+PAJAK[[#This Row],[PPN 11%]]</f>
        <v>#VALUE!</v>
      </c>
      <c r="R29" s="1" t="str">
        <f ca="1">IF(ISNUMBER(PAJAK[[#This Row],[//]]),PPN,"")</f>
        <v/>
      </c>
    </row>
    <row r="30" spans="1:18">
      <c r="A30" t="str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/>
      </c>
      <c r="B30" t="str">
        <f ca="1">HYPERLINK("[NOTA_.XLSX]NOTA!c"&amp;PAJAK[[#This Row],[//]],IF(PAJAK[[#This Row],[//]]="","",INDEX(INDIRECT("NOTA["&amp;PAJAK[#Headers]&amp;"]"),PAJAK[[#This Row],[//]]-2)))</f>
        <v/>
      </c>
      <c r="C30" t="str">
        <f ca="1">IF(PAJAK[[#This Row],[//]]="","",INDEX(INDIRECT("NOTA["&amp;PAJAK[#Headers]&amp;"]"),PAJAK[[#This Row],[//]]-2))</f>
        <v/>
      </c>
      <c r="D30" t="e">
        <f ca="1">MATCH(PAJAK[[#This Row],[ID]],[2]!Table1[ID],0)</f>
        <v>#REF!</v>
      </c>
      <c r="E30" s="4" t="str">
        <f ca="1">IF(PAJAK[[#This Row],[ID]]="","",COUNTIF(NOTA[ID_H],PAJAK[[#This Row],[ID]]))</f>
        <v/>
      </c>
      <c r="F30" t="str">
        <f ca="1">IF(PAJAK[[#This Row],[//]]="","",INDEX(CONV[2],MATCH(INDEX(INDIRECT("NOTA["&amp;PAJAK[#Headers]&amp;"]"),PAJAK[[#This Row],[//]]-2),CONV[1],0),0))</f>
        <v/>
      </c>
      <c r="G30" s="2" t="str">
        <f ca="1">IF(PAJAK[[#This Row],[//]]="","",INDEX(NOTA[TGL_H],PAJAK[[#This Row],[//]]-2))</f>
        <v/>
      </c>
      <c r="H30" s="2" t="str">
        <f ca="1">IF(PAJAK[[#This Row],[//]]="","",INDEX(INDIRECT("NOTA["&amp;PAJAK[#Headers]&amp;"]"),PAJAK[[#This Row],[//]]-2))</f>
        <v/>
      </c>
      <c r="I30" s="4" t="str">
        <f ca="1">IF(PAJAK[[#This Row],[//]]="","",INDEX(INDIRECT("NOTA["&amp;PAJAK[#Headers]&amp;"]"),PAJAK[[#This Row],[//]]-2))</f>
        <v/>
      </c>
      <c r="J30" t="e">
        <f ca="1">IF(OR(PAJAK[[#This Row],[//]]="",INDEX(INDIRECT("NOTA["&amp;PAJAK[#Headers]&amp;"]"),PAJAK[[#This Row],[//]]-2)=""),"",INDEX(INDIRECT("NOTA["&amp;PAJAK[#Headers]&amp;"]"),PAJAK[[#This Row],[//]]-2))</f>
        <v>#VALUE!</v>
      </c>
      <c r="K30" s="13" t="str">
        <f ca="1">IF(PAJAK[[#This Row],[//]]="","",SUMIF(NOTA[ID_H],PAJAK[[#This Row],[ID]],NOTA[JUMLAH]))</f>
        <v/>
      </c>
      <c r="L30" s="13" t="str">
        <f ca="1">IF(PAJAK[[#This Row],[//]]="","",SUMIF(NOTA[ID_H],PAJAK[[#This Row],[ID]],NOTA[DISC]))</f>
        <v/>
      </c>
      <c r="M30" s="13" t="e">
        <f ca="1">PAJAK[[#This Row],[SUB TOTAL]]-PAJAK[[#This Row],[DISKON]]</f>
        <v>#VALUE!</v>
      </c>
      <c r="N30" s="13" t="str">
        <f ca="1">IF(PAJAK[[#This Row],[//]]="","",INDEX(INDIRECT("NOTA["&amp;PAJAK[#Headers]&amp;"]"),PAJAK[[#This Row],[//]]-2+PAJAK[[#This Row],[QB]]-1))</f>
        <v/>
      </c>
      <c r="O30" s="13" t="e">
        <f ca="1">(PAJAK[[#This Row],[SUB T-DISC]]-PAJAK[[#This Row],[DISC DLL]])/111%</f>
        <v>#VALUE!</v>
      </c>
      <c r="P30" s="13" t="e">
        <f ca="1">PAJAK[[#This Row],[DPP]]*PAJAK[[#This Row],[PPN]]</f>
        <v>#VALUE!</v>
      </c>
      <c r="Q30" s="13" t="e">
        <f ca="1">PAJAK[[#This Row],[DPP]]+PAJAK[[#This Row],[PPN 11%]]</f>
        <v>#VALUE!</v>
      </c>
      <c r="R30" s="1" t="str">
        <f ca="1">IF(ISNUMBER(PAJAK[[#This Row],[//]]),PPN,"")</f>
        <v/>
      </c>
    </row>
    <row r="31" spans="1:18">
      <c r="A31" t="str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/>
      </c>
      <c r="B31" s="11" t="str">
        <f ca="1">HYPERLINK("[NOTA_.XLSX]NOTA!c"&amp;PAJAK[[#This Row],[//]],IF(PAJAK[[#This Row],[//]]="","",INDEX(INDIRECT("NOTA["&amp;PAJAK[#Headers]&amp;"]"),PAJAK[[#This Row],[//]]-2)))</f>
        <v/>
      </c>
      <c r="C31" t="str">
        <f ca="1">IF(PAJAK[[#This Row],[//]]="","",INDEX(INDIRECT("NOTA["&amp;PAJAK[#Headers]&amp;"]"),PAJAK[[#This Row],[//]]-2))</f>
        <v/>
      </c>
      <c r="D31" t="e">
        <f ca="1">MATCH(PAJAK[[#This Row],[ID]],[2]!Table1[ID],0)</f>
        <v>#REF!</v>
      </c>
      <c r="E31" s="4" t="str">
        <f ca="1">IF(PAJAK[[#This Row],[ID]]="","",COUNTIF(NOTA[ID_H],PAJAK[[#This Row],[ID]]))</f>
        <v/>
      </c>
      <c r="F31" t="str">
        <f ca="1">IF(PAJAK[[#This Row],[//]]="","",INDEX(CONV[2],MATCH(INDEX(INDIRECT("NOTA["&amp;PAJAK[#Headers]&amp;"]"),PAJAK[[#This Row],[//]]-2),CONV[1],0),0))</f>
        <v/>
      </c>
      <c r="G31" s="2" t="str">
        <f ca="1">IF(PAJAK[[#This Row],[//]]="","",INDEX(NOTA[TGL_H],PAJAK[[#This Row],[//]]-2))</f>
        <v/>
      </c>
      <c r="H31" s="2" t="str">
        <f ca="1">IF(PAJAK[[#This Row],[//]]="","",INDEX(INDIRECT("NOTA["&amp;PAJAK[#Headers]&amp;"]"),PAJAK[[#This Row],[//]]-2))</f>
        <v/>
      </c>
      <c r="I31" s="4" t="str">
        <f ca="1">IF(PAJAK[[#This Row],[//]]="","",INDEX(INDIRECT("NOTA["&amp;PAJAK[#Headers]&amp;"]"),PAJAK[[#This Row],[//]]-2))</f>
        <v/>
      </c>
      <c r="J31" t="e">
        <f ca="1">IF(OR(PAJAK[[#This Row],[//]]="",INDEX(INDIRECT("NOTA["&amp;PAJAK[#Headers]&amp;"]"),PAJAK[[#This Row],[//]]-2)=""),"",INDEX(INDIRECT("NOTA["&amp;PAJAK[#Headers]&amp;"]"),PAJAK[[#This Row],[//]]-2))</f>
        <v>#VALUE!</v>
      </c>
      <c r="K31" s="13" t="str">
        <f ca="1">IF(PAJAK[[#This Row],[//]]="","",SUMIF(NOTA[ID_H],PAJAK[[#This Row],[ID]],NOTA[JUMLAH]))</f>
        <v/>
      </c>
      <c r="L31" s="13" t="str">
        <f ca="1">IF(PAJAK[[#This Row],[//]]="","",SUMIF(NOTA[ID_H],PAJAK[[#This Row],[ID]],NOTA[DISC]))</f>
        <v/>
      </c>
      <c r="M31" s="13" t="e">
        <f ca="1">PAJAK[[#This Row],[SUB TOTAL]]-PAJAK[[#This Row],[DISKON]]</f>
        <v>#VALUE!</v>
      </c>
      <c r="N31" s="13" t="str">
        <f ca="1">IF(PAJAK[[#This Row],[//]]="","",INDEX(INDIRECT("NOTA["&amp;PAJAK[#Headers]&amp;"]"),PAJAK[[#This Row],[//]]-2+PAJAK[[#This Row],[QB]]-1))</f>
        <v/>
      </c>
      <c r="O31" s="13" t="e">
        <f ca="1">(PAJAK[[#This Row],[SUB T-DISC]]-PAJAK[[#This Row],[DISC DLL]])/111%</f>
        <v>#VALUE!</v>
      </c>
      <c r="P31" s="13" t="e">
        <f ca="1">PAJAK[[#This Row],[DPP]]*PAJAK[[#This Row],[PPN]]</f>
        <v>#VALUE!</v>
      </c>
      <c r="Q31" s="13" t="e">
        <f ca="1">PAJAK[[#This Row],[DPP]]+PAJAK[[#This Row],[PPN 11%]]</f>
        <v>#VALUE!</v>
      </c>
      <c r="R31" s="1" t="str">
        <f ca="1">IF(ISNUMBER(PAJAK[[#This Row],[//]]),PPN,"")</f>
        <v/>
      </c>
    </row>
    <row r="32" spans="1:18">
      <c r="A32" t="str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/>
      </c>
      <c r="B32" s="11" t="str">
        <f ca="1">HYPERLINK("[NOTA_.XLSX]NOTA!c"&amp;PAJAK[[#This Row],[//]],IF(PAJAK[[#This Row],[//]]="","",INDEX(INDIRECT("NOTA["&amp;PAJAK[#Headers]&amp;"]"),PAJAK[[#This Row],[//]]-2)))</f>
        <v/>
      </c>
      <c r="C32" t="str">
        <f ca="1">IF(PAJAK[[#This Row],[//]]="","",INDEX(INDIRECT("NOTA["&amp;PAJAK[#Headers]&amp;"]"),PAJAK[[#This Row],[//]]-2))</f>
        <v/>
      </c>
      <c r="D32" t="e">
        <f ca="1">MATCH(PAJAK[[#This Row],[ID]],[2]!Table1[ID],0)</f>
        <v>#REF!</v>
      </c>
      <c r="E32" s="4" t="str">
        <f ca="1">IF(PAJAK[[#This Row],[ID]]="","",COUNTIF(NOTA[ID_H],PAJAK[[#This Row],[ID]]))</f>
        <v/>
      </c>
      <c r="F32" t="str">
        <f ca="1">IF(PAJAK[[#This Row],[//]]="","",INDEX(CONV[2],MATCH(INDEX(INDIRECT("NOTA["&amp;PAJAK[#Headers]&amp;"]"),PAJAK[[#This Row],[//]]-2),CONV[1],0),0))</f>
        <v/>
      </c>
      <c r="G32" s="2" t="str">
        <f ca="1">IF(PAJAK[[#This Row],[//]]="","",INDEX(NOTA[TGL_H],PAJAK[[#This Row],[//]]-2))</f>
        <v/>
      </c>
      <c r="H32" s="2" t="str">
        <f ca="1">IF(PAJAK[[#This Row],[//]]="","",INDEX(INDIRECT("NOTA["&amp;PAJAK[#Headers]&amp;"]"),PAJAK[[#This Row],[//]]-2))</f>
        <v/>
      </c>
      <c r="I32" s="4" t="str">
        <f ca="1">IF(PAJAK[[#This Row],[//]]="","",INDEX(INDIRECT("NOTA["&amp;PAJAK[#Headers]&amp;"]"),PAJAK[[#This Row],[//]]-2))</f>
        <v/>
      </c>
      <c r="J32" t="e">
        <f ca="1">IF(OR(PAJAK[[#This Row],[//]]="",INDEX(INDIRECT("NOTA["&amp;PAJAK[#Headers]&amp;"]"),PAJAK[[#This Row],[//]]-2)=""),"",INDEX(INDIRECT("NOTA["&amp;PAJAK[#Headers]&amp;"]"),PAJAK[[#This Row],[//]]-2))</f>
        <v>#VALUE!</v>
      </c>
      <c r="K32" s="13" t="str">
        <f ca="1">IF(PAJAK[[#This Row],[//]]="","",SUMIF(NOTA[ID_H],PAJAK[[#This Row],[ID]],NOTA[JUMLAH]))</f>
        <v/>
      </c>
      <c r="L32" s="13" t="str">
        <f ca="1">IF(PAJAK[[#This Row],[//]]="","",SUMIF(NOTA[ID_H],PAJAK[[#This Row],[ID]],NOTA[DISC]))</f>
        <v/>
      </c>
      <c r="M32" s="13" t="e">
        <f ca="1">PAJAK[[#This Row],[SUB TOTAL]]-PAJAK[[#This Row],[DISKON]]</f>
        <v>#VALUE!</v>
      </c>
      <c r="N32" s="13" t="str">
        <f ca="1">IF(PAJAK[[#This Row],[//]]="","",INDEX(INDIRECT("NOTA["&amp;PAJAK[#Headers]&amp;"]"),PAJAK[[#This Row],[//]]-2+PAJAK[[#This Row],[QB]]-1))</f>
        <v/>
      </c>
      <c r="O32" s="13" t="e">
        <f ca="1">(PAJAK[[#This Row],[SUB T-DISC]]-PAJAK[[#This Row],[DISC DLL]])/111%</f>
        <v>#VALUE!</v>
      </c>
      <c r="P32" s="13" t="e">
        <f ca="1">PAJAK[[#This Row],[DPP]]*PAJAK[[#This Row],[PPN]]</f>
        <v>#VALUE!</v>
      </c>
      <c r="Q32" s="13" t="e">
        <f ca="1">PAJAK[[#This Row],[DPP]]+PAJAK[[#This Row],[PPN 11%]]</f>
        <v>#VALUE!</v>
      </c>
      <c r="R32" s="1" t="str">
        <f ca="1">IF(ISNUMBER(PAJAK[[#This Row],[//]]),PPN,"")</f>
        <v/>
      </c>
    </row>
    <row r="33" spans="1:18">
      <c r="A33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11" t="str">
        <f ca="1">HYPERLINK("[NOTA_.XLSX]NOTA!c"&amp;PAJAK[[#This Row],[//]],IF(PAJAK[[#This Row],[//]]="","",INDEX(INDIRECT("NOTA["&amp;PAJAK[#Headers]&amp;"]"),PAJAK[[#This Row],[//]]-2)))</f>
        <v/>
      </c>
      <c r="C33" t="str">
        <f ca="1">IF(PAJAK[[#This Row],[//]]="","",INDEX(INDIRECT("NOTA["&amp;PAJAK[#Headers]&amp;"]"),PAJAK[[#This Row],[//]]-2))</f>
        <v/>
      </c>
      <c r="D33" t="e">
        <f ca="1">MATCH(PAJAK[[#This Row],[ID]],[2]!Table1[ID],0)</f>
        <v>#REF!</v>
      </c>
      <c r="E33" s="4" t="str">
        <f ca="1">IF(PAJAK[[#This Row],[ID]]="","",COUNTIF(NOTA[ID_H],PAJAK[[#This Row],[ID]]))</f>
        <v/>
      </c>
      <c r="F33" t="str">
        <f ca="1">IF(PAJAK[[#This Row],[//]]="","",INDEX(CONV[2],MATCH(INDEX(INDIRECT("NOTA["&amp;PAJAK[#Headers]&amp;"]"),PAJAK[[#This Row],[//]]-2),CONV[1],0),0))</f>
        <v/>
      </c>
      <c r="G33" s="2" t="str">
        <f ca="1">IF(PAJAK[[#This Row],[//]]="","",INDEX(NOTA[TGL_H],PAJAK[[#This Row],[//]]-2))</f>
        <v/>
      </c>
      <c r="H33" s="2" t="str">
        <f ca="1">IF(PAJAK[[#This Row],[//]]="","",INDEX(INDIRECT("NOTA["&amp;PAJAK[#Headers]&amp;"]"),PAJAK[[#This Row],[//]]-2))</f>
        <v/>
      </c>
      <c r="I33" s="4" t="str">
        <f ca="1">IF(PAJAK[[#This Row],[//]]="","",INDEX(INDIRECT("NOTA["&amp;PAJAK[#Headers]&amp;"]"),PAJAK[[#This Row],[//]]-2))</f>
        <v/>
      </c>
      <c r="J33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13" t="str">
        <f ca="1">IF(PAJAK[[#This Row],[//]]="","",SUMIF(NOTA[ID_H],PAJAK[[#This Row],[ID]],NOTA[JUMLAH]))</f>
        <v/>
      </c>
      <c r="L33" s="13" t="str">
        <f ca="1">IF(PAJAK[[#This Row],[//]]="","",SUMIF(NOTA[ID_H],PAJAK[[#This Row],[ID]],NOTA[DISC]))</f>
        <v/>
      </c>
      <c r="M33" s="13" t="e">
        <f ca="1">PAJAK[[#This Row],[SUB TOTAL]]-PAJAK[[#This Row],[DISKON]]</f>
        <v>#VALUE!</v>
      </c>
      <c r="N33" s="13" t="str">
        <f ca="1">IF(PAJAK[[#This Row],[//]]="","",INDEX(INDIRECT("NOTA["&amp;PAJAK[#Headers]&amp;"]"),PAJAK[[#This Row],[//]]-2+PAJAK[[#This Row],[QB]]-1))</f>
        <v/>
      </c>
      <c r="O33" s="13" t="e">
        <f ca="1">(PAJAK[[#This Row],[SUB T-DISC]]-PAJAK[[#This Row],[DISC DLL]])/111%</f>
        <v>#VALUE!</v>
      </c>
      <c r="P33" s="13" t="e">
        <f ca="1">PAJAK[[#This Row],[DPP]]*PAJAK[[#This Row],[PPN]]</f>
        <v>#VALUE!</v>
      </c>
      <c r="Q33" s="13" t="e">
        <f ca="1">PAJAK[[#This Row],[DPP]]+PAJAK[[#This Row],[PPN 11%]]</f>
        <v>#VALUE!</v>
      </c>
      <c r="R33" s="1" t="str">
        <f ca="1">IF(ISNUMBER(PAJAK[[#This Row],[//]]),PPN,"")</f>
        <v/>
      </c>
    </row>
    <row r="34" spans="1:18">
      <c r="A34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t="str">
        <f ca="1">HYPERLINK("[NOTA_.XLSX]NOTA!c"&amp;PAJAK[[#This Row],[//]],IF(PAJAK[[#This Row],[//]]="","",INDEX(INDIRECT("NOTA["&amp;PAJAK[#Headers]&amp;"]"),PAJAK[[#This Row],[//]]-2)))</f>
        <v/>
      </c>
      <c r="C34" t="str">
        <f ca="1">IF(PAJAK[[#This Row],[//]]="","",INDEX(INDIRECT("NOTA["&amp;PAJAK[#Headers]&amp;"]"),PAJAK[[#This Row],[//]]-2))</f>
        <v/>
      </c>
      <c r="D34" t="e">
        <f ca="1">MATCH(PAJAK[[#This Row],[ID]],[2]!Table1[ID],0)</f>
        <v>#REF!</v>
      </c>
      <c r="E34" s="4" t="str">
        <f ca="1">IF(PAJAK[[#This Row],[ID]]="","",COUNTIF(NOTA[ID_H],PAJAK[[#This Row],[ID]]))</f>
        <v/>
      </c>
      <c r="F34" t="str">
        <f ca="1">IF(PAJAK[[#This Row],[//]]="","",INDEX(CONV[2],MATCH(INDEX(INDIRECT("NOTA["&amp;PAJAK[#Headers]&amp;"]"),PAJAK[[#This Row],[//]]-2),CONV[1],0),0))</f>
        <v/>
      </c>
      <c r="G34" s="2" t="str">
        <f ca="1">IF(PAJAK[[#This Row],[//]]="","",INDEX(NOTA[TGL_H],PAJAK[[#This Row],[//]]-2))</f>
        <v/>
      </c>
      <c r="H34" s="2" t="str">
        <f ca="1">IF(PAJAK[[#This Row],[//]]="","",INDEX(INDIRECT("NOTA["&amp;PAJAK[#Headers]&amp;"]"),PAJAK[[#This Row],[//]]-2))</f>
        <v/>
      </c>
      <c r="I34" s="4" t="str">
        <f ca="1">IF(PAJAK[[#This Row],[//]]="","",INDEX(INDIRECT("NOTA["&amp;PAJAK[#Headers]&amp;"]"),PAJAK[[#This Row],[//]]-2))</f>
        <v/>
      </c>
      <c r="J34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13" t="str">
        <f ca="1">IF(PAJAK[[#This Row],[//]]="","",SUMIF(NOTA[ID_H],PAJAK[[#This Row],[ID]],NOTA[JUMLAH]))</f>
        <v/>
      </c>
      <c r="L34" s="13" t="str">
        <f ca="1">IF(PAJAK[[#This Row],[//]]="","",SUMIF(NOTA[ID_H],PAJAK[[#This Row],[ID]],NOTA[DISC]))</f>
        <v/>
      </c>
      <c r="M34" s="13" t="e">
        <f ca="1">PAJAK[[#This Row],[SUB TOTAL]]-PAJAK[[#This Row],[DISKON]]</f>
        <v>#VALUE!</v>
      </c>
      <c r="N34" s="13" t="str">
        <f ca="1">IF(PAJAK[[#This Row],[//]]="","",INDEX(INDIRECT("NOTA["&amp;PAJAK[#Headers]&amp;"]"),PAJAK[[#This Row],[//]]-2+PAJAK[[#This Row],[QB]]-1))</f>
        <v/>
      </c>
      <c r="O34" s="13" t="e">
        <f ca="1">(PAJAK[[#This Row],[SUB T-DISC]]-PAJAK[[#This Row],[DISC DLL]])/111%</f>
        <v>#VALUE!</v>
      </c>
      <c r="P34" s="13" t="e">
        <f ca="1">PAJAK[[#This Row],[DPP]]*PAJAK[[#This Row],[PPN]]</f>
        <v>#VALUE!</v>
      </c>
      <c r="Q34" s="13" t="e">
        <f ca="1">PAJAK[[#This Row],[DPP]]+PAJAK[[#This Row],[PPN 11%]]</f>
        <v>#VALUE!</v>
      </c>
      <c r="R34" s="1" t="str">
        <f ca="1">IF(ISNUMBER(PAJAK[[#This Row],[//]]),PPN,"")</f>
        <v/>
      </c>
    </row>
    <row r="35" spans="1:18">
      <c r="A35" s="17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20" t="str">
        <f ca="1">HYPERLINK("[NOTA_.XLSX]NOTA!c"&amp;PAJAK[[#This Row],[//]],IF(PAJAK[[#This Row],[//]]="","",INDEX(INDIRECT("NOTA["&amp;PAJAK[#Headers]&amp;"]"),PAJAK[[#This Row],[//]]-2)))</f>
        <v/>
      </c>
      <c r="C35" s="17" t="str">
        <f ca="1">IF(PAJAK[[#This Row],[//]]="","",INDEX(INDIRECT("NOTA["&amp;PAJAK[#Headers]&amp;"]"),PAJAK[[#This Row],[//]]-2))</f>
        <v/>
      </c>
      <c r="D35" s="17" t="e">
        <f ca="1">MATCH(PAJAK[[#This Row],[ID]],[2]!Table1[ID],0)</f>
        <v>#REF!</v>
      </c>
      <c r="E35" s="18" t="str">
        <f ca="1">IF(PAJAK[[#This Row],[ID]]="","",COUNTIF(NOTA[ID_H],PAJAK[[#This Row],[ID]]))</f>
        <v/>
      </c>
      <c r="F35" s="17" t="str">
        <f ca="1">IF(PAJAK[[#This Row],[//]]="","",INDEX(CONV[2],MATCH(INDEX(INDIRECT("NOTA["&amp;PAJAK[#Headers]&amp;"]"),PAJAK[[#This Row],[//]]-2),CONV[1],0),0))</f>
        <v/>
      </c>
      <c r="G35" s="19" t="str">
        <f ca="1">IF(PAJAK[[#This Row],[//]]="","",INDEX(NOTA[TGL_H],PAJAK[[#This Row],[//]]-2))</f>
        <v/>
      </c>
      <c r="H35" s="19" t="str">
        <f ca="1">IF(PAJAK[[#This Row],[//]]="","",INDEX(INDIRECT("NOTA["&amp;PAJAK[#Headers]&amp;"]"),PAJAK[[#This Row],[//]]-2))</f>
        <v/>
      </c>
      <c r="I35" s="18" t="str">
        <f ca="1">IF(PAJAK[[#This Row],[//]]="","",INDEX(INDIRECT("NOTA["&amp;PAJAK[#Headers]&amp;"]"),PAJAK[[#This Row],[//]]-2))</f>
        <v/>
      </c>
      <c r="J35" s="17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21" t="str">
        <f ca="1">IF(PAJAK[[#This Row],[//]]="","",SUMIF(NOTA[ID_H],PAJAK[[#This Row],[ID]],NOTA[JUMLAH]))</f>
        <v/>
      </c>
      <c r="L35" s="21" t="str">
        <f ca="1">IF(PAJAK[[#This Row],[//]]="","",SUMIF(NOTA[ID_H],PAJAK[[#This Row],[ID]],NOTA[DISC]))</f>
        <v/>
      </c>
      <c r="M35" s="21" t="e">
        <f ca="1">PAJAK[[#This Row],[SUB TOTAL]]-PAJAK[[#This Row],[DISKON]]</f>
        <v>#VALUE!</v>
      </c>
      <c r="N35" s="21" t="str">
        <f ca="1">IF(PAJAK[[#This Row],[//]]="","",INDEX(INDIRECT("NOTA["&amp;PAJAK[#Headers]&amp;"]"),PAJAK[[#This Row],[//]]-2+PAJAK[[#This Row],[QB]]-1))</f>
        <v/>
      </c>
      <c r="O35" s="21" t="e">
        <f ca="1">(PAJAK[[#This Row],[SUB T-DISC]]-PAJAK[[#This Row],[DISC DLL]])/111%</f>
        <v>#VALUE!</v>
      </c>
      <c r="P35" s="21" t="e">
        <f ca="1">PAJAK[[#This Row],[DPP]]*PAJAK[[#This Row],[PPN]]</f>
        <v>#VALUE!</v>
      </c>
      <c r="Q35" s="21" t="e">
        <f ca="1">PAJAK[[#This Row],[DPP]]+PAJAK[[#This Row],[PPN 11%]]</f>
        <v>#VALUE!</v>
      </c>
      <c r="R35" s="22" t="str">
        <f ca="1">IF(ISNUMBER(PAJAK[[#This Row],[//]]),PPN,"")</f>
        <v/>
      </c>
    </row>
    <row r="36" spans="1:18">
      <c r="A36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11" t="str">
        <f ca="1">HYPERLINK("[NOTA_.XLSX]NOTA!c"&amp;PAJAK[[#This Row],[//]],IF(PAJAK[[#This Row],[//]]="","",INDEX(INDIRECT("NOTA["&amp;PAJAK[#Headers]&amp;"]"),PAJAK[[#This Row],[//]]-2)))</f>
        <v/>
      </c>
      <c r="C36" t="str">
        <f ca="1">IF(PAJAK[[#This Row],[//]]="","",INDEX(INDIRECT("NOTA["&amp;PAJAK[#Headers]&amp;"]"),PAJAK[[#This Row],[//]]-2))</f>
        <v/>
      </c>
      <c r="D36" t="e">
        <f ca="1">MATCH(PAJAK[[#This Row],[ID]],[2]!Table1[ID],0)</f>
        <v>#REF!</v>
      </c>
      <c r="E36" s="4" t="str">
        <f ca="1">IF(PAJAK[[#This Row],[ID]]="","",COUNTIF(NOTA[ID_H],PAJAK[[#This Row],[ID]]))</f>
        <v/>
      </c>
      <c r="F36" t="str">
        <f ca="1">IF(PAJAK[[#This Row],[//]]="","",INDEX(CONV[2],MATCH(INDEX(INDIRECT("NOTA["&amp;PAJAK[#Headers]&amp;"]"),PAJAK[[#This Row],[//]]-2),CONV[1],0),0))</f>
        <v/>
      </c>
      <c r="G36" s="2" t="str">
        <f ca="1">IF(PAJAK[[#This Row],[//]]="","",INDEX(NOTA[TGL_H],PAJAK[[#This Row],[//]]-2))</f>
        <v/>
      </c>
      <c r="H36" s="2" t="str">
        <f ca="1">IF(PAJAK[[#This Row],[//]]="","",INDEX(INDIRECT("NOTA["&amp;PAJAK[#Headers]&amp;"]"),PAJAK[[#This Row],[//]]-2))</f>
        <v/>
      </c>
      <c r="I36" s="4" t="str">
        <f ca="1">IF(PAJAK[[#This Row],[//]]="","",INDEX(INDIRECT("NOTA["&amp;PAJAK[#Headers]&amp;"]"),PAJAK[[#This Row],[//]]-2))</f>
        <v/>
      </c>
      <c r="J36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13" t="str">
        <f ca="1">IF(PAJAK[[#This Row],[//]]="","",SUMIF(NOTA[ID_H],PAJAK[[#This Row],[ID]],NOTA[JUMLAH]))</f>
        <v/>
      </c>
      <c r="L36" s="13" t="str">
        <f ca="1">IF(PAJAK[[#This Row],[//]]="","",SUMIF(NOTA[ID_H],PAJAK[[#This Row],[ID]],NOTA[DISC]))</f>
        <v/>
      </c>
      <c r="M36" s="13" t="e">
        <f ca="1">PAJAK[[#This Row],[SUB TOTAL]]-PAJAK[[#This Row],[DISKON]]</f>
        <v>#VALUE!</v>
      </c>
      <c r="N36" s="13" t="str">
        <f ca="1">IF(PAJAK[[#This Row],[//]]="","",INDEX(INDIRECT("NOTA["&amp;PAJAK[#Headers]&amp;"]"),PAJAK[[#This Row],[//]]-2+PAJAK[[#This Row],[QB]]-1))</f>
        <v/>
      </c>
      <c r="O36" s="13" t="e">
        <f ca="1">(PAJAK[[#This Row],[SUB T-DISC]]-PAJAK[[#This Row],[DISC DLL]])/111%</f>
        <v>#VALUE!</v>
      </c>
      <c r="P36" s="13" t="e">
        <f ca="1">PAJAK[[#This Row],[DPP]]*PAJAK[[#This Row],[PPN]]</f>
        <v>#VALUE!</v>
      </c>
      <c r="Q36" s="13" t="e">
        <f ca="1">PAJAK[[#This Row],[DPP]]+PAJAK[[#This Row],[PPN 11%]]</f>
        <v>#VALUE!</v>
      </c>
      <c r="R36" s="1" t="str">
        <f ca="1">IF(ISNUMBER(PAJAK[[#This Row],[//]]),PPN,"")</f>
        <v/>
      </c>
    </row>
    <row r="37" spans="1:18">
      <c r="A37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11" t="str">
        <f ca="1">HYPERLINK("[NOTA_.XLSX]NOTA!c"&amp;PAJAK[[#This Row],[//]],IF(PAJAK[[#This Row],[//]]="","",INDEX(INDIRECT("NOTA["&amp;PAJAK[#Headers]&amp;"]"),PAJAK[[#This Row],[//]]-2)))</f>
        <v/>
      </c>
      <c r="C37" t="str">
        <f ca="1">IF(PAJAK[[#This Row],[//]]="","",INDEX(INDIRECT("NOTA["&amp;PAJAK[#Headers]&amp;"]"),PAJAK[[#This Row],[//]]-2))</f>
        <v/>
      </c>
      <c r="D37" t="e">
        <f ca="1">MATCH(PAJAK[[#This Row],[ID]],[2]!Table1[ID],0)</f>
        <v>#REF!</v>
      </c>
      <c r="E37" s="4" t="str">
        <f ca="1">IF(PAJAK[[#This Row],[ID]]="","",COUNTIF(NOTA[ID_H],PAJAK[[#This Row],[ID]]))</f>
        <v/>
      </c>
      <c r="F37" t="str">
        <f ca="1">IF(PAJAK[[#This Row],[//]]="","",INDEX(CONV[2],MATCH(INDEX(INDIRECT("NOTA["&amp;PAJAK[#Headers]&amp;"]"),PAJAK[[#This Row],[//]]-2),CONV[1],0),0))</f>
        <v/>
      </c>
      <c r="G37" s="2" t="str">
        <f ca="1">IF(PAJAK[[#This Row],[//]]="","",INDEX(NOTA[TGL_H],PAJAK[[#This Row],[//]]-2))</f>
        <v/>
      </c>
      <c r="H37" s="2" t="str">
        <f ca="1">IF(PAJAK[[#This Row],[//]]="","",INDEX(INDIRECT("NOTA["&amp;PAJAK[#Headers]&amp;"]"),PAJAK[[#This Row],[//]]-2))</f>
        <v/>
      </c>
      <c r="I37" s="4" t="str">
        <f ca="1">IF(PAJAK[[#This Row],[//]]="","",INDEX(INDIRECT("NOTA["&amp;PAJAK[#Headers]&amp;"]"),PAJAK[[#This Row],[//]]-2))</f>
        <v/>
      </c>
      <c r="J37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13" t="str">
        <f ca="1">IF(PAJAK[[#This Row],[//]]="","",SUMIF(NOTA[ID_H],PAJAK[[#This Row],[ID]],NOTA[JUMLAH]))</f>
        <v/>
      </c>
      <c r="L37" s="13" t="str">
        <f ca="1">IF(PAJAK[[#This Row],[//]]="","",SUMIF(NOTA[ID_H],PAJAK[[#This Row],[ID]],NOTA[DISC]))</f>
        <v/>
      </c>
      <c r="M37" s="13" t="e">
        <f ca="1">PAJAK[[#This Row],[SUB TOTAL]]-PAJAK[[#This Row],[DISKON]]</f>
        <v>#VALUE!</v>
      </c>
      <c r="N37" s="13" t="str">
        <f ca="1">IF(PAJAK[[#This Row],[//]]="","",INDEX(INDIRECT("NOTA["&amp;PAJAK[#Headers]&amp;"]"),PAJAK[[#This Row],[//]]-2+PAJAK[[#This Row],[QB]]-1))</f>
        <v/>
      </c>
      <c r="O37" s="13" t="e">
        <f ca="1">(PAJAK[[#This Row],[SUB T-DISC]]-PAJAK[[#This Row],[DISC DLL]])/111%</f>
        <v>#VALUE!</v>
      </c>
      <c r="P37" s="13" t="e">
        <f ca="1">PAJAK[[#This Row],[DPP]]*PAJAK[[#This Row],[PPN]]</f>
        <v>#VALUE!</v>
      </c>
      <c r="Q37" s="13" t="e">
        <f ca="1">PAJAK[[#This Row],[DPP]]+PAJAK[[#This Row],[PPN 11%]]</f>
        <v>#VALUE!</v>
      </c>
      <c r="R37" s="1" t="str">
        <f ca="1">IF(ISNUMBER(PAJAK[[#This Row],[//]]),PPN,"")</f>
        <v/>
      </c>
    </row>
    <row r="38" spans="1:18">
      <c r="A38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11" t="str">
        <f ca="1">HYPERLINK("[NOTA_.XLSX]NOTA!c"&amp;PAJAK[[#This Row],[//]],IF(PAJAK[[#This Row],[//]]="","",INDEX(INDIRECT("NOTA["&amp;PAJAK[#Headers]&amp;"]"),PAJAK[[#This Row],[//]]-2)))</f>
        <v/>
      </c>
      <c r="C38" t="str">
        <f ca="1">IF(PAJAK[[#This Row],[//]]="","",INDEX(INDIRECT("NOTA["&amp;PAJAK[#Headers]&amp;"]"),PAJAK[[#This Row],[//]]-2))</f>
        <v/>
      </c>
      <c r="D38" t="e">
        <f ca="1">MATCH(PAJAK[[#This Row],[ID]],[2]!Table1[ID],0)</f>
        <v>#REF!</v>
      </c>
      <c r="E38" s="4" t="str">
        <f ca="1">IF(PAJAK[[#This Row],[ID]]="","",COUNTIF(NOTA[ID_H],PAJAK[[#This Row],[ID]]))</f>
        <v/>
      </c>
      <c r="F38" t="str">
        <f ca="1">IF(PAJAK[[#This Row],[//]]="","",INDEX(CONV[2],MATCH(INDEX(INDIRECT("NOTA["&amp;PAJAK[#Headers]&amp;"]"),PAJAK[[#This Row],[//]]-2),CONV[1],0),0))</f>
        <v/>
      </c>
      <c r="G38" s="2" t="str">
        <f ca="1">IF(PAJAK[[#This Row],[//]]="","",INDEX(NOTA[TGL_H],PAJAK[[#This Row],[//]]-2))</f>
        <v/>
      </c>
      <c r="H38" s="2" t="str">
        <f ca="1">IF(PAJAK[[#This Row],[//]]="","",INDEX(INDIRECT("NOTA["&amp;PAJAK[#Headers]&amp;"]"),PAJAK[[#This Row],[//]]-2))</f>
        <v/>
      </c>
      <c r="I38" s="4" t="str">
        <f ca="1">IF(PAJAK[[#This Row],[//]]="","",INDEX(INDIRECT("NOTA["&amp;PAJAK[#Headers]&amp;"]"),PAJAK[[#This Row],[//]]-2))</f>
        <v/>
      </c>
      <c r="J38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13" t="str">
        <f ca="1">IF(PAJAK[[#This Row],[//]]="","",SUMIF(NOTA[ID_H],PAJAK[[#This Row],[ID]],NOTA[JUMLAH]))</f>
        <v/>
      </c>
      <c r="L38" s="13" t="str">
        <f ca="1">IF(PAJAK[[#This Row],[//]]="","",SUMIF(NOTA[ID_H],PAJAK[[#This Row],[ID]],NOTA[DISC]))</f>
        <v/>
      </c>
      <c r="M38" s="13" t="e">
        <f ca="1">PAJAK[[#This Row],[SUB TOTAL]]-PAJAK[[#This Row],[DISKON]]</f>
        <v>#VALUE!</v>
      </c>
      <c r="N38" s="13" t="str">
        <f ca="1">IF(PAJAK[[#This Row],[//]]="","",INDEX(INDIRECT("NOTA["&amp;PAJAK[#Headers]&amp;"]"),PAJAK[[#This Row],[//]]-2+PAJAK[[#This Row],[QB]]-1))</f>
        <v/>
      </c>
      <c r="O38" s="13" t="e">
        <f ca="1">(PAJAK[[#This Row],[SUB T-DISC]]-PAJAK[[#This Row],[DISC DLL]])/111%</f>
        <v>#VALUE!</v>
      </c>
      <c r="P38" s="13" t="e">
        <f ca="1">PAJAK[[#This Row],[DPP]]*PAJAK[[#This Row],[PPN]]</f>
        <v>#VALUE!</v>
      </c>
      <c r="Q38" s="13" t="e">
        <f ca="1">PAJAK[[#This Row],[DPP]]+PAJAK[[#This Row],[PPN 11%]]</f>
        <v>#VALUE!</v>
      </c>
      <c r="R38" s="1" t="str">
        <f ca="1">IF(ISNUMBER(PAJAK[[#This Row],[//]]),PPN,"")</f>
        <v/>
      </c>
    </row>
    <row r="39" spans="1:18">
      <c r="A39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12" t="str">
        <f ca="1">HYPERLINK("[NOTA_.XLSX]NOTA!c"&amp;PAJAK[[#This Row],[//]],IF(PAJAK[[#This Row],[//]]="","",INDEX(INDIRECT("NOTA["&amp;PAJAK[#Headers]&amp;"]"),PAJAK[[#This Row],[//]]-2)))</f>
        <v/>
      </c>
      <c r="C39" t="str">
        <f ca="1">IF(PAJAK[[#This Row],[//]]="","",INDEX(INDIRECT("NOTA["&amp;PAJAK[#Headers]&amp;"]"),PAJAK[[#This Row],[//]]-2))</f>
        <v/>
      </c>
      <c r="D39" t="e">
        <f ca="1">MATCH(PAJAK[[#This Row],[ID]],[2]!Table1[ID],0)</f>
        <v>#REF!</v>
      </c>
      <c r="E39" s="4" t="str">
        <f ca="1">IF(PAJAK[[#This Row],[ID]]="","",COUNTIF(NOTA[ID_H],PAJAK[[#This Row],[ID]]))</f>
        <v/>
      </c>
      <c r="F39" t="str">
        <f ca="1">IF(PAJAK[[#This Row],[//]]="","",INDEX(CONV[2],MATCH(INDEX(INDIRECT("NOTA["&amp;PAJAK[#Headers]&amp;"]"),PAJAK[[#This Row],[//]]-2),CONV[1],0),0))</f>
        <v/>
      </c>
      <c r="G39" s="2" t="str">
        <f ca="1">IF(PAJAK[[#This Row],[//]]="","",INDEX(NOTA[TGL_H],PAJAK[[#This Row],[//]]-2))</f>
        <v/>
      </c>
      <c r="H39" s="2" t="str">
        <f ca="1">IF(PAJAK[[#This Row],[//]]="","",INDEX(INDIRECT("NOTA["&amp;PAJAK[#Headers]&amp;"]"),PAJAK[[#This Row],[//]]-2))</f>
        <v/>
      </c>
      <c r="I39" s="4" t="str">
        <f ca="1">IF(PAJAK[[#This Row],[//]]="","",INDEX(INDIRECT("NOTA["&amp;PAJAK[#Headers]&amp;"]"),PAJAK[[#This Row],[//]]-2))</f>
        <v/>
      </c>
      <c r="J39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13" t="str">
        <f ca="1">IF(PAJAK[[#This Row],[//]]="","",SUMIF(NOTA[ID_H],PAJAK[[#This Row],[ID]],NOTA[JUMLAH]))</f>
        <v/>
      </c>
      <c r="L39" s="13" t="str">
        <f ca="1">IF(PAJAK[[#This Row],[//]]="","",SUMIF(NOTA[ID_H],PAJAK[[#This Row],[ID]],NOTA[DISC]))</f>
        <v/>
      </c>
      <c r="M39" s="13" t="e">
        <f ca="1">PAJAK[[#This Row],[SUB TOTAL]]-PAJAK[[#This Row],[DISKON]]</f>
        <v>#VALUE!</v>
      </c>
      <c r="N39" s="13" t="str">
        <f ca="1">IF(PAJAK[[#This Row],[//]]="","",INDEX(INDIRECT("NOTA["&amp;PAJAK[#Headers]&amp;"]"),PAJAK[[#This Row],[//]]-2+PAJAK[[#This Row],[QB]]-1))</f>
        <v/>
      </c>
      <c r="O39" s="13" t="e">
        <f ca="1">(PAJAK[[#This Row],[SUB T-DISC]]-PAJAK[[#This Row],[DISC DLL]])/111%</f>
        <v>#VALUE!</v>
      </c>
      <c r="P39" s="13" t="e">
        <f ca="1">PAJAK[[#This Row],[DPP]]*PAJAK[[#This Row],[PPN]]</f>
        <v>#VALUE!</v>
      </c>
      <c r="Q39" s="13" t="e">
        <f ca="1">PAJAK[[#This Row],[DPP]]+PAJAK[[#This Row],[PPN 11%]]</f>
        <v>#VALUE!</v>
      </c>
      <c r="R39" s="1" t="str">
        <f ca="1">IF(ISNUMBER(PAJAK[[#This Row],[//]]),PPN,"")</f>
        <v/>
      </c>
    </row>
    <row r="40" spans="1:18">
      <c r="A40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11" t="str">
        <f ca="1">HYPERLINK("[NOTA_.XLSX]NOTA!c"&amp;PAJAK[[#This Row],[//]],IF(PAJAK[[#This Row],[//]]="","",INDEX(INDIRECT("NOTA["&amp;PAJAK[#Headers]&amp;"]"),PAJAK[[#This Row],[//]]-2)))</f>
        <v/>
      </c>
      <c r="C40" t="str">
        <f ca="1">IF(PAJAK[[#This Row],[//]]="","",INDEX(INDIRECT("NOTA["&amp;PAJAK[#Headers]&amp;"]"),PAJAK[[#This Row],[//]]-2))</f>
        <v/>
      </c>
      <c r="D40" t="e">
        <f ca="1">MATCH(PAJAK[[#This Row],[ID]],[2]!Table1[ID],0)</f>
        <v>#REF!</v>
      </c>
      <c r="E40" s="4" t="str">
        <f ca="1">IF(PAJAK[[#This Row],[ID]]="","",COUNTIF(NOTA[ID_H],PAJAK[[#This Row],[ID]]))</f>
        <v/>
      </c>
      <c r="F40" t="str">
        <f ca="1">IF(PAJAK[[#This Row],[//]]="","",INDEX(CONV[2],MATCH(INDEX(INDIRECT("NOTA["&amp;PAJAK[#Headers]&amp;"]"),PAJAK[[#This Row],[//]]-2),CONV[1],0),0))</f>
        <v/>
      </c>
      <c r="G40" s="2" t="str">
        <f ca="1">IF(PAJAK[[#This Row],[//]]="","",INDEX(NOTA[TGL_H],PAJAK[[#This Row],[//]]-2))</f>
        <v/>
      </c>
      <c r="H40" s="2" t="str">
        <f ca="1">IF(PAJAK[[#This Row],[//]]="","",INDEX(INDIRECT("NOTA["&amp;PAJAK[#Headers]&amp;"]"),PAJAK[[#This Row],[//]]-2))</f>
        <v/>
      </c>
      <c r="I40" s="4" t="str">
        <f ca="1">IF(PAJAK[[#This Row],[//]]="","",INDEX(INDIRECT("NOTA["&amp;PAJAK[#Headers]&amp;"]"),PAJAK[[#This Row],[//]]-2))</f>
        <v/>
      </c>
      <c r="J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13" t="str">
        <f ca="1">IF(PAJAK[[#This Row],[//]]="","",SUMIF(NOTA[ID_H],PAJAK[[#This Row],[ID]],NOTA[JUMLAH]))</f>
        <v/>
      </c>
      <c r="L40" s="13" t="str">
        <f ca="1">IF(PAJAK[[#This Row],[//]]="","",SUMIF(NOTA[ID_H],PAJAK[[#This Row],[ID]],NOTA[DISC]))</f>
        <v/>
      </c>
      <c r="M40" s="13" t="e">
        <f ca="1">PAJAK[[#This Row],[SUB TOTAL]]-PAJAK[[#This Row],[DISKON]]</f>
        <v>#VALUE!</v>
      </c>
      <c r="N40" s="13" t="str">
        <f ca="1">IF(PAJAK[[#This Row],[//]]="","",INDEX(INDIRECT("NOTA["&amp;PAJAK[#Headers]&amp;"]"),PAJAK[[#This Row],[//]]-2+PAJAK[[#This Row],[QB]]-1))</f>
        <v/>
      </c>
      <c r="O40" s="13" t="e">
        <f ca="1">(PAJAK[[#This Row],[SUB T-DISC]]-PAJAK[[#This Row],[DISC DLL]])/111%</f>
        <v>#VALUE!</v>
      </c>
      <c r="P40" s="13" t="e">
        <f ca="1">PAJAK[[#This Row],[DPP]]*PAJAK[[#This Row],[PPN]]</f>
        <v>#VALUE!</v>
      </c>
      <c r="Q40" s="13" t="e">
        <f ca="1">PAJAK[[#This Row],[DPP]]+PAJAK[[#This Row],[PPN 11%]]</f>
        <v>#VALUE!</v>
      </c>
      <c r="R40" s="1" t="str">
        <f ca="1">IF(ISNUMBER(PAJAK[[#This Row],[//]]),PPN,"")</f>
        <v/>
      </c>
    </row>
    <row r="41" spans="1:18">
      <c r="A41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11" t="str">
        <f ca="1">HYPERLINK("[NOTA_.XLSX]NOTA!c"&amp;PAJAK[[#This Row],[//]],IF(PAJAK[[#This Row],[//]]="","",INDEX(INDIRECT("NOTA["&amp;PAJAK[#Headers]&amp;"]"),PAJAK[[#This Row],[//]]-2)))</f>
        <v/>
      </c>
      <c r="C41" t="str">
        <f ca="1">IF(PAJAK[[#This Row],[//]]="","",INDEX(INDIRECT("NOTA["&amp;PAJAK[#Headers]&amp;"]"),PAJAK[[#This Row],[//]]-2))</f>
        <v/>
      </c>
      <c r="D41" t="e">
        <f ca="1">MATCH(PAJAK[[#This Row],[ID]],[2]!Table1[ID],0)</f>
        <v>#REF!</v>
      </c>
      <c r="E41" s="4" t="str">
        <f ca="1">IF(PAJAK[[#This Row],[ID]]="","",COUNTIF(NOTA[ID_H],PAJAK[[#This Row],[ID]]))</f>
        <v/>
      </c>
      <c r="F41" t="str">
        <f ca="1">IF(PAJAK[[#This Row],[//]]="","",INDEX(CONV[2],MATCH(INDEX(INDIRECT("NOTA["&amp;PAJAK[#Headers]&amp;"]"),PAJAK[[#This Row],[//]]-2),CONV[1],0),0))</f>
        <v/>
      </c>
      <c r="G41" s="2" t="str">
        <f ca="1">IF(PAJAK[[#This Row],[//]]="","",INDEX(NOTA[TGL_H],PAJAK[[#This Row],[//]]-2))</f>
        <v/>
      </c>
      <c r="H41" s="2" t="str">
        <f ca="1">IF(PAJAK[[#This Row],[//]]="","",INDEX(INDIRECT("NOTA["&amp;PAJAK[#Headers]&amp;"]"),PAJAK[[#This Row],[//]]-2))</f>
        <v/>
      </c>
      <c r="I41" s="4" t="str">
        <f ca="1">IF(PAJAK[[#This Row],[//]]="","",INDEX(INDIRECT("NOTA["&amp;PAJAK[#Headers]&amp;"]"),PAJAK[[#This Row],[//]]-2))</f>
        <v/>
      </c>
      <c r="J41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13" t="str">
        <f ca="1">IF(PAJAK[[#This Row],[//]]="","",SUMIF(NOTA[ID_H],PAJAK[[#This Row],[ID]],NOTA[JUMLAH]))</f>
        <v/>
      </c>
      <c r="L41" s="13" t="str">
        <f ca="1">IF(PAJAK[[#This Row],[//]]="","",SUMIF(NOTA[ID_H],PAJAK[[#This Row],[ID]],NOTA[DISC]))</f>
        <v/>
      </c>
      <c r="M41" s="13" t="e">
        <f ca="1">PAJAK[[#This Row],[SUB TOTAL]]-PAJAK[[#This Row],[DISKON]]</f>
        <v>#VALUE!</v>
      </c>
      <c r="N41" s="13" t="str">
        <f ca="1">IF(PAJAK[[#This Row],[//]]="","",INDEX(INDIRECT("NOTA["&amp;PAJAK[#Headers]&amp;"]"),PAJAK[[#This Row],[//]]-2+PAJAK[[#This Row],[QB]]-1))</f>
        <v/>
      </c>
      <c r="O41" s="13" t="e">
        <f ca="1">(PAJAK[[#This Row],[SUB T-DISC]]-PAJAK[[#This Row],[DISC DLL]])/111%</f>
        <v>#VALUE!</v>
      </c>
      <c r="P41" s="13" t="e">
        <f ca="1">PAJAK[[#This Row],[DPP]]*PAJAK[[#This Row],[PPN]]</f>
        <v>#VALUE!</v>
      </c>
      <c r="Q41" s="13" t="e">
        <f ca="1">PAJAK[[#This Row],[DPP]]+PAJAK[[#This Row],[PPN 11%]]</f>
        <v>#VALUE!</v>
      </c>
      <c r="R41" s="1" t="str">
        <f ca="1">IF(ISNUMBER(PAJAK[[#This Row],[//]]),PPN,"")</f>
        <v/>
      </c>
    </row>
    <row r="42" spans="1:18">
      <c r="A42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1" t="str">
        <f ca="1">HYPERLINK("[NOTA_.XLSX]NOTA!c"&amp;PAJAK[[#This Row],[//]],IF(PAJAK[[#This Row],[//]]="","",INDEX(INDIRECT("NOTA["&amp;PAJAK[#Headers]&amp;"]"),PAJAK[[#This Row],[//]]-2)))</f>
        <v/>
      </c>
      <c r="C42" t="str">
        <f ca="1">IF(PAJAK[[#This Row],[//]]="","",INDEX(INDIRECT("NOTA["&amp;PAJAK[#Headers]&amp;"]"),PAJAK[[#This Row],[//]]-2))</f>
        <v/>
      </c>
      <c r="D42" t="e">
        <f ca="1">MATCH(PAJAK[[#This Row],[ID]],[2]!Table1[ID],0)</f>
        <v>#REF!</v>
      </c>
      <c r="E42" s="4" t="str">
        <f ca="1">IF(PAJAK[[#This Row],[ID]]="","",COUNTIF(NOTA[ID_H],PAJAK[[#This Row],[ID]]))</f>
        <v/>
      </c>
      <c r="F42" t="str">
        <f ca="1">IF(PAJAK[[#This Row],[//]]="","",INDEX(CONV[2],MATCH(INDEX(INDIRECT("NOTA["&amp;PAJAK[#Headers]&amp;"]"),PAJAK[[#This Row],[//]]-2),CONV[1],0),0))</f>
        <v/>
      </c>
      <c r="G42" s="2" t="str">
        <f ca="1">IF(PAJAK[[#This Row],[//]]="","",INDEX(NOTA[TGL_H],PAJAK[[#This Row],[//]]-2))</f>
        <v/>
      </c>
      <c r="H42" s="2" t="str">
        <f ca="1">IF(PAJAK[[#This Row],[//]]="","",INDEX(INDIRECT("NOTA["&amp;PAJAK[#Headers]&amp;"]"),PAJAK[[#This Row],[//]]-2))</f>
        <v/>
      </c>
      <c r="I42" s="4" t="str">
        <f ca="1">IF(PAJAK[[#This Row],[//]]="","",INDEX(INDIRECT("NOTA["&amp;PAJAK[#Headers]&amp;"]"),PAJAK[[#This Row],[//]]-2))</f>
        <v/>
      </c>
      <c r="J42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13" t="str">
        <f ca="1">IF(PAJAK[[#This Row],[//]]="","",SUMIF(NOTA[ID_H],PAJAK[[#This Row],[ID]],NOTA[JUMLAH]))</f>
        <v/>
      </c>
      <c r="L42" s="13" t="str">
        <f ca="1">IF(PAJAK[[#This Row],[//]]="","",SUMIF(NOTA[ID_H],PAJAK[[#This Row],[ID]],NOTA[DISC]))</f>
        <v/>
      </c>
      <c r="M42" s="13" t="e">
        <f ca="1">PAJAK[[#This Row],[SUB TOTAL]]-PAJAK[[#This Row],[DISKON]]</f>
        <v>#VALUE!</v>
      </c>
      <c r="N42" s="13" t="str">
        <f ca="1">IF(PAJAK[[#This Row],[//]]="","",INDEX(INDIRECT("NOTA["&amp;PAJAK[#Headers]&amp;"]"),PAJAK[[#This Row],[//]]-2+PAJAK[[#This Row],[QB]]-1))</f>
        <v/>
      </c>
      <c r="O42" s="13" t="e">
        <f ca="1">(PAJAK[[#This Row],[SUB T-DISC]]-PAJAK[[#This Row],[DISC DLL]])/111%</f>
        <v>#VALUE!</v>
      </c>
      <c r="P42" s="13" t="e">
        <f ca="1">PAJAK[[#This Row],[DPP]]*PAJAK[[#This Row],[PPN]]</f>
        <v>#VALUE!</v>
      </c>
      <c r="Q42" s="13" t="e">
        <f ca="1">PAJAK[[#This Row],[DPP]]+PAJAK[[#This Row],[PPN 11%]]</f>
        <v>#VALUE!</v>
      </c>
      <c r="R42" s="1" t="str">
        <f ca="1">IF(ISNUMBER(PAJAK[[#This Row],[//]]),PPN,"")</f>
        <v/>
      </c>
    </row>
    <row r="43" spans="1:18">
      <c r="A43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11" t="str">
        <f ca="1">HYPERLINK("[NOTA_.XLSX]NOTA!c"&amp;PAJAK[[#This Row],[//]],IF(PAJAK[[#This Row],[//]]="","",INDEX(INDIRECT("NOTA["&amp;PAJAK[#Headers]&amp;"]"),PAJAK[[#This Row],[//]]-2)))</f>
        <v/>
      </c>
      <c r="C43" t="str">
        <f ca="1">IF(PAJAK[[#This Row],[//]]="","",INDEX(INDIRECT("NOTA["&amp;PAJAK[#Headers]&amp;"]"),PAJAK[[#This Row],[//]]-2))</f>
        <v/>
      </c>
      <c r="D43" t="e">
        <f ca="1">MATCH(PAJAK[[#This Row],[ID]],[2]!Table1[ID],0)</f>
        <v>#REF!</v>
      </c>
      <c r="E43" s="4" t="str">
        <f ca="1">IF(PAJAK[[#This Row],[ID]]="","",COUNTIF(NOTA[ID_H],PAJAK[[#This Row],[ID]]))</f>
        <v/>
      </c>
      <c r="F43" t="str">
        <f ca="1">IF(PAJAK[[#This Row],[//]]="","",INDEX(CONV[2],MATCH(INDEX(INDIRECT("NOTA["&amp;PAJAK[#Headers]&amp;"]"),PAJAK[[#This Row],[//]]-2),CONV[1],0),0))</f>
        <v/>
      </c>
      <c r="G43" s="2" t="str">
        <f ca="1">IF(PAJAK[[#This Row],[//]]="","",INDEX(NOTA[TGL_H],PAJAK[[#This Row],[//]]-2))</f>
        <v/>
      </c>
      <c r="H43" s="2" t="str">
        <f ca="1">IF(PAJAK[[#This Row],[//]]="","",INDEX(INDIRECT("NOTA["&amp;PAJAK[#Headers]&amp;"]"),PAJAK[[#This Row],[//]]-2))</f>
        <v/>
      </c>
      <c r="I43" s="4" t="str">
        <f ca="1">IF(PAJAK[[#This Row],[//]]="","",INDEX(INDIRECT("NOTA["&amp;PAJAK[#Headers]&amp;"]"),PAJAK[[#This Row],[//]]-2))</f>
        <v/>
      </c>
      <c r="J43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13" t="str">
        <f ca="1">IF(PAJAK[[#This Row],[//]]="","",SUMIF(NOTA[ID_H],PAJAK[[#This Row],[ID]],NOTA[JUMLAH]))</f>
        <v/>
      </c>
      <c r="L43" s="13" t="str">
        <f ca="1">IF(PAJAK[[#This Row],[//]]="","",SUMIF(NOTA[ID_H],PAJAK[[#This Row],[ID]],NOTA[DISC]))</f>
        <v/>
      </c>
      <c r="M43" s="13" t="e">
        <f ca="1">PAJAK[[#This Row],[SUB TOTAL]]-PAJAK[[#This Row],[DISKON]]</f>
        <v>#VALUE!</v>
      </c>
      <c r="N43" s="13" t="str">
        <f ca="1">IF(PAJAK[[#This Row],[//]]="","",INDEX(INDIRECT("NOTA["&amp;PAJAK[#Headers]&amp;"]"),PAJAK[[#This Row],[//]]-2+PAJAK[[#This Row],[QB]]-1))</f>
        <v/>
      </c>
      <c r="O43" s="13" t="e">
        <f ca="1">(PAJAK[[#This Row],[SUB T-DISC]]-PAJAK[[#This Row],[DISC DLL]])/111%</f>
        <v>#VALUE!</v>
      </c>
      <c r="P43" s="13" t="e">
        <f ca="1">PAJAK[[#This Row],[DPP]]*PAJAK[[#This Row],[PPN]]</f>
        <v>#VALUE!</v>
      </c>
      <c r="Q43" s="13" t="e">
        <f ca="1">PAJAK[[#This Row],[DPP]]+PAJAK[[#This Row],[PPN 11%]]</f>
        <v>#VALUE!</v>
      </c>
      <c r="R43" s="1" t="str">
        <f ca="1">IF(ISNUMBER(PAJAK[[#This Row],[//]]),PPN,"")</f>
        <v/>
      </c>
    </row>
    <row r="44" spans="1:18">
      <c r="A44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11" t="str">
        <f ca="1">HYPERLINK("[NOTA_.XLSX]NOTA!c"&amp;PAJAK[[#This Row],[//]],IF(PAJAK[[#This Row],[//]]="","",INDEX(INDIRECT("NOTA["&amp;PAJAK[#Headers]&amp;"]"),PAJAK[[#This Row],[//]]-2)))</f>
        <v/>
      </c>
      <c r="C44" t="str">
        <f ca="1">IF(PAJAK[[#This Row],[//]]="","",INDEX(INDIRECT("NOTA["&amp;PAJAK[#Headers]&amp;"]"),PAJAK[[#This Row],[//]]-2))</f>
        <v/>
      </c>
      <c r="D44" t="e">
        <f ca="1">MATCH(PAJAK[[#This Row],[ID]],[2]!Table1[ID],0)</f>
        <v>#REF!</v>
      </c>
      <c r="E44" s="4" t="str">
        <f ca="1">IF(PAJAK[[#This Row],[ID]]="","",COUNTIF(NOTA[ID_H],PAJAK[[#This Row],[ID]]))</f>
        <v/>
      </c>
      <c r="F44" t="str">
        <f ca="1">IF(PAJAK[[#This Row],[//]]="","",INDEX(CONV[2],MATCH(INDEX(INDIRECT("NOTA["&amp;PAJAK[#Headers]&amp;"]"),PAJAK[[#This Row],[//]]-2),CONV[1],0),0))</f>
        <v/>
      </c>
      <c r="G44" s="2" t="str">
        <f ca="1">IF(PAJAK[[#This Row],[//]]="","",INDEX(NOTA[TGL_H],PAJAK[[#This Row],[//]]-2))</f>
        <v/>
      </c>
      <c r="H44" s="2" t="str">
        <f ca="1">IF(PAJAK[[#This Row],[//]]="","",INDEX(INDIRECT("NOTA["&amp;PAJAK[#Headers]&amp;"]"),PAJAK[[#This Row],[//]]-2))</f>
        <v/>
      </c>
      <c r="I44" s="4" t="str">
        <f ca="1">IF(PAJAK[[#This Row],[//]]="","",INDEX(INDIRECT("NOTA["&amp;PAJAK[#Headers]&amp;"]"),PAJAK[[#This Row],[//]]-2))</f>
        <v/>
      </c>
      <c r="J44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13" t="str">
        <f ca="1">IF(PAJAK[[#This Row],[//]]="","",SUMIF(NOTA[ID_H],PAJAK[[#This Row],[ID]],NOTA[JUMLAH]))</f>
        <v/>
      </c>
      <c r="L44" s="13" t="str">
        <f ca="1">IF(PAJAK[[#This Row],[//]]="","",SUMIF(NOTA[ID_H],PAJAK[[#This Row],[ID]],NOTA[DISC]))</f>
        <v/>
      </c>
      <c r="M44" s="13" t="e">
        <f ca="1">PAJAK[[#This Row],[SUB TOTAL]]-PAJAK[[#This Row],[DISKON]]</f>
        <v>#VALUE!</v>
      </c>
      <c r="N44" s="13" t="str">
        <f ca="1">IF(PAJAK[[#This Row],[//]]="","",INDEX(INDIRECT("NOTA["&amp;PAJAK[#Headers]&amp;"]"),PAJAK[[#This Row],[//]]-2+PAJAK[[#This Row],[QB]]-1))</f>
        <v/>
      </c>
      <c r="O44" s="13" t="e">
        <f ca="1">(PAJAK[[#This Row],[SUB T-DISC]]-PAJAK[[#This Row],[DISC DLL]])/111%</f>
        <v>#VALUE!</v>
      </c>
      <c r="P44" s="13" t="e">
        <f ca="1">PAJAK[[#This Row],[DPP]]*PAJAK[[#This Row],[PPN]]</f>
        <v>#VALUE!</v>
      </c>
      <c r="Q44" s="13" t="e">
        <f ca="1">PAJAK[[#This Row],[DPP]]+PAJAK[[#This Row],[PPN 11%]]</f>
        <v>#VALUE!</v>
      </c>
      <c r="R44" s="1" t="str">
        <f ca="1">IF(ISNUMBER(PAJAK[[#This Row],[//]]),PPN,"")</f>
        <v/>
      </c>
    </row>
    <row r="45" spans="1:18">
      <c r="A45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t="str">
        <f ca="1">HYPERLINK("[NOTA_.XLSX]NOTA!c"&amp;PAJAK[[#This Row],[//]],IF(PAJAK[[#This Row],[//]]="","",INDEX(INDIRECT("NOTA["&amp;PAJAK[#Headers]&amp;"]"),PAJAK[[#This Row],[//]]-2)))</f>
        <v/>
      </c>
      <c r="C45" t="str">
        <f ca="1">IF(PAJAK[[#This Row],[//]]="","",INDEX(INDIRECT("NOTA["&amp;PAJAK[#Headers]&amp;"]"),PAJAK[[#This Row],[//]]-2))</f>
        <v/>
      </c>
      <c r="D45" t="e">
        <f ca="1">MATCH(PAJAK[[#This Row],[ID]],[2]!Table1[ID],0)</f>
        <v>#REF!</v>
      </c>
      <c r="E45" s="4" t="str">
        <f ca="1">IF(PAJAK[[#This Row],[ID]]="","",COUNTIF(NOTA[ID_H],PAJAK[[#This Row],[ID]]))</f>
        <v/>
      </c>
      <c r="F45" t="str">
        <f ca="1">IF(PAJAK[[#This Row],[//]]="","",INDEX(CONV[2],MATCH(INDEX(INDIRECT("NOTA["&amp;PAJAK[#Headers]&amp;"]"),PAJAK[[#This Row],[//]]-2),CONV[1],0),0))</f>
        <v/>
      </c>
      <c r="G45" s="2" t="str">
        <f ca="1">IF(PAJAK[[#This Row],[//]]="","",INDEX(NOTA[TGL_H],PAJAK[[#This Row],[//]]-2))</f>
        <v/>
      </c>
      <c r="H45" s="2" t="str">
        <f ca="1">IF(PAJAK[[#This Row],[//]]="","",INDEX(INDIRECT("NOTA["&amp;PAJAK[#Headers]&amp;"]"),PAJAK[[#This Row],[//]]-2))</f>
        <v/>
      </c>
      <c r="I45" s="4" t="str">
        <f ca="1">IF(PAJAK[[#This Row],[//]]="","",INDEX(INDIRECT("NOTA["&amp;PAJAK[#Headers]&amp;"]"),PAJAK[[#This Row],[//]]-2))</f>
        <v/>
      </c>
      <c r="J45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13" t="str">
        <f ca="1">IF(PAJAK[[#This Row],[//]]="","",SUMIF(NOTA[ID_H],PAJAK[[#This Row],[ID]],NOTA[JUMLAH]))</f>
        <v/>
      </c>
      <c r="L45" s="13" t="str">
        <f ca="1">IF(PAJAK[[#This Row],[//]]="","",SUMIF(NOTA[ID_H],PAJAK[[#This Row],[ID]],NOTA[DISC]))</f>
        <v/>
      </c>
      <c r="M45" s="13" t="e">
        <f ca="1">PAJAK[[#This Row],[SUB TOTAL]]-PAJAK[[#This Row],[DISKON]]</f>
        <v>#VALUE!</v>
      </c>
      <c r="N45" s="13" t="str">
        <f ca="1">IF(PAJAK[[#This Row],[//]]="","",INDEX(INDIRECT("NOTA["&amp;PAJAK[#Headers]&amp;"]"),PAJAK[[#This Row],[//]]-2+PAJAK[[#This Row],[QB]]-1))</f>
        <v/>
      </c>
      <c r="O45" s="13" t="e">
        <f ca="1">(PAJAK[[#This Row],[SUB T-DISC]]-PAJAK[[#This Row],[DISC DLL]])/111%</f>
        <v>#VALUE!</v>
      </c>
      <c r="P45" s="13" t="e">
        <f ca="1">PAJAK[[#This Row],[DPP]]*PAJAK[[#This Row],[PPN]]</f>
        <v>#VALUE!</v>
      </c>
      <c r="Q45" s="13" t="e">
        <f ca="1">PAJAK[[#This Row],[DPP]]+PAJAK[[#This Row],[PPN 11%]]</f>
        <v>#VALUE!</v>
      </c>
      <c r="R45" s="1" t="str">
        <f ca="1">IF(ISNUMBER(PAJAK[[#This Row],[//]]),PPN,"")</f>
        <v/>
      </c>
    </row>
    <row r="46" spans="1:18">
      <c r="A46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11" t="str">
        <f ca="1">HYPERLINK("[NOTA_.XLSX]NOTA!c"&amp;PAJAK[[#This Row],[//]],IF(PAJAK[[#This Row],[//]]="","",INDEX(INDIRECT("NOTA["&amp;PAJAK[#Headers]&amp;"]"),PAJAK[[#This Row],[//]]-2)))</f>
        <v/>
      </c>
      <c r="C46" t="str">
        <f ca="1">IF(PAJAK[[#This Row],[//]]="","",INDEX(INDIRECT("NOTA["&amp;PAJAK[#Headers]&amp;"]"),PAJAK[[#This Row],[//]]-2))</f>
        <v/>
      </c>
      <c r="D46" t="e">
        <f ca="1">MATCH(PAJAK[[#This Row],[ID]],[2]!Table1[ID],0)</f>
        <v>#REF!</v>
      </c>
      <c r="E46" s="4" t="str">
        <f ca="1">IF(PAJAK[[#This Row],[ID]]="","",COUNTIF(NOTA[ID_H],PAJAK[[#This Row],[ID]]))</f>
        <v/>
      </c>
      <c r="F46" t="str">
        <f ca="1">IF(PAJAK[[#This Row],[//]]="","",INDEX(CONV[2],MATCH(INDEX(INDIRECT("NOTA["&amp;PAJAK[#Headers]&amp;"]"),PAJAK[[#This Row],[//]]-2),CONV[1],0),0))</f>
        <v/>
      </c>
      <c r="G46" s="2" t="str">
        <f ca="1">IF(PAJAK[[#This Row],[//]]="","",INDEX(NOTA[TGL_H],PAJAK[[#This Row],[//]]-2))</f>
        <v/>
      </c>
      <c r="H46" s="2" t="str">
        <f ca="1">IF(PAJAK[[#This Row],[//]]="","",INDEX(INDIRECT("NOTA["&amp;PAJAK[#Headers]&amp;"]"),PAJAK[[#This Row],[//]]-2))</f>
        <v/>
      </c>
      <c r="I46" s="4" t="str">
        <f ca="1">IF(PAJAK[[#This Row],[//]]="","",INDEX(INDIRECT("NOTA["&amp;PAJAK[#Headers]&amp;"]"),PAJAK[[#This Row],[//]]-2))</f>
        <v/>
      </c>
      <c r="J46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13" t="str">
        <f ca="1">IF(PAJAK[[#This Row],[//]]="","",SUMIF(NOTA[ID_H],PAJAK[[#This Row],[ID]],NOTA[JUMLAH]))</f>
        <v/>
      </c>
      <c r="L46" s="13" t="str">
        <f ca="1">IF(PAJAK[[#This Row],[//]]="","",SUMIF(NOTA[ID_H],PAJAK[[#This Row],[ID]],NOTA[DISC]))</f>
        <v/>
      </c>
      <c r="M46" s="13" t="e">
        <f ca="1">PAJAK[[#This Row],[SUB TOTAL]]-PAJAK[[#This Row],[DISKON]]</f>
        <v>#VALUE!</v>
      </c>
      <c r="N46" s="13" t="str">
        <f ca="1">IF(PAJAK[[#This Row],[//]]="","",INDEX(INDIRECT("NOTA["&amp;PAJAK[#Headers]&amp;"]"),PAJAK[[#This Row],[//]]-2+PAJAK[[#This Row],[QB]]-1))</f>
        <v/>
      </c>
      <c r="O46" s="13" t="e">
        <f ca="1">(PAJAK[[#This Row],[SUB T-DISC]]-PAJAK[[#This Row],[DISC DLL]])/111%</f>
        <v>#VALUE!</v>
      </c>
      <c r="P46" s="13" t="e">
        <f ca="1">PAJAK[[#This Row],[DPP]]*PAJAK[[#This Row],[PPN]]</f>
        <v>#VALUE!</v>
      </c>
      <c r="Q46" s="13" t="e">
        <f ca="1">PAJAK[[#This Row],[DPP]]+PAJAK[[#This Row],[PPN 11%]]</f>
        <v>#VALUE!</v>
      </c>
      <c r="R46" s="1" t="str">
        <f ca="1">IF(ISNUMBER(PAJAK[[#This Row],[//]]),PPN,"")</f>
        <v/>
      </c>
    </row>
    <row r="47" spans="1:18">
      <c r="A47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11" t="str">
        <f ca="1">HYPERLINK("[NOTA_.XLSX]NOTA!c"&amp;PAJAK[[#This Row],[//]],IF(PAJAK[[#This Row],[//]]="","",INDEX(INDIRECT("NOTA["&amp;PAJAK[#Headers]&amp;"]"),PAJAK[[#This Row],[//]]-2)))</f>
        <v/>
      </c>
      <c r="C47" t="str">
        <f ca="1">IF(PAJAK[[#This Row],[//]]="","",INDEX(INDIRECT("NOTA["&amp;PAJAK[#Headers]&amp;"]"),PAJAK[[#This Row],[//]]-2))</f>
        <v/>
      </c>
      <c r="D47" t="e">
        <f ca="1">MATCH(PAJAK[[#This Row],[ID]],[2]!Table1[ID],0)</f>
        <v>#REF!</v>
      </c>
      <c r="E47" s="4" t="str">
        <f ca="1">IF(PAJAK[[#This Row],[ID]]="","",COUNTIF(NOTA[ID_H],PAJAK[[#This Row],[ID]]))</f>
        <v/>
      </c>
      <c r="F47" t="str">
        <f ca="1">IF(PAJAK[[#This Row],[//]]="","",INDEX(CONV[2],MATCH(INDEX(INDIRECT("NOTA["&amp;PAJAK[#Headers]&amp;"]"),PAJAK[[#This Row],[//]]-2),CONV[1],0),0))</f>
        <v/>
      </c>
      <c r="G47" s="2" t="str">
        <f ca="1">IF(PAJAK[[#This Row],[//]]="","",INDEX(NOTA[TGL_H],PAJAK[[#This Row],[//]]-2))</f>
        <v/>
      </c>
      <c r="H47" s="2" t="str">
        <f ca="1">IF(PAJAK[[#This Row],[//]]="","",INDEX(INDIRECT("NOTA["&amp;PAJAK[#Headers]&amp;"]"),PAJAK[[#This Row],[//]]-2))</f>
        <v/>
      </c>
      <c r="I47" s="4" t="str">
        <f ca="1">IF(PAJAK[[#This Row],[//]]="","",INDEX(INDIRECT("NOTA["&amp;PAJAK[#Headers]&amp;"]"),PAJAK[[#This Row],[//]]-2))</f>
        <v/>
      </c>
      <c r="J47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13" t="str">
        <f ca="1">IF(PAJAK[[#This Row],[//]]="","",SUMIF(NOTA[ID_H],PAJAK[[#This Row],[ID]],NOTA[JUMLAH]))</f>
        <v/>
      </c>
      <c r="L47" s="13" t="str">
        <f ca="1">IF(PAJAK[[#This Row],[//]]="","",SUMIF(NOTA[ID_H],PAJAK[[#This Row],[ID]],NOTA[DISC]))</f>
        <v/>
      </c>
      <c r="M47" s="13" t="e">
        <f ca="1">PAJAK[[#This Row],[SUB TOTAL]]-PAJAK[[#This Row],[DISKON]]</f>
        <v>#VALUE!</v>
      </c>
      <c r="N47" s="13" t="str">
        <f ca="1">IF(PAJAK[[#This Row],[//]]="","",INDEX(INDIRECT("NOTA["&amp;PAJAK[#Headers]&amp;"]"),PAJAK[[#This Row],[//]]-2+PAJAK[[#This Row],[QB]]-1))</f>
        <v/>
      </c>
      <c r="O47" s="13" t="e">
        <f ca="1">(PAJAK[[#This Row],[SUB T-DISC]]-PAJAK[[#This Row],[DISC DLL]])/111%</f>
        <v>#VALUE!</v>
      </c>
      <c r="P47" s="13" t="e">
        <f ca="1">PAJAK[[#This Row],[DPP]]*PAJAK[[#This Row],[PPN]]</f>
        <v>#VALUE!</v>
      </c>
      <c r="Q47" s="13" t="e">
        <f ca="1">PAJAK[[#This Row],[DPP]]+PAJAK[[#This Row],[PPN 11%]]</f>
        <v>#VALUE!</v>
      </c>
      <c r="R47" s="1" t="str">
        <f ca="1">IF(ISNUMBER(PAJAK[[#This Row],[//]]),PPN,"")</f>
        <v/>
      </c>
    </row>
    <row r="48" spans="1:18">
      <c r="A48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11" t="str">
        <f ca="1">HYPERLINK("[NOTA_.XLSX]NOTA!c"&amp;PAJAK[[#This Row],[//]],IF(PAJAK[[#This Row],[//]]="","",INDEX(INDIRECT("NOTA["&amp;PAJAK[#Headers]&amp;"]"),PAJAK[[#This Row],[//]]-2)))</f>
        <v/>
      </c>
      <c r="C48" t="str">
        <f ca="1">IF(PAJAK[[#This Row],[//]]="","",INDEX(INDIRECT("NOTA["&amp;PAJAK[#Headers]&amp;"]"),PAJAK[[#This Row],[//]]-2))</f>
        <v/>
      </c>
      <c r="D48" t="e">
        <f ca="1">MATCH(PAJAK[[#This Row],[ID]],[2]!Table1[ID],0)</f>
        <v>#REF!</v>
      </c>
      <c r="E48" s="4" t="str">
        <f ca="1">IF(PAJAK[[#This Row],[ID]]="","",COUNTIF(NOTA[ID_H],PAJAK[[#This Row],[ID]]))</f>
        <v/>
      </c>
      <c r="F48" t="str">
        <f ca="1">IF(PAJAK[[#This Row],[//]]="","",INDEX(CONV[2],MATCH(INDEX(INDIRECT("NOTA["&amp;PAJAK[#Headers]&amp;"]"),PAJAK[[#This Row],[//]]-2),CONV[1],0),0))</f>
        <v/>
      </c>
      <c r="G48" s="2" t="str">
        <f ca="1">IF(PAJAK[[#This Row],[//]]="","",INDEX(NOTA[TGL_H],PAJAK[[#This Row],[//]]-2))</f>
        <v/>
      </c>
      <c r="H48" s="2" t="str">
        <f ca="1">IF(PAJAK[[#This Row],[//]]="","",INDEX(INDIRECT("NOTA["&amp;PAJAK[#Headers]&amp;"]"),PAJAK[[#This Row],[//]]-2))</f>
        <v/>
      </c>
      <c r="I48" s="4" t="str">
        <f ca="1">IF(PAJAK[[#This Row],[//]]="","",INDEX(INDIRECT("NOTA["&amp;PAJAK[#Headers]&amp;"]"),PAJAK[[#This Row],[//]]-2))</f>
        <v/>
      </c>
      <c r="J48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13" t="str">
        <f ca="1">IF(PAJAK[[#This Row],[//]]="","",SUMIF(NOTA[ID_H],PAJAK[[#This Row],[ID]],NOTA[JUMLAH]))</f>
        <v/>
      </c>
      <c r="L48" s="13" t="str">
        <f ca="1">IF(PAJAK[[#This Row],[//]]="","",SUMIF(NOTA[ID_H],PAJAK[[#This Row],[ID]],NOTA[DISC]))</f>
        <v/>
      </c>
      <c r="M48" s="13" t="e">
        <f ca="1">PAJAK[[#This Row],[SUB TOTAL]]-PAJAK[[#This Row],[DISKON]]</f>
        <v>#VALUE!</v>
      </c>
      <c r="N48" s="13" t="str">
        <f ca="1">IF(PAJAK[[#This Row],[//]]="","",INDEX(INDIRECT("NOTA["&amp;PAJAK[#Headers]&amp;"]"),PAJAK[[#This Row],[//]]-2+PAJAK[[#This Row],[QB]]-1))</f>
        <v/>
      </c>
      <c r="O48" s="13" t="e">
        <f ca="1">(PAJAK[[#This Row],[SUB T-DISC]]-PAJAK[[#This Row],[DISC DLL]])/111%</f>
        <v>#VALUE!</v>
      </c>
      <c r="P48" s="13" t="e">
        <f ca="1">PAJAK[[#This Row],[DPP]]*PAJAK[[#This Row],[PPN]]</f>
        <v>#VALUE!</v>
      </c>
      <c r="Q48" s="13" t="e">
        <f ca="1">PAJAK[[#This Row],[DPP]]+PAJAK[[#This Row],[PPN 11%]]</f>
        <v>#VALUE!</v>
      </c>
      <c r="R48" s="1" t="str">
        <f ca="1">IF(ISNUMBER(PAJAK[[#This Row],[//]]),PPN,"")</f>
        <v/>
      </c>
    </row>
    <row r="49" spans="1:18">
      <c r="A49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t="str">
        <f ca="1">HYPERLINK("[NOTA_.XLSX]NOTA!c"&amp;PAJAK[[#This Row],[//]],IF(PAJAK[[#This Row],[//]]="","",INDEX(INDIRECT("NOTA["&amp;PAJAK[#Headers]&amp;"]"),PAJAK[[#This Row],[//]]-2)))</f>
        <v/>
      </c>
      <c r="C49" t="str">
        <f ca="1">IF(PAJAK[[#This Row],[//]]="","",INDEX(INDIRECT("NOTA["&amp;PAJAK[#Headers]&amp;"]"),PAJAK[[#This Row],[//]]-2))</f>
        <v/>
      </c>
      <c r="D49" t="e">
        <f ca="1">MATCH(PAJAK[[#This Row],[ID]],[2]!Table1[ID],0)</f>
        <v>#REF!</v>
      </c>
      <c r="E49" s="4" t="str">
        <f ca="1">IF(PAJAK[[#This Row],[ID]]="","",COUNTIF(NOTA[ID_H],PAJAK[[#This Row],[ID]]))</f>
        <v/>
      </c>
      <c r="F49" t="str">
        <f ca="1">IF(PAJAK[[#This Row],[//]]="","",INDEX(CONV[2],MATCH(INDEX(INDIRECT("NOTA["&amp;PAJAK[#Headers]&amp;"]"),PAJAK[[#This Row],[//]]-2),CONV[1],0),0))</f>
        <v/>
      </c>
      <c r="G49" s="2" t="str">
        <f ca="1">IF(PAJAK[[#This Row],[//]]="","",INDEX(NOTA[TGL_H],PAJAK[[#This Row],[//]]-2))</f>
        <v/>
      </c>
      <c r="H49" s="2" t="str">
        <f ca="1">IF(PAJAK[[#This Row],[//]]="","",INDEX(INDIRECT("NOTA["&amp;PAJAK[#Headers]&amp;"]"),PAJAK[[#This Row],[//]]-2))</f>
        <v/>
      </c>
      <c r="I49" s="4" t="str">
        <f ca="1">IF(PAJAK[[#This Row],[//]]="","",INDEX(INDIRECT("NOTA["&amp;PAJAK[#Headers]&amp;"]"),PAJAK[[#This Row],[//]]-2))</f>
        <v/>
      </c>
      <c r="J49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3" t="str">
        <f ca="1">IF(PAJAK[[#This Row],[//]]="","",SUMIF(NOTA[ID_H],PAJAK[[#This Row],[ID]],NOTA[JUMLAH]))</f>
        <v/>
      </c>
      <c r="L49" s="13" t="str">
        <f ca="1">IF(PAJAK[[#This Row],[//]]="","",SUMIF(NOTA[ID_H],PAJAK[[#This Row],[ID]],NOTA[DISC]))</f>
        <v/>
      </c>
      <c r="M49" s="13" t="e">
        <f ca="1">PAJAK[[#This Row],[SUB TOTAL]]-PAJAK[[#This Row],[DISKON]]</f>
        <v>#VALUE!</v>
      </c>
      <c r="N49" s="13" t="str">
        <f ca="1">IF(PAJAK[[#This Row],[//]]="","",INDEX(INDIRECT("NOTA["&amp;PAJAK[#Headers]&amp;"]"),PAJAK[[#This Row],[//]]-2+PAJAK[[#This Row],[QB]]-1))</f>
        <v/>
      </c>
      <c r="O49" s="13" t="e">
        <f ca="1">(PAJAK[[#This Row],[SUB T-DISC]]-PAJAK[[#This Row],[DISC DLL]])/111%</f>
        <v>#VALUE!</v>
      </c>
      <c r="P49" s="13" t="e">
        <f ca="1">PAJAK[[#This Row],[DPP]]*PAJAK[[#This Row],[PPN]]</f>
        <v>#VALUE!</v>
      </c>
      <c r="Q49" s="13" t="e">
        <f ca="1">PAJAK[[#This Row],[DPP]]+PAJAK[[#This Row],[PPN 11%]]</f>
        <v>#VALUE!</v>
      </c>
      <c r="R49" s="1" t="str">
        <f ca="1">IF(ISNUMBER(PAJAK[[#This Row],[//]]),PPN,"")</f>
        <v/>
      </c>
    </row>
    <row r="50" spans="1:18">
      <c r="A50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t="str">
        <f ca="1">HYPERLINK("[NOTA_.XLSX]NOTA!c"&amp;PAJAK[[#This Row],[//]],IF(PAJAK[[#This Row],[//]]="","",INDEX(INDIRECT("NOTA["&amp;PAJAK[#Headers]&amp;"]"),PAJAK[[#This Row],[//]]-2)))</f>
        <v/>
      </c>
      <c r="C50" t="str">
        <f ca="1">IF(PAJAK[[#This Row],[//]]="","",INDEX(INDIRECT("NOTA["&amp;PAJAK[#Headers]&amp;"]"),PAJAK[[#This Row],[//]]-2))</f>
        <v/>
      </c>
      <c r="D50" t="e">
        <f ca="1">MATCH(PAJAK[[#This Row],[ID]],[2]!Table1[ID],0)</f>
        <v>#REF!</v>
      </c>
      <c r="E50" s="4" t="str">
        <f ca="1">IF(PAJAK[[#This Row],[ID]]="","",COUNTIF(NOTA[ID_H],PAJAK[[#This Row],[ID]]))</f>
        <v/>
      </c>
      <c r="F50" t="str">
        <f ca="1">IF(PAJAK[[#This Row],[//]]="","",INDEX(CONV[2],MATCH(INDEX(INDIRECT("NOTA["&amp;PAJAK[#Headers]&amp;"]"),PAJAK[[#This Row],[//]]-2),CONV[1],0),0))</f>
        <v/>
      </c>
      <c r="G50" s="2" t="str">
        <f ca="1">IF(PAJAK[[#This Row],[//]]="","",INDEX(NOTA[TGL_H],PAJAK[[#This Row],[//]]-2))</f>
        <v/>
      </c>
      <c r="H50" s="2" t="str">
        <f ca="1">IF(PAJAK[[#This Row],[//]]="","",INDEX(INDIRECT("NOTA["&amp;PAJAK[#Headers]&amp;"]"),PAJAK[[#This Row],[//]]-2))</f>
        <v/>
      </c>
      <c r="I50" s="4" t="str">
        <f ca="1">IF(PAJAK[[#This Row],[//]]="","",INDEX(INDIRECT("NOTA["&amp;PAJAK[#Headers]&amp;"]"),PAJAK[[#This Row],[//]]-2))</f>
        <v/>
      </c>
      <c r="J5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3" t="str">
        <f ca="1">IF(PAJAK[[#This Row],[//]]="","",SUMIF(NOTA[ID_H],PAJAK[[#This Row],[ID]],NOTA[JUMLAH]))</f>
        <v/>
      </c>
      <c r="L50" s="13" t="str">
        <f ca="1">IF(PAJAK[[#This Row],[//]]="","",SUMIF(NOTA[ID_H],PAJAK[[#This Row],[ID]],NOTA[DISC]))</f>
        <v/>
      </c>
      <c r="M50" s="13" t="e">
        <f ca="1">PAJAK[[#This Row],[SUB TOTAL]]-PAJAK[[#This Row],[DISKON]]</f>
        <v>#VALUE!</v>
      </c>
      <c r="N50" s="13" t="str">
        <f ca="1">IF(PAJAK[[#This Row],[//]]="","",INDEX(INDIRECT("NOTA["&amp;PAJAK[#Headers]&amp;"]"),PAJAK[[#This Row],[//]]-2+PAJAK[[#This Row],[QB]]-1))</f>
        <v/>
      </c>
      <c r="O50" s="13" t="e">
        <f ca="1">(PAJAK[[#This Row],[SUB T-DISC]]-PAJAK[[#This Row],[DISC DLL]])/111%</f>
        <v>#VALUE!</v>
      </c>
      <c r="P50" s="13" t="e">
        <f ca="1">PAJAK[[#This Row],[DPP]]*PAJAK[[#This Row],[PPN]]</f>
        <v>#VALUE!</v>
      </c>
      <c r="Q50" s="13" t="e">
        <f ca="1">PAJAK[[#This Row],[DPP]]+PAJAK[[#This Row],[PPN 11%]]</f>
        <v>#VALUE!</v>
      </c>
      <c r="R50" s="1" t="str">
        <f ca="1">IF(ISNUMBER(PAJAK[[#This Row],[//]]),PPN,"")</f>
        <v/>
      </c>
    </row>
    <row r="51" spans="1:18">
      <c r="A51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t="str">
        <f ca="1">HYPERLINK("[NOTA_.XLSX]NOTA!c"&amp;PAJAK[[#This Row],[//]],IF(PAJAK[[#This Row],[//]]="","",INDEX(INDIRECT("NOTA["&amp;PAJAK[#Headers]&amp;"]"),PAJAK[[#This Row],[//]]-2)))</f>
        <v/>
      </c>
      <c r="C51" t="str">
        <f ca="1">IF(PAJAK[[#This Row],[//]]="","",INDEX(INDIRECT("NOTA["&amp;PAJAK[#Headers]&amp;"]"),PAJAK[[#This Row],[//]]-2))</f>
        <v/>
      </c>
      <c r="D51" t="e">
        <f ca="1">MATCH(PAJAK[[#This Row],[ID]],[2]!Table1[ID],0)</f>
        <v>#REF!</v>
      </c>
      <c r="E51" s="4" t="str">
        <f ca="1">IF(PAJAK[[#This Row],[ID]]="","",COUNTIF(NOTA[ID_H],PAJAK[[#This Row],[ID]]))</f>
        <v/>
      </c>
      <c r="F51" t="str">
        <f ca="1">IF(PAJAK[[#This Row],[//]]="","",INDEX(CONV[2],MATCH(INDEX(INDIRECT("NOTA["&amp;PAJAK[#Headers]&amp;"]"),PAJAK[[#This Row],[//]]-2),CONV[1],0),0))</f>
        <v/>
      </c>
      <c r="G51" s="2" t="str">
        <f ca="1">IF(PAJAK[[#This Row],[//]]="","",INDEX(NOTA[TGL_H],PAJAK[[#This Row],[//]]-2))</f>
        <v/>
      </c>
      <c r="H51" s="2" t="str">
        <f ca="1">IF(PAJAK[[#This Row],[//]]="","",INDEX(INDIRECT("NOTA["&amp;PAJAK[#Headers]&amp;"]"),PAJAK[[#This Row],[//]]-2))</f>
        <v/>
      </c>
      <c r="I51" s="4" t="str">
        <f ca="1">IF(PAJAK[[#This Row],[//]]="","",INDEX(INDIRECT("NOTA["&amp;PAJAK[#Headers]&amp;"]"),PAJAK[[#This Row],[//]]-2))</f>
        <v/>
      </c>
      <c r="J51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3" t="str">
        <f ca="1">IF(PAJAK[[#This Row],[//]]="","",SUMIF(NOTA[ID_H],PAJAK[[#This Row],[ID]],NOTA[JUMLAH]))</f>
        <v/>
      </c>
      <c r="L51" s="13" t="str">
        <f ca="1">IF(PAJAK[[#This Row],[//]]="","",SUMIF(NOTA[ID_H],PAJAK[[#This Row],[ID]],NOTA[DISC]))</f>
        <v/>
      </c>
      <c r="M51" s="13" t="e">
        <f ca="1">PAJAK[[#This Row],[SUB TOTAL]]-PAJAK[[#This Row],[DISKON]]</f>
        <v>#VALUE!</v>
      </c>
      <c r="N51" s="13" t="str">
        <f ca="1">IF(PAJAK[[#This Row],[//]]="","",INDEX(INDIRECT("NOTA["&amp;PAJAK[#Headers]&amp;"]"),PAJAK[[#This Row],[//]]-2+PAJAK[[#This Row],[QB]]-1))</f>
        <v/>
      </c>
      <c r="O51" s="13" t="e">
        <f ca="1">(PAJAK[[#This Row],[SUB T-DISC]]-PAJAK[[#This Row],[DISC DLL]])/111%</f>
        <v>#VALUE!</v>
      </c>
      <c r="P51" s="13" t="e">
        <f ca="1">PAJAK[[#This Row],[DPP]]*PAJAK[[#This Row],[PPN]]</f>
        <v>#VALUE!</v>
      </c>
      <c r="Q51" s="13" t="e">
        <f ca="1">PAJAK[[#This Row],[DPP]]+PAJAK[[#This Row],[PPN 11%]]</f>
        <v>#VALUE!</v>
      </c>
      <c r="R51" s="1" t="str">
        <f ca="1">IF(ISNUMBER(PAJAK[[#This Row],[//]]),PPN,"")</f>
        <v/>
      </c>
    </row>
    <row r="52" spans="1:18">
      <c r="A52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t="str">
        <f ca="1">HYPERLINK("[NOTA_.XLSX]NOTA!c"&amp;PAJAK[[#This Row],[//]],IF(PAJAK[[#This Row],[//]]="","",INDEX(INDIRECT("NOTA["&amp;PAJAK[#Headers]&amp;"]"),PAJAK[[#This Row],[//]]-2)))</f>
        <v/>
      </c>
      <c r="C52" t="str">
        <f ca="1">IF(PAJAK[[#This Row],[//]]="","",INDEX(INDIRECT("NOTA["&amp;PAJAK[#Headers]&amp;"]"),PAJAK[[#This Row],[//]]-2))</f>
        <v/>
      </c>
      <c r="D52" t="e">
        <f ca="1">MATCH(PAJAK[[#This Row],[ID]],[2]!Table1[ID],0)</f>
        <v>#REF!</v>
      </c>
      <c r="E52" s="4" t="str">
        <f ca="1">IF(PAJAK[[#This Row],[ID]]="","",COUNTIF(NOTA[ID_H],PAJAK[[#This Row],[ID]]))</f>
        <v/>
      </c>
      <c r="F52" t="str">
        <f ca="1">IF(PAJAK[[#This Row],[//]]="","",INDEX(CONV[2],MATCH(INDEX(INDIRECT("NOTA["&amp;PAJAK[#Headers]&amp;"]"),PAJAK[[#This Row],[//]]-2),CONV[1],0),0))</f>
        <v/>
      </c>
      <c r="G52" s="2" t="str">
        <f ca="1">IF(PAJAK[[#This Row],[//]]="","",INDEX(NOTA[TGL_H],PAJAK[[#This Row],[//]]-2))</f>
        <v/>
      </c>
      <c r="H52" s="2" t="str">
        <f ca="1">IF(PAJAK[[#This Row],[//]]="","",INDEX(INDIRECT("NOTA["&amp;PAJAK[#Headers]&amp;"]"),PAJAK[[#This Row],[//]]-2))</f>
        <v/>
      </c>
      <c r="I52" s="4" t="str">
        <f ca="1">IF(PAJAK[[#This Row],[//]]="","",INDEX(INDIRECT("NOTA["&amp;PAJAK[#Headers]&amp;"]"),PAJAK[[#This Row],[//]]-2))</f>
        <v/>
      </c>
      <c r="J52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3" t="str">
        <f ca="1">IF(PAJAK[[#This Row],[//]]="","",SUMIF(NOTA[ID_H],PAJAK[[#This Row],[ID]],NOTA[JUMLAH]))</f>
        <v/>
      </c>
      <c r="L52" s="13" t="str">
        <f ca="1">IF(PAJAK[[#This Row],[//]]="","",SUMIF(NOTA[ID_H],PAJAK[[#This Row],[ID]],NOTA[DISC]))</f>
        <v/>
      </c>
      <c r="M52" s="13" t="e">
        <f ca="1">PAJAK[[#This Row],[SUB TOTAL]]-PAJAK[[#This Row],[DISKON]]</f>
        <v>#VALUE!</v>
      </c>
      <c r="N52" s="13" t="str">
        <f ca="1">IF(PAJAK[[#This Row],[//]]="","",INDEX(INDIRECT("NOTA["&amp;PAJAK[#Headers]&amp;"]"),PAJAK[[#This Row],[//]]-2+PAJAK[[#This Row],[QB]]-1))</f>
        <v/>
      </c>
      <c r="O52" s="13" t="e">
        <f ca="1">(PAJAK[[#This Row],[SUB T-DISC]]-PAJAK[[#This Row],[DISC DLL]])/111%</f>
        <v>#VALUE!</v>
      </c>
      <c r="P52" s="13" t="e">
        <f ca="1">PAJAK[[#This Row],[DPP]]*PAJAK[[#This Row],[PPN]]</f>
        <v>#VALUE!</v>
      </c>
      <c r="Q52" s="13" t="e">
        <f ca="1">PAJAK[[#This Row],[DPP]]+PAJAK[[#This Row],[PPN 11%]]</f>
        <v>#VALUE!</v>
      </c>
      <c r="R52" s="1" t="str">
        <f ca="1">IF(ISNUMBER(PAJAK[[#This Row],[//]]),PPN,"")</f>
        <v/>
      </c>
    </row>
    <row r="53" spans="1:18">
      <c r="A53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1" t="str">
        <f ca="1">HYPERLINK("[NOTA_.XLSX]NOTA!c"&amp;PAJAK[[#This Row],[//]],IF(PAJAK[[#This Row],[//]]="","",INDEX(INDIRECT("NOTA["&amp;PAJAK[#Headers]&amp;"]"),PAJAK[[#This Row],[//]]-2)))</f>
        <v/>
      </c>
      <c r="C53" t="str">
        <f ca="1">IF(PAJAK[[#This Row],[//]]="","",INDEX(INDIRECT("NOTA["&amp;PAJAK[#Headers]&amp;"]"),PAJAK[[#This Row],[//]]-2))</f>
        <v/>
      </c>
      <c r="D53" t="e">
        <f ca="1">MATCH(PAJAK[[#This Row],[ID]],[2]!Table1[ID],0)</f>
        <v>#REF!</v>
      </c>
      <c r="E53" s="4" t="str">
        <f ca="1">IF(PAJAK[[#This Row],[ID]]="","",COUNTIF(NOTA[ID_H],PAJAK[[#This Row],[ID]]))</f>
        <v/>
      </c>
      <c r="F53" t="str">
        <f ca="1">IF(PAJAK[[#This Row],[//]]="","",INDEX(CONV[2],MATCH(INDEX(INDIRECT("NOTA["&amp;PAJAK[#Headers]&amp;"]"),PAJAK[[#This Row],[//]]-2),CONV[1],0),0))</f>
        <v/>
      </c>
      <c r="G53" s="2" t="str">
        <f ca="1">IF(PAJAK[[#This Row],[//]]="","",INDEX(NOTA[TGL_H],PAJAK[[#This Row],[//]]-2))</f>
        <v/>
      </c>
      <c r="H53" s="2" t="str">
        <f ca="1">IF(PAJAK[[#This Row],[//]]="","",INDEX(INDIRECT("NOTA["&amp;PAJAK[#Headers]&amp;"]"),PAJAK[[#This Row],[//]]-2))</f>
        <v/>
      </c>
      <c r="I53" s="4" t="str">
        <f ca="1">IF(PAJAK[[#This Row],[//]]="","",INDEX(INDIRECT("NOTA["&amp;PAJAK[#Headers]&amp;"]"),PAJAK[[#This Row],[//]]-2))</f>
        <v/>
      </c>
      <c r="J53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3" t="str">
        <f ca="1">IF(PAJAK[[#This Row],[//]]="","",SUMIF(NOTA[ID_H],PAJAK[[#This Row],[ID]],NOTA[JUMLAH]))</f>
        <v/>
      </c>
      <c r="L53" s="13" t="str">
        <f ca="1">IF(PAJAK[[#This Row],[//]]="","",SUMIF(NOTA[ID_H],PAJAK[[#This Row],[ID]],NOTA[DISC]))</f>
        <v/>
      </c>
      <c r="M53" s="13" t="e">
        <f ca="1">PAJAK[[#This Row],[SUB TOTAL]]-PAJAK[[#This Row],[DISKON]]</f>
        <v>#VALUE!</v>
      </c>
      <c r="N53" s="13" t="str">
        <f ca="1">IF(PAJAK[[#This Row],[//]]="","",INDEX(INDIRECT("NOTA["&amp;PAJAK[#Headers]&amp;"]"),PAJAK[[#This Row],[//]]-2+PAJAK[[#This Row],[QB]]-1))</f>
        <v/>
      </c>
      <c r="O53" s="13" t="e">
        <f ca="1">(PAJAK[[#This Row],[SUB T-DISC]]-PAJAK[[#This Row],[DISC DLL]])/111%</f>
        <v>#VALUE!</v>
      </c>
      <c r="P53" s="13" t="e">
        <f ca="1">PAJAK[[#This Row],[DPP]]*PAJAK[[#This Row],[PPN]]</f>
        <v>#VALUE!</v>
      </c>
      <c r="Q53" s="13" t="e">
        <f ca="1">PAJAK[[#This Row],[DPP]]+PAJAK[[#This Row],[PPN 11%]]</f>
        <v>#VALUE!</v>
      </c>
      <c r="R53" s="1" t="str">
        <f ca="1">IF(ISNUMBER(PAJAK[[#This Row],[//]]),PPN,"")</f>
        <v/>
      </c>
    </row>
    <row r="54" spans="1:18">
      <c r="A54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11" t="str">
        <f ca="1">HYPERLINK("[NOTA_.XLSX]NOTA!c"&amp;PAJAK[[#This Row],[//]],IF(PAJAK[[#This Row],[//]]="","",INDEX(INDIRECT("NOTA["&amp;PAJAK[#Headers]&amp;"]"),PAJAK[[#This Row],[//]]-2)))</f>
        <v/>
      </c>
      <c r="C54" t="str">
        <f ca="1">IF(PAJAK[[#This Row],[//]]="","",INDEX(INDIRECT("NOTA["&amp;PAJAK[#Headers]&amp;"]"),PAJAK[[#This Row],[//]]-2))</f>
        <v/>
      </c>
      <c r="D54" t="e">
        <f ca="1">MATCH(PAJAK[[#This Row],[ID]],[2]!Table1[ID],0)</f>
        <v>#REF!</v>
      </c>
      <c r="E54" s="4" t="str">
        <f ca="1">IF(PAJAK[[#This Row],[ID]]="","",COUNTIF(NOTA[ID_H],PAJAK[[#This Row],[ID]]))</f>
        <v/>
      </c>
      <c r="F54" t="str">
        <f ca="1">IF(PAJAK[[#This Row],[//]]="","",INDEX(CONV[2],MATCH(INDEX(INDIRECT("NOTA["&amp;PAJAK[#Headers]&amp;"]"),PAJAK[[#This Row],[//]]-2),CONV[1],0),0))</f>
        <v/>
      </c>
      <c r="G54" s="2" t="str">
        <f ca="1">IF(PAJAK[[#This Row],[//]]="","",INDEX(NOTA[TGL_H],PAJAK[[#This Row],[//]]-2))</f>
        <v/>
      </c>
      <c r="H54" s="2" t="str">
        <f ca="1">IF(PAJAK[[#This Row],[//]]="","",INDEX(INDIRECT("NOTA["&amp;PAJAK[#Headers]&amp;"]"),PAJAK[[#This Row],[//]]-2))</f>
        <v/>
      </c>
      <c r="I54" s="4" t="str">
        <f ca="1">IF(PAJAK[[#This Row],[//]]="","",INDEX(INDIRECT("NOTA["&amp;PAJAK[#Headers]&amp;"]"),PAJAK[[#This Row],[//]]-2))</f>
        <v/>
      </c>
      <c r="J54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3" t="str">
        <f ca="1">IF(PAJAK[[#This Row],[//]]="","",SUMIF(NOTA[ID_H],PAJAK[[#This Row],[ID]],NOTA[JUMLAH]))</f>
        <v/>
      </c>
      <c r="L54" s="13" t="str">
        <f ca="1">IF(PAJAK[[#This Row],[//]]="","",SUMIF(NOTA[ID_H],PAJAK[[#This Row],[ID]],NOTA[DISC]))</f>
        <v/>
      </c>
      <c r="M54" s="13" t="e">
        <f ca="1">PAJAK[[#This Row],[SUB TOTAL]]-PAJAK[[#This Row],[DISKON]]</f>
        <v>#VALUE!</v>
      </c>
      <c r="N54" s="13" t="str">
        <f ca="1">IF(PAJAK[[#This Row],[//]]="","",INDEX(INDIRECT("NOTA["&amp;PAJAK[#Headers]&amp;"]"),PAJAK[[#This Row],[//]]-2+PAJAK[[#This Row],[QB]]-1))</f>
        <v/>
      </c>
      <c r="O54" s="13" t="e">
        <f ca="1">(PAJAK[[#This Row],[SUB T-DISC]]-PAJAK[[#This Row],[DISC DLL]])/111%</f>
        <v>#VALUE!</v>
      </c>
      <c r="P54" s="13" t="e">
        <f ca="1">PAJAK[[#This Row],[DPP]]*PAJAK[[#This Row],[PPN]]</f>
        <v>#VALUE!</v>
      </c>
      <c r="Q54" s="13" t="e">
        <f ca="1">PAJAK[[#This Row],[DPP]]+PAJAK[[#This Row],[PPN 11%]]</f>
        <v>#VALUE!</v>
      </c>
      <c r="R54" s="1" t="str">
        <f ca="1">IF(ISNUMBER(PAJAK[[#This Row],[//]]),PPN,"")</f>
        <v/>
      </c>
    </row>
    <row r="55" spans="1:18">
      <c r="A55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1" t="str">
        <f ca="1">HYPERLINK("[NOTA_.XLSX]NOTA!c"&amp;PAJAK[[#This Row],[//]],IF(PAJAK[[#This Row],[//]]="","",INDEX(INDIRECT("NOTA["&amp;PAJAK[#Headers]&amp;"]"),PAJAK[[#This Row],[//]]-2)))</f>
        <v/>
      </c>
      <c r="C55" t="str">
        <f ca="1">IF(PAJAK[[#This Row],[//]]="","",INDEX(INDIRECT("NOTA["&amp;PAJAK[#Headers]&amp;"]"),PAJAK[[#This Row],[//]]-2))</f>
        <v/>
      </c>
      <c r="D55" t="e">
        <f ca="1">MATCH(PAJAK[[#This Row],[ID]],[2]!Table1[ID],0)</f>
        <v>#REF!</v>
      </c>
      <c r="E55" s="4" t="str">
        <f ca="1">IF(PAJAK[[#This Row],[ID]]="","",COUNTIF(NOTA[ID_H],PAJAK[[#This Row],[ID]]))</f>
        <v/>
      </c>
      <c r="F55" t="str">
        <f ca="1">IF(PAJAK[[#This Row],[//]]="","",INDEX(CONV[2],MATCH(INDEX(INDIRECT("NOTA["&amp;PAJAK[#Headers]&amp;"]"),PAJAK[[#This Row],[//]]-2),CONV[1],0),0))</f>
        <v/>
      </c>
      <c r="G55" s="2" t="str">
        <f ca="1">IF(PAJAK[[#This Row],[//]]="","",INDEX(NOTA[TGL_H],PAJAK[[#This Row],[//]]-2))</f>
        <v/>
      </c>
      <c r="H55" s="2" t="str">
        <f ca="1">IF(PAJAK[[#This Row],[//]]="","",INDEX(INDIRECT("NOTA["&amp;PAJAK[#Headers]&amp;"]"),PAJAK[[#This Row],[//]]-2))</f>
        <v/>
      </c>
      <c r="I55" s="4" t="str">
        <f ca="1">IF(PAJAK[[#This Row],[//]]="","",INDEX(INDIRECT("NOTA["&amp;PAJAK[#Headers]&amp;"]"),PAJAK[[#This Row],[//]]-2))</f>
        <v/>
      </c>
      <c r="J55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3" t="str">
        <f ca="1">IF(PAJAK[[#This Row],[//]]="","",SUMIF(NOTA[ID_H],PAJAK[[#This Row],[ID]],NOTA[JUMLAH]))</f>
        <v/>
      </c>
      <c r="L55" s="13" t="str">
        <f ca="1">IF(PAJAK[[#This Row],[//]]="","",SUMIF(NOTA[ID_H],PAJAK[[#This Row],[ID]],NOTA[DISC]))</f>
        <v/>
      </c>
      <c r="M55" s="13" t="e">
        <f ca="1">PAJAK[[#This Row],[SUB TOTAL]]-PAJAK[[#This Row],[DISKON]]</f>
        <v>#VALUE!</v>
      </c>
      <c r="N55" s="13" t="str">
        <f ca="1">IF(PAJAK[[#This Row],[//]]="","",INDEX(INDIRECT("NOTA["&amp;PAJAK[#Headers]&amp;"]"),PAJAK[[#This Row],[//]]-2+PAJAK[[#This Row],[QB]]-1))</f>
        <v/>
      </c>
      <c r="O55" s="13" t="e">
        <f ca="1">(PAJAK[[#This Row],[SUB T-DISC]]-PAJAK[[#This Row],[DISC DLL]])/111%</f>
        <v>#VALUE!</v>
      </c>
      <c r="P55" s="13" t="e">
        <f ca="1">PAJAK[[#This Row],[DPP]]*PAJAK[[#This Row],[PPN]]</f>
        <v>#VALUE!</v>
      </c>
      <c r="Q55" s="13" t="e">
        <f ca="1">PAJAK[[#This Row],[DPP]]+PAJAK[[#This Row],[PPN 11%]]</f>
        <v>#VALUE!</v>
      </c>
      <c r="R55" s="1" t="str">
        <f ca="1">IF(ISNUMBER(PAJAK[[#This Row],[//]]),PPN,"")</f>
        <v/>
      </c>
    </row>
    <row r="56" spans="1:18">
      <c r="A56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11" t="str">
        <f ca="1">HYPERLINK("[NOTA_.XLSX]NOTA!c"&amp;PAJAK[[#This Row],[//]],IF(PAJAK[[#This Row],[//]]="","",INDEX(INDIRECT("NOTA["&amp;PAJAK[#Headers]&amp;"]"),PAJAK[[#This Row],[//]]-2)))</f>
        <v/>
      </c>
      <c r="C56" t="str">
        <f ca="1">IF(PAJAK[[#This Row],[//]]="","",INDEX(INDIRECT("NOTA["&amp;PAJAK[#Headers]&amp;"]"),PAJAK[[#This Row],[//]]-2))</f>
        <v/>
      </c>
      <c r="D56" t="e">
        <f ca="1">MATCH(PAJAK[[#This Row],[ID]],[2]!Table1[ID],0)</f>
        <v>#REF!</v>
      </c>
      <c r="E56" s="4" t="str">
        <f ca="1">IF(PAJAK[[#This Row],[ID]]="","",COUNTIF(NOTA[ID_H],PAJAK[[#This Row],[ID]]))</f>
        <v/>
      </c>
      <c r="F56" t="str">
        <f ca="1">IF(PAJAK[[#This Row],[//]]="","",INDEX(CONV[2],MATCH(INDEX(INDIRECT("NOTA["&amp;PAJAK[#Headers]&amp;"]"),PAJAK[[#This Row],[//]]-2),CONV[1],0),0))</f>
        <v/>
      </c>
      <c r="G56" s="2" t="str">
        <f ca="1">IF(PAJAK[[#This Row],[//]]="","",INDEX(NOTA[TGL_H],PAJAK[[#This Row],[//]]-2))</f>
        <v/>
      </c>
      <c r="H56" s="2" t="str">
        <f ca="1">IF(PAJAK[[#This Row],[//]]="","",INDEX(INDIRECT("NOTA["&amp;PAJAK[#Headers]&amp;"]"),PAJAK[[#This Row],[//]]-2))</f>
        <v/>
      </c>
      <c r="I56" s="4" t="str">
        <f ca="1">IF(PAJAK[[#This Row],[//]]="","",INDEX(INDIRECT("NOTA["&amp;PAJAK[#Headers]&amp;"]"),PAJAK[[#This Row],[//]]-2))</f>
        <v/>
      </c>
      <c r="J56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3" t="str">
        <f ca="1">IF(PAJAK[[#This Row],[//]]="","",SUMIF(NOTA[ID_H],PAJAK[[#This Row],[ID]],NOTA[JUMLAH]))</f>
        <v/>
      </c>
      <c r="L56" s="13" t="str">
        <f ca="1">IF(PAJAK[[#This Row],[//]]="","",SUMIF(NOTA[ID_H],PAJAK[[#This Row],[ID]],NOTA[DISC]))</f>
        <v/>
      </c>
      <c r="M56" s="13" t="e">
        <f ca="1">PAJAK[[#This Row],[SUB TOTAL]]-PAJAK[[#This Row],[DISKON]]</f>
        <v>#VALUE!</v>
      </c>
      <c r="N56" s="13" t="str">
        <f ca="1">IF(PAJAK[[#This Row],[//]]="","",INDEX(INDIRECT("NOTA["&amp;PAJAK[#Headers]&amp;"]"),PAJAK[[#This Row],[//]]-2+PAJAK[[#This Row],[QB]]-1))</f>
        <v/>
      </c>
      <c r="O56" s="13" t="e">
        <f ca="1">(PAJAK[[#This Row],[SUB T-DISC]]-PAJAK[[#This Row],[DISC DLL]])/111%</f>
        <v>#VALUE!</v>
      </c>
      <c r="P56" s="13" t="e">
        <f ca="1">PAJAK[[#This Row],[DPP]]*PAJAK[[#This Row],[PPN]]</f>
        <v>#VALUE!</v>
      </c>
      <c r="Q56" s="13" t="e">
        <f ca="1">PAJAK[[#This Row],[DPP]]+PAJAK[[#This Row],[PPN 11%]]</f>
        <v>#VALUE!</v>
      </c>
      <c r="R56" s="1" t="str">
        <f ca="1">IF(ISNUMBER(PAJAK[[#This Row],[//]]),PPN,"")</f>
        <v/>
      </c>
    </row>
    <row r="57" spans="1:18">
      <c r="A57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11" t="str">
        <f ca="1">HYPERLINK("[NOTA_.XLSX]NOTA!c"&amp;PAJAK[[#This Row],[//]],IF(PAJAK[[#This Row],[//]]="","",INDEX(INDIRECT("NOTA["&amp;PAJAK[#Headers]&amp;"]"),PAJAK[[#This Row],[//]]-2)))</f>
        <v/>
      </c>
      <c r="C57" t="str">
        <f ca="1">IF(PAJAK[[#This Row],[//]]="","",INDEX(INDIRECT("NOTA["&amp;PAJAK[#Headers]&amp;"]"),PAJAK[[#This Row],[//]]-2))</f>
        <v/>
      </c>
      <c r="D57" t="e">
        <f ca="1">MATCH(PAJAK[[#This Row],[ID]],[2]!Table1[ID],0)</f>
        <v>#REF!</v>
      </c>
      <c r="E57" s="4" t="str">
        <f ca="1">IF(PAJAK[[#This Row],[ID]]="","",COUNTIF(NOTA[ID_H],PAJAK[[#This Row],[ID]]))</f>
        <v/>
      </c>
      <c r="F57" t="str">
        <f ca="1">IF(PAJAK[[#This Row],[//]]="","",INDEX(CONV[2],MATCH(INDEX(INDIRECT("NOTA["&amp;PAJAK[#Headers]&amp;"]"),PAJAK[[#This Row],[//]]-2),CONV[1],0),0))</f>
        <v/>
      </c>
      <c r="G57" s="2" t="str">
        <f ca="1">IF(PAJAK[[#This Row],[//]]="","",INDEX(NOTA[TGL_H],PAJAK[[#This Row],[//]]-2))</f>
        <v/>
      </c>
      <c r="H57" s="2" t="str">
        <f ca="1">IF(PAJAK[[#This Row],[//]]="","",INDEX(INDIRECT("NOTA["&amp;PAJAK[#Headers]&amp;"]"),PAJAK[[#This Row],[//]]-2))</f>
        <v/>
      </c>
      <c r="I57" s="4" t="str">
        <f ca="1">IF(PAJAK[[#This Row],[//]]="","",INDEX(INDIRECT("NOTA["&amp;PAJAK[#Headers]&amp;"]"),PAJAK[[#This Row],[//]]-2))</f>
        <v/>
      </c>
      <c r="J57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3" t="str">
        <f ca="1">IF(PAJAK[[#This Row],[//]]="","",SUMIF(NOTA[ID_H],PAJAK[[#This Row],[ID]],NOTA[JUMLAH]))</f>
        <v/>
      </c>
      <c r="L57" s="13" t="str">
        <f ca="1">IF(PAJAK[[#This Row],[//]]="","",SUMIF(NOTA[ID_H],PAJAK[[#This Row],[ID]],NOTA[DISC]))</f>
        <v/>
      </c>
      <c r="M57" s="13" t="e">
        <f ca="1">PAJAK[[#This Row],[SUB TOTAL]]-PAJAK[[#This Row],[DISKON]]</f>
        <v>#VALUE!</v>
      </c>
      <c r="N57" s="13" t="str">
        <f ca="1">IF(PAJAK[[#This Row],[//]]="","",INDEX(INDIRECT("NOTA["&amp;PAJAK[#Headers]&amp;"]"),PAJAK[[#This Row],[//]]-2+PAJAK[[#This Row],[QB]]-1))</f>
        <v/>
      </c>
      <c r="O57" s="13" t="e">
        <f ca="1">(PAJAK[[#This Row],[SUB T-DISC]]-PAJAK[[#This Row],[DISC DLL]])/111%</f>
        <v>#VALUE!</v>
      </c>
      <c r="P57" s="13" t="e">
        <f ca="1">PAJAK[[#This Row],[DPP]]*PAJAK[[#This Row],[PPN]]</f>
        <v>#VALUE!</v>
      </c>
      <c r="Q57" s="13" t="e">
        <f ca="1">PAJAK[[#This Row],[DPP]]+PAJAK[[#This Row],[PPN 11%]]</f>
        <v>#VALUE!</v>
      </c>
      <c r="R57" s="1" t="str">
        <f ca="1">IF(ISNUMBER(PAJAK[[#This Row],[//]]),PPN,"")</f>
        <v/>
      </c>
    </row>
    <row r="58" spans="1:18">
      <c r="A58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1" t="str">
        <f ca="1">HYPERLINK("[NOTA_.XLSX]NOTA!c"&amp;PAJAK[[#This Row],[//]],IF(PAJAK[[#This Row],[//]]="","",INDEX(INDIRECT("NOTA["&amp;PAJAK[#Headers]&amp;"]"),PAJAK[[#This Row],[//]]-2)))</f>
        <v/>
      </c>
      <c r="C58" t="str">
        <f ca="1">IF(PAJAK[[#This Row],[//]]="","",INDEX(INDIRECT("NOTA["&amp;PAJAK[#Headers]&amp;"]"),PAJAK[[#This Row],[//]]-2))</f>
        <v/>
      </c>
      <c r="D58" t="e">
        <f ca="1">MATCH(PAJAK[[#This Row],[ID]],[2]!Table1[ID],0)</f>
        <v>#REF!</v>
      </c>
      <c r="E58" s="4" t="str">
        <f ca="1">IF(PAJAK[[#This Row],[ID]]="","",COUNTIF(NOTA[ID_H],PAJAK[[#This Row],[ID]]))</f>
        <v/>
      </c>
      <c r="F58" t="str">
        <f ca="1">IF(PAJAK[[#This Row],[//]]="","",INDEX(CONV[2],MATCH(INDEX(INDIRECT("NOTA["&amp;PAJAK[#Headers]&amp;"]"),PAJAK[[#This Row],[//]]-2),CONV[1],0),0))</f>
        <v/>
      </c>
      <c r="G58" s="2" t="str">
        <f ca="1">IF(PAJAK[[#This Row],[//]]="","",INDEX(NOTA[TGL_H],PAJAK[[#This Row],[//]]-2))</f>
        <v/>
      </c>
      <c r="H58" s="2" t="str">
        <f ca="1">IF(PAJAK[[#This Row],[//]]="","",INDEX(INDIRECT("NOTA["&amp;PAJAK[#Headers]&amp;"]"),PAJAK[[#This Row],[//]]-2))</f>
        <v/>
      </c>
      <c r="I58" s="4" t="str">
        <f ca="1">IF(PAJAK[[#This Row],[//]]="","",INDEX(INDIRECT("NOTA["&amp;PAJAK[#Headers]&amp;"]"),PAJAK[[#This Row],[//]]-2))</f>
        <v/>
      </c>
      <c r="J58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3" t="str">
        <f ca="1">IF(PAJAK[[#This Row],[//]]="","",SUMIF(NOTA[ID_H],PAJAK[[#This Row],[ID]],NOTA[JUMLAH]))</f>
        <v/>
      </c>
      <c r="L58" s="13" t="str">
        <f ca="1">IF(PAJAK[[#This Row],[//]]="","",SUMIF(NOTA[ID_H],PAJAK[[#This Row],[ID]],NOTA[DISC]))</f>
        <v/>
      </c>
      <c r="M58" s="13" t="e">
        <f ca="1">PAJAK[[#This Row],[SUB TOTAL]]-PAJAK[[#This Row],[DISKON]]</f>
        <v>#VALUE!</v>
      </c>
      <c r="N58" s="13" t="str">
        <f ca="1">IF(PAJAK[[#This Row],[//]]="","",INDEX(INDIRECT("NOTA["&amp;PAJAK[#Headers]&amp;"]"),PAJAK[[#This Row],[//]]-2+PAJAK[[#This Row],[QB]]-1))</f>
        <v/>
      </c>
      <c r="O58" s="13" t="e">
        <f ca="1">(PAJAK[[#This Row],[SUB T-DISC]]-PAJAK[[#This Row],[DISC DLL]])/111%</f>
        <v>#VALUE!</v>
      </c>
      <c r="P58" s="13" t="e">
        <f ca="1">PAJAK[[#This Row],[DPP]]*PAJAK[[#This Row],[PPN]]</f>
        <v>#VALUE!</v>
      </c>
      <c r="Q58" s="13" t="e">
        <f ca="1">PAJAK[[#This Row],[DPP]]+PAJAK[[#This Row],[PPN 11%]]</f>
        <v>#VALUE!</v>
      </c>
      <c r="R58" s="1" t="str">
        <f ca="1">IF(ISNUMBER(PAJAK[[#This Row],[//]]),PPN,"")</f>
        <v/>
      </c>
    </row>
    <row r="59" spans="1:18">
      <c r="A59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1" t="str">
        <f ca="1">HYPERLINK("[NOTA_.XLSX]NOTA!c"&amp;PAJAK[[#This Row],[//]],IF(PAJAK[[#This Row],[//]]="","",INDEX(INDIRECT("NOTA["&amp;PAJAK[#Headers]&amp;"]"),PAJAK[[#This Row],[//]]-2)))</f>
        <v/>
      </c>
      <c r="C59" t="str">
        <f ca="1">IF(PAJAK[[#This Row],[//]]="","",INDEX(INDIRECT("NOTA["&amp;PAJAK[#Headers]&amp;"]"),PAJAK[[#This Row],[//]]-2))</f>
        <v/>
      </c>
      <c r="D59" t="e">
        <f ca="1">MATCH(PAJAK[[#This Row],[ID]],[2]!Table1[ID],0)</f>
        <v>#REF!</v>
      </c>
      <c r="E59" s="4" t="str">
        <f ca="1">IF(PAJAK[[#This Row],[ID]]="","",COUNTIF(NOTA[ID_H],PAJAK[[#This Row],[ID]]))</f>
        <v/>
      </c>
      <c r="F59" t="str">
        <f ca="1">IF(PAJAK[[#This Row],[//]]="","",INDEX(CONV[2],MATCH(INDEX(INDIRECT("NOTA["&amp;PAJAK[#Headers]&amp;"]"),PAJAK[[#This Row],[//]]-2),CONV[1],0),0))</f>
        <v/>
      </c>
      <c r="G59" s="2" t="str">
        <f ca="1">IF(PAJAK[[#This Row],[//]]="","",INDEX(NOTA[TGL_H],PAJAK[[#This Row],[//]]-2))</f>
        <v/>
      </c>
      <c r="H59" s="2" t="str">
        <f ca="1">IF(PAJAK[[#This Row],[//]]="","",INDEX(INDIRECT("NOTA["&amp;PAJAK[#Headers]&amp;"]"),PAJAK[[#This Row],[//]]-2))</f>
        <v/>
      </c>
      <c r="I59" s="4" t="str">
        <f ca="1">IF(PAJAK[[#This Row],[//]]="","",INDEX(INDIRECT("NOTA["&amp;PAJAK[#Headers]&amp;"]"),PAJAK[[#This Row],[//]]-2))</f>
        <v/>
      </c>
      <c r="J59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3" t="str">
        <f ca="1">IF(PAJAK[[#This Row],[//]]="","",SUMIF(NOTA[ID_H],PAJAK[[#This Row],[ID]],NOTA[JUMLAH]))</f>
        <v/>
      </c>
      <c r="L59" s="13" t="str">
        <f ca="1">IF(PAJAK[[#This Row],[//]]="","",SUMIF(NOTA[ID_H],PAJAK[[#This Row],[ID]],NOTA[DISC]))</f>
        <v/>
      </c>
      <c r="M59" s="13" t="e">
        <f ca="1">PAJAK[[#This Row],[SUB TOTAL]]-PAJAK[[#This Row],[DISKON]]</f>
        <v>#VALUE!</v>
      </c>
      <c r="N59" s="13" t="str">
        <f ca="1">IF(PAJAK[[#This Row],[//]]="","",INDEX(INDIRECT("NOTA["&amp;PAJAK[#Headers]&amp;"]"),PAJAK[[#This Row],[//]]-2+PAJAK[[#This Row],[QB]]-1))</f>
        <v/>
      </c>
      <c r="O59" s="13" t="e">
        <f ca="1">(PAJAK[[#This Row],[SUB T-DISC]]-PAJAK[[#This Row],[DISC DLL]])/111%</f>
        <v>#VALUE!</v>
      </c>
      <c r="P59" s="13" t="e">
        <f ca="1">PAJAK[[#This Row],[DPP]]*PAJAK[[#This Row],[PPN]]</f>
        <v>#VALUE!</v>
      </c>
      <c r="Q59" s="13" t="e">
        <f ca="1">PAJAK[[#This Row],[DPP]]+PAJAK[[#This Row],[PPN 11%]]</f>
        <v>#VALUE!</v>
      </c>
      <c r="R59" s="1" t="str">
        <f ca="1">IF(ISNUMBER(PAJAK[[#This Row],[//]]),PPN,"")</f>
        <v/>
      </c>
    </row>
    <row r="60" spans="1:18">
      <c r="A6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11" t="str">
        <f ca="1">HYPERLINK("[NOTA_.XLSX]NOTA!c"&amp;PAJAK[[#This Row],[//]],IF(PAJAK[[#This Row],[//]]="","",INDEX(INDIRECT("NOTA["&amp;PAJAK[#Headers]&amp;"]"),PAJAK[[#This Row],[//]]-2)))</f>
        <v/>
      </c>
      <c r="C60" t="str">
        <f ca="1">IF(PAJAK[[#This Row],[//]]="","",INDEX(INDIRECT("NOTA["&amp;PAJAK[#Headers]&amp;"]"),PAJAK[[#This Row],[//]]-2))</f>
        <v/>
      </c>
      <c r="D60" t="e">
        <f ca="1">MATCH(PAJAK[[#This Row],[ID]],[2]!Table1[ID],0)</f>
        <v>#REF!</v>
      </c>
      <c r="E60" s="4" t="str">
        <f ca="1">IF(PAJAK[[#This Row],[ID]]="","",COUNTIF(NOTA[ID_H],PAJAK[[#This Row],[ID]]))</f>
        <v/>
      </c>
      <c r="F60" t="str">
        <f ca="1">IF(PAJAK[[#This Row],[//]]="","",INDEX(CONV[2],MATCH(INDEX(INDIRECT("NOTA["&amp;PAJAK[#Headers]&amp;"]"),PAJAK[[#This Row],[//]]-2),CONV[1],0),0))</f>
        <v/>
      </c>
      <c r="G60" s="2" t="str">
        <f ca="1">IF(PAJAK[[#This Row],[//]]="","",INDEX(NOTA[TGL_H],PAJAK[[#This Row],[//]]-2))</f>
        <v/>
      </c>
      <c r="H60" s="2" t="str">
        <f ca="1">IF(PAJAK[[#This Row],[//]]="","",INDEX(INDIRECT("NOTA["&amp;PAJAK[#Headers]&amp;"]"),PAJAK[[#This Row],[//]]-2))</f>
        <v/>
      </c>
      <c r="I60" s="4" t="str">
        <f ca="1">IF(PAJAK[[#This Row],[//]]="","",INDEX(INDIRECT("NOTA["&amp;PAJAK[#Headers]&amp;"]"),PAJAK[[#This Row],[//]]-2))</f>
        <v/>
      </c>
      <c r="J6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3" t="str">
        <f ca="1">IF(PAJAK[[#This Row],[//]]="","",SUMIF(NOTA[ID_H],PAJAK[[#This Row],[ID]],NOTA[JUMLAH]))</f>
        <v/>
      </c>
      <c r="L60" s="13" t="str">
        <f ca="1">IF(PAJAK[[#This Row],[//]]="","",SUMIF(NOTA[ID_H],PAJAK[[#This Row],[ID]],NOTA[DISC]))</f>
        <v/>
      </c>
      <c r="M60" s="13" t="e">
        <f ca="1">PAJAK[[#This Row],[SUB TOTAL]]-PAJAK[[#This Row],[DISKON]]</f>
        <v>#VALUE!</v>
      </c>
      <c r="N60" s="13" t="str">
        <f ca="1">IF(PAJAK[[#This Row],[//]]="","",INDEX(INDIRECT("NOTA["&amp;PAJAK[#Headers]&amp;"]"),PAJAK[[#This Row],[//]]-2+PAJAK[[#This Row],[QB]]-1))</f>
        <v/>
      </c>
      <c r="O60" s="13" t="e">
        <f ca="1">(PAJAK[[#This Row],[SUB T-DISC]]-PAJAK[[#This Row],[DISC DLL]])/111%</f>
        <v>#VALUE!</v>
      </c>
      <c r="P60" s="13" t="e">
        <f ca="1">PAJAK[[#This Row],[DPP]]*PAJAK[[#This Row],[PPN]]</f>
        <v>#VALUE!</v>
      </c>
      <c r="Q60" s="13" t="e">
        <f ca="1">PAJAK[[#This Row],[DPP]]+PAJAK[[#This Row],[PPN 11%]]</f>
        <v>#VALUE!</v>
      </c>
      <c r="R60" s="1" t="str">
        <f ca="1">IF(ISNUMBER(PAJAK[[#This Row],[//]]),PPN,"")</f>
        <v/>
      </c>
    </row>
    <row r="61" spans="1:18">
      <c r="A61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t="str">
        <f ca="1">HYPERLINK("[NOTA_.XLSX]NOTA!c"&amp;PAJAK[[#This Row],[//]],IF(PAJAK[[#This Row],[//]]="","",INDEX(INDIRECT("NOTA["&amp;PAJAK[#Headers]&amp;"]"),PAJAK[[#This Row],[//]]-2)))</f>
        <v/>
      </c>
      <c r="C61" t="str">
        <f ca="1">IF(PAJAK[[#This Row],[//]]="","",INDEX(INDIRECT("NOTA["&amp;PAJAK[#Headers]&amp;"]"),PAJAK[[#This Row],[//]]-2))</f>
        <v/>
      </c>
      <c r="D61" t="e">
        <f ca="1">MATCH(PAJAK[[#This Row],[ID]],[2]!Table1[ID],0)</f>
        <v>#REF!</v>
      </c>
      <c r="E61" s="4" t="str">
        <f ca="1">IF(PAJAK[[#This Row],[ID]]="","",COUNTIF(NOTA[ID_H],PAJAK[[#This Row],[ID]]))</f>
        <v/>
      </c>
      <c r="F61" t="str">
        <f ca="1">IF(PAJAK[[#This Row],[//]]="","",INDEX(CONV[2],MATCH(INDEX(INDIRECT("NOTA["&amp;PAJAK[#Headers]&amp;"]"),PAJAK[[#This Row],[//]]-2),CONV[1],0),0))</f>
        <v/>
      </c>
      <c r="G61" s="2" t="str">
        <f ca="1">IF(PAJAK[[#This Row],[//]]="","",INDEX(NOTA[TGL_H],PAJAK[[#This Row],[//]]-2))</f>
        <v/>
      </c>
      <c r="H61" s="2" t="str">
        <f ca="1">IF(PAJAK[[#This Row],[//]]="","",INDEX(INDIRECT("NOTA["&amp;PAJAK[#Headers]&amp;"]"),PAJAK[[#This Row],[//]]-2))</f>
        <v/>
      </c>
      <c r="I61" s="4" t="str">
        <f ca="1">IF(PAJAK[[#This Row],[//]]="","",INDEX(INDIRECT("NOTA["&amp;PAJAK[#Headers]&amp;"]"),PAJAK[[#This Row],[//]]-2))</f>
        <v/>
      </c>
      <c r="J61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3" t="str">
        <f ca="1">IF(PAJAK[[#This Row],[//]]="","",SUMIF(NOTA[ID_H],PAJAK[[#This Row],[ID]],NOTA[JUMLAH]))</f>
        <v/>
      </c>
      <c r="L61" s="13" t="str">
        <f ca="1">IF(PAJAK[[#This Row],[//]]="","",SUMIF(NOTA[ID_H],PAJAK[[#This Row],[ID]],NOTA[DISC]))</f>
        <v/>
      </c>
      <c r="M61" s="13" t="e">
        <f ca="1">PAJAK[[#This Row],[SUB TOTAL]]-PAJAK[[#This Row],[DISKON]]</f>
        <v>#VALUE!</v>
      </c>
      <c r="N61" s="13" t="str">
        <f ca="1">IF(PAJAK[[#This Row],[//]]="","",INDEX(INDIRECT("NOTA["&amp;PAJAK[#Headers]&amp;"]"),PAJAK[[#This Row],[//]]-2+PAJAK[[#This Row],[QB]]-1))</f>
        <v/>
      </c>
      <c r="O61" s="13" t="e">
        <f ca="1">(PAJAK[[#This Row],[SUB T-DISC]]-PAJAK[[#This Row],[DISC DLL]])/111%</f>
        <v>#VALUE!</v>
      </c>
      <c r="P61" s="13" t="e">
        <f ca="1">PAJAK[[#This Row],[DPP]]*PAJAK[[#This Row],[PPN]]</f>
        <v>#VALUE!</v>
      </c>
      <c r="Q61" s="13" t="e">
        <f ca="1">PAJAK[[#This Row],[DPP]]+PAJAK[[#This Row],[PPN 11%]]</f>
        <v>#VALUE!</v>
      </c>
      <c r="R61" s="1" t="str">
        <f ca="1">IF(ISNUMBER(PAJAK[[#This Row],[//]]),PPN,"")</f>
        <v/>
      </c>
    </row>
    <row r="62" spans="1:18">
      <c r="A62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t="str">
        <f ca="1">HYPERLINK("[NOTA_.XLSX]NOTA!c"&amp;PAJAK[[#This Row],[//]],IF(PAJAK[[#This Row],[//]]="","",INDEX(INDIRECT("NOTA["&amp;PAJAK[#Headers]&amp;"]"),PAJAK[[#This Row],[//]]-2)))</f>
        <v/>
      </c>
      <c r="C62" t="str">
        <f ca="1">IF(PAJAK[[#This Row],[//]]="","",INDEX(INDIRECT("NOTA["&amp;PAJAK[#Headers]&amp;"]"),PAJAK[[#This Row],[//]]-2))</f>
        <v/>
      </c>
      <c r="D62" t="e">
        <f ca="1">MATCH(PAJAK[[#This Row],[ID]],[2]!Table1[ID],0)</f>
        <v>#REF!</v>
      </c>
      <c r="E62" s="4" t="str">
        <f ca="1">IF(PAJAK[[#This Row],[ID]]="","",COUNTIF(NOTA[ID_H],PAJAK[[#This Row],[ID]]))</f>
        <v/>
      </c>
      <c r="F62" t="str">
        <f ca="1">IF(PAJAK[[#This Row],[//]]="","",INDEX(CONV[2],MATCH(INDEX(INDIRECT("NOTA["&amp;PAJAK[#Headers]&amp;"]"),PAJAK[[#This Row],[//]]-2),CONV[1],0),0))</f>
        <v/>
      </c>
      <c r="G62" s="2" t="str">
        <f ca="1">IF(PAJAK[[#This Row],[//]]="","",INDEX(NOTA[TGL_H],PAJAK[[#This Row],[//]]-2))</f>
        <v/>
      </c>
      <c r="H62" s="2" t="str">
        <f ca="1">IF(PAJAK[[#This Row],[//]]="","",INDEX(INDIRECT("NOTA["&amp;PAJAK[#Headers]&amp;"]"),PAJAK[[#This Row],[//]]-2))</f>
        <v/>
      </c>
      <c r="I62" s="4" t="str">
        <f ca="1">IF(PAJAK[[#This Row],[//]]="","",INDEX(INDIRECT("NOTA["&amp;PAJAK[#Headers]&amp;"]"),PAJAK[[#This Row],[//]]-2))</f>
        <v/>
      </c>
      <c r="J62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3" t="str">
        <f ca="1">IF(PAJAK[[#This Row],[//]]="","",SUMIF(NOTA[ID_H],PAJAK[[#This Row],[ID]],NOTA[JUMLAH]))</f>
        <v/>
      </c>
      <c r="L62" s="13" t="str">
        <f ca="1">IF(PAJAK[[#This Row],[//]]="","",SUMIF(NOTA[ID_H],PAJAK[[#This Row],[ID]],NOTA[DISC]))</f>
        <v/>
      </c>
      <c r="M62" s="13" t="e">
        <f ca="1">PAJAK[[#This Row],[SUB TOTAL]]-PAJAK[[#This Row],[DISKON]]</f>
        <v>#VALUE!</v>
      </c>
      <c r="N62" s="13" t="str">
        <f ca="1">IF(PAJAK[[#This Row],[//]]="","",INDEX(INDIRECT("NOTA["&amp;PAJAK[#Headers]&amp;"]"),PAJAK[[#This Row],[//]]-2+PAJAK[[#This Row],[QB]]-1))</f>
        <v/>
      </c>
      <c r="O62" s="13" t="e">
        <f ca="1">(PAJAK[[#This Row],[SUB T-DISC]]-PAJAK[[#This Row],[DISC DLL]])/111%</f>
        <v>#VALUE!</v>
      </c>
      <c r="P62" s="13" t="e">
        <f ca="1">PAJAK[[#This Row],[DPP]]*PAJAK[[#This Row],[PPN]]</f>
        <v>#VALUE!</v>
      </c>
      <c r="Q62" s="13" t="e">
        <f ca="1">PAJAK[[#This Row],[DPP]]+PAJAK[[#This Row],[PPN 11%]]</f>
        <v>#VALUE!</v>
      </c>
      <c r="R62" s="1" t="str">
        <f ca="1">IF(ISNUMBER(PAJAK[[#This Row],[//]]),PPN,"")</f>
        <v/>
      </c>
    </row>
    <row r="63" spans="1:18">
      <c r="A63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t="str">
        <f ca="1">HYPERLINK("[NOTA_.XLSX]NOTA!c"&amp;PAJAK[[#This Row],[//]],IF(PAJAK[[#This Row],[//]]="","",INDEX(INDIRECT("NOTA["&amp;PAJAK[#Headers]&amp;"]"),PAJAK[[#This Row],[//]]-2)))</f>
        <v/>
      </c>
      <c r="C63" t="str">
        <f ca="1">IF(PAJAK[[#This Row],[//]]="","",INDEX(INDIRECT("NOTA["&amp;PAJAK[#Headers]&amp;"]"),PAJAK[[#This Row],[//]]-2))</f>
        <v/>
      </c>
      <c r="D63" t="e">
        <f ca="1">MATCH(PAJAK[[#This Row],[ID]],[2]!Table1[ID],0)</f>
        <v>#REF!</v>
      </c>
      <c r="E63" s="4" t="str">
        <f ca="1">IF(PAJAK[[#This Row],[ID]]="","",COUNTIF(NOTA[ID_H],PAJAK[[#This Row],[ID]]))</f>
        <v/>
      </c>
      <c r="F63" t="str">
        <f ca="1">IF(PAJAK[[#This Row],[//]]="","",INDEX(CONV[2],MATCH(INDEX(INDIRECT("NOTA["&amp;PAJAK[#Headers]&amp;"]"),PAJAK[[#This Row],[//]]-2),CONV[1],0),0))</f>
        <v/>
      </c>
      <c r="G63" s="2" t="str">
        <f ca="1">IF(PAJAK[[#This Row],[//]]="","",INDEX(NOTA[TGL_H],PAJAK[[#This Row],[//]]-2))</f>
        <v/>
      </c>
      <c r="H63" s="2" t="str">
        <f ca="1">IF(PAJAK[[#This Row],[//]]="","",INDEX(INDIRECT("NOTA["&amp;PAJAK[#Headers]&amp;"]"),PAJAK[[#This Row],[//]]-2))</f>
        <v/>
      </c>
      <c r="I63" s="4" t="str">
        <f ca="1">IF(PAJAK[[#This Row],[//]]="","",INDEX(INDIRECT("NOTA["&amp;PAJAK[#Headers]&amp;"]"),PAJAK[[#This Row],[//]]-2))</f>
        <v/>
      </c>
      <c r="J63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3" t="str">
        <f ca="1">IF(PAJAK[[#This Row],[//]]="","",SUMIF(NOTA[ID_H],PAJAK[[#This Row],[ID]],NOTA[JUMLAH]))</f>
        <v/>
      </c>
      <c r="L63" s="13" t="str">
        <f ca="1">IF(PAJAK[[#This Row],[//]]="","",SUMIF(NOTA[ID_H],PAJAK[[#This Row],[ID]],NOTA[DISC]))</f>
        <v/>
      </c>
      <c r="M63" s="13" t="e">
        <f ca="1">PAJAK[[#This Row],[SUB TOTAL]]-PAJAK[[#This Row],[DISKON]]</f>
        <v>#VALUE!</v>
      </c>
      <c r="N63" s="13" t="str">
        <f ca="1">IF(PAJAK[[#This Row],[//]]="","",INDEX(INDIRECT("NOTA["&amp;PAJAK[#Headers]&amp;"]"),PAJAK[[#This Row],[//]]-2+PAJAK[[#This Row],[QB]]-1))</f>
        <v/>
      </c>
      <c r="O63" s="13" t="e">
        <f ca="1">(PAJAK[[#This Row],[SUB T-DISC]]-PAJAK[[#This Row],[DISC DLL]])/111%</f>
        <v>#VALUE!</v>
      </c>
      <c r="P63" s="13" t="e">
        <f ca="1">PAJAK[[#This Row],[DPP]]*PAJAK[[#This Row],[PPN]]</f>
        <v>#VALUE!</v>
      </c>
      <c r="Q63" s="13" t="e">
        <f ca="1">PAJAK[[#This Row],[DPP]]+PAJAK[[#This Row],[PPN 11%]]</f>
        <v>#VALUE!</v>
      </c>
      <c r="R63" s="1" t="str">
        <f ca="1">IF(ISNUMBER(PAJAK[[#This Row],[//]]),PPN,"")</f>
        <v/>
      </c>
    </row>
    <row r="64" spans="1:18">
      <c r="A64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11" t="str">
        <f ca="1">HYPERLINK("[NOTA_.XLSX]NOTA!c"&amp;PAJAK[[#This Row],[//]],IF(PAJAK[[#This Row],[//]]="","",INDEX(INDIRECT("NOTA["&amp;PAJAK[#Headers]&amp;"]"),PAJAK[[#This Row],[//]]-2)))</f>
        <v/>
      </c>
      <c r="C64" t="str">
        <f ca="1">IF(PAJAK[[#This Row],[//]]="","",INDEX(INDIRECT("NOTA["&amp;PAJAK[#Headers]&amp;"]"),PAJAK[[#This Row],[//]]-2))</f>
        <v/>
      </c>
      <c r="D64" t="e">
        <f ca="1">MATCH(PAJAK[[#This Row],[ID]],[2]!Table1[ID],0)</f>
        <v>#REF!</v>
      </c>
      <c r="E64" s="4" t="str">
        <f ca="1">IF(PAJAK[[#This Row],[ID]]="","",COUNTIF(NOTA[ID_H],PAJAK[[#This Row],[ID]]))</f>
        <v/>
      </c>
      <c r="F64" t="str">
        <f ca="1">IF(PAJAK[[#This Row],[//]]="","",INDEX(CONV[2],MATCH(INDEX(INDIRECT("NOTA["&amp;PAJAK[#Headers]&amp;"]"),PAJAK[[#This Row],[//]]-2),CONV[1],0),0))</f>
        <v/>
      </c>
      <c r="G64" s="2" t="str">
        <f ca="1">IF(PAJAK[[#This Row],[//]]="","",INDEX(NOTA[TGL_H],PAJAK[[#This Row],[//]]-2))</f>
        <v/>
      </c>
      <c r="H64" s="2" t="str">
        <f ca="1">IF(PAJAK[[#This Row],[//]]="","",INDEX(INDIRECT("NOTA["&amp;PAJAK[#Headers]&amp;"]"),PAJAK[[#This Row],[//]]-2))</f>
        <v/>
      </c>
      <c r="I64" s="4" t="str">
        <f ca="1">IF(PAJAK[[#This Row],[//]]="","",INDEX(INDIRECT("NOTA["&amp;PAJAK[#Headers]&amp;"]"),PAJAK[[#This Row],[//]]-2))</f>
        <v/>
      </c>
      <c r="J64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3" t="str">
        <f ca="1">IF(PAJAK[[#This Row],[//]]="","",SUMIF(NOTA[ID_H],PAJAK[[#This Row],[ID]],NOTA[JUMLAH]))</f>
        <v/>
      </c>
      <c r="L64" s="13" t="str">
        <f ca="1">IF(PAJAK[[#This Row],[//]]="","",SUMIF(NOTA[ID_H],PAJAK[[#This Row],[ID]],NOTA[DISC]))</f>
        <v/>
      </c>
      <c r="M64" s="13" t="e">
        <f ca="1">PAJAK[[#This Row],[SUB TOTAL]]-PAJAK[[#This Row],[DISKON]]</f>
        <v>#VALUE!</v>
      </c>
      <c r="N64" s="13" t="str">
        <f ca="1">IF(PAJAK[[#This Row],[//]]="","",INDEX(INDIRECT("NOTA["&amp;PAJAK[#Headers]&amp;"]"),PAJAK[[#This Row],[//]]-2+PAJAK[[#This Row],[QB]]-1))</f>
        <v/>
      </c>
      <c r="O64" s="13" t="e">
        <f ca="1">(PAJAK[[#This Row],[SUB T-DISC]]-PAJAK[[#This Row],[DISC DLL]])/111%</f>
        <v>#VALUE!</v>
      </c>
      <c r="P64" s="13" t="e">
        <f ca="1">PAJAK[[#This Row],[DPP]]*PAJAK[[#This Row],[PPN]]</f>
        <v>#VALUE!</v>
      </c>
      <c r="Q64" s="13" t="e">
        <f ca="1">PAJAK[[#This Row],[DPP]]+PAJAK[[#This Row],[PPN 11%]]</f>
        <v>#VALUE!</v>
      </c>
      <c r="R64" s="1" t="str">
        <f ca="1">IF(ISNUMBER(PAJAK[[#This Row],[//]]),PPN,"")</f>
        <v/>
      </c>
    </row>
    <row r="65" spans="1:23">
      <c r="A65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1" t="str">
        <f ca="1">HYPERLINK("[NOTA_.XLSX]NOTA!c"&amp;PAJAK[[#This Row],[//]],IF(PAJAK[[#This Row],[//]]="","",INDEX(INDIRECT("NOTA["&amp;PAJAK[#Headers]&amp;"]"),PAJAK[[#This Row],[//]]-2)))</f>
        <v/>
      </c>
      <c r="C65" t="str">
        <f ca="1">IF(PAJAK[[#This Row],[//]]="","",INDEX(INDIRECT("NOTA["&amp;PAJAK[#Headers]&amp;"]"),PAJAK[[#This Row],[//]]-2))</f>
        <v/>
      </c>
      <c r="D65" t="e">
        <f ca="1">MATCH(PAJAK[[#This Row],[ID]],[2]!Table1[ID],0)</f>
        <v>#REF!</v>
      </c>
      <c r="E65" s="4" t="str">
        <f ca="1">IF(PAJAK[[#This Row],[ID]]="","",COUNTIF(NOTA[ID_H],PAJAK[[#This Row],[ID]]))</f>
        <v/>
      </c>
      <c r="F65" t="str">
        <f ca="1">IF(PAJAK[[#This Row],[//]]="","",INDEX(CONV[2],MATCH(INDEX(INDIRECT("NOTA["&amp;PAJAK[#Headers]&amp;"]"),PAJAK[[#This Row],[//]]-2),CONV[1],0),0))</f>
        <v/>
      </c>
      <c r="G65" s="2" t="str">
        <f ca="1">IF(PAJAK[[#This Row],[//]]="","",INDEX(NOTA[TGL_H],PAJAK[[#This Row],[//]]-2))</f>
        <v/>
      </c>
      <c r="H65" s="2" t="str">
        <f ca="1">IF(PAJAK[[#This Row],[//]]="","",INDEX(INDIRECT("NOTA["&amp;PAJAK[#Headers]&amp;"]"),PAJAK[[#This Row],[//]]-2))</f>
        <v/>
      </c>
      <c r="I65" s="4" t="str">
        <f ca="1">IF(PAJAK[[#This Row],[//]]="","",INDEX(INDIRECT("NOTA["&amp;PAJAK[#Headers]&amp;"]"),PAJAK[[#This Row],[//]]-2))</f>
        <v/>
      </c>
      <c r="J65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3" t="str">
        <f ca="1">IF(PAJAK[[#This Row],[//]]="","",SUMIF(NOTA[ID_H],PAJAK[[#This Row],[ID]],NOTA[JUMLAH]))</f>
        <v/>
      </c>
      <c r="L65" s="13" t="str">
        <f ca="1">IF(PAJAK[[#This Row],[//]]="","",SUMIF(NOTA[ID_H],PAJAK[[#This Row],[ID]],NOTA[DISC]))</f>
        <v/>
      </c>
      <c r="M65" s="13" t="e">
        <f ca="1">PAJAK[[#This Row],[SUB TOTAL]]-PAJAK[[#This Row],[DISKON]]</f>
        <v>#VALUE!</v>
      </c>
      <c r="N65" s="13" t="str">
        <f ca="1">IF(PAJAK[[#This Row],[//]]="","",INDEX(INDIRECT("NOTA["&amp;PAJAK[#Headers]&amp;"]"),PAJAK[[#This Row],[//]]-2+PAJAK[[#This Row],[QB]]-1))</f>
        <v/>
      </c>
      <c r="O65" s="13" t="e">
        <f ca="1">(PAJAK[[#This Row],[SUB T-DISC]]-PAJAK[[#This Row],[DISC DLL]])/111%</f>
        <v>#VALUE!</v>
      </c>
      <c r="P65" s="13" t="e">
        <f ca="1">PAJAK[[#This Row],[DPP]]*PAJAK[[#This Row],[PPN]]</f>
        <v>#VALUE!</v>
      </c>
      <c r="Q65" s="13" t="e">
        <f ca="1">PAJAK[[#This Row],[DPP]]+PAJAK[[#This Row],[PPN 11%]]</f>
        <v>#VALUE!</v>
      </c>
      <c r="R65" s="1" t="str">
        <f ca="1">IF(ISNUMBER(PAJAK[[#This Row],[//]]),PPN,"")</f>
        <v/>
      </c>
    </row>
    <row r="66" spans="1:23">
      <c r="A66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11" t="str">
        <f ca="1">HYPERLINK("[NOTA_.XLSX]NOTA!c"&amp;PAJAK[[#This Row],[//]],IF(PAJAK[[#This Row],[//]]="","",INDEX(INDIRECT("NOTA["&amp;PAJAK[#Headers]&amp;"]"),PAJAK[[#This Row],[//]]-2)))</f>
        <v/>
      </c>
      <c r="C66" t="str">
        <f ca="1">IF(PAJAK[[#This Row],[//]]="","",INDEX(INDIRECT("NOTA["&amp;PAJAK[#Headers]&amp;"]"),PAJAK[[#This Row],[//]]-2))</f>
        <v/>
      </c>
      <c r="D66" t="e">
        <f ca="1">MATCH(PAJAK[[#This Row],[ID]],[2]!Table1[ID],0)</f>
        <v>#REF!</v>
      </c>
      <c r="E66" s="4" t="str">
        <f ca="1">IF(PAJAK[[#This Row],[ID]]="","",COUNTIF(NOTA[ID_H],PAJAK[[#This Row],[ID]]))</f>
        <v/>
      </c>
      <c r="F66" t="str">
        <f ca="1">IF(PAJAK[[#This Row],[//]]="","",INDEX(CONV[2],MATCH(INDEX(INDIRECT("NOTA["&amp;PAJAK[#Headers]&amp;"]"),PAJAK[[#This Row],[//]]-2),CONV[1],0),0))</f>
        <v/>
      </c>
      <c r="G66" s="2" t="str">
        <f ca="1">IF(PAJAK[[#This Row],[//]]="","",INDEX(NOTA[TGL_H],PAJAK[[#This Row],[//]]-2))</f>
        <v/>
      </c>
      <c r="H66" s="2" t="str">
        <f ca="1">IF(PAJAK[[#This Row],[//]]="","",INDEX(INDIRECT("NOTA["&amp;PAJAK[#Headers]&amp;"]"),PAJAK[[#This Row],[//]]-2))</f>
        <v/>
      </c>
      <c r="I66" s="4" t="str">
        <f ca="1">IF(PAJAK[[#This Row],[//]]="","",INDEX(INDIRECT("NOTA["&amp;PAJAK[#Headers]&amp;"]"),PAJAK[[#This Row],[//]]-2))</f>
        <v/>
      </c>
      <c r="J66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3" t="str">
        <f ca="1">IF(PAJAK[[#This Row],[//]]="","",SUMIF(NOTA[ID_H],PAJAK[[#This Row],[ID]],NOTA[JUMLAH]))</f>
        <v/>
      </c>
      <c r="L66" s="13" t="str">
        <f ca="1">IF(PAJAK[[#This Row],[//]]="","",SUMIF(NOTA[ID_H],PAJAK[[#This Row],[ID]],NOTA[DISC]))</f>
        <v/>
      </c>
      <c r="M66" s="13" t="e">
        <f ca="1">PAJAK[[#This Row],[SUB TOTAL]]-PAJAK[[#This Row],[DISKON]]</f>
        <v>#VALUE!</v>
      </c>
      <c r="N66" s="13" t="str">
        <f ca="1">IF(PAJAK[[#This Row],[//]]="","",INDEX(INDIRECT("NOTA["&amp;PAJAK[#Headers]&amp;"]"),PAJAK[[#This Row],[//]]-2+PAJAK[[#This Row],[QB]]-1))</f>
        <v/>
      </c>
      <c r="O66" s="13" t="e">
        <f ca="1">(PAJAK[[#This Row],[SUB T-DISC]]-PAJAK[[#This Row],[DISC DLL]])/111%</f>
        <v>#VALUE!</v>
      </c>
      <c r="P66" s="13" t="e">
        <f ca="1">PAJAK[[#This Row],[DPP]]*PAJAK[[#This Row],[PPN]]</f>
        <v>#VALUE!</v>
      </c>
      <c r="Q66" s="13" t="e">
        <f ca="1">PAJAK[[#This Row],[DPP]]+PAJAK[[#This Row],[PPN 11%]]</f>
        <v>#VALUE!</v>
      </c>
      <c r="R66" s="1" t="str">
        <f ca="1">IF(ISNUMBER(PAJAK[[#This Row],[//]]),PPN,"")</f>
        <v/>
      </c>
    </row>
    <row r="67" spans="1:23">
      <c r="A67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1" t="str">
        <f ca="1">HYPERLINK("[NOTA_.XLSX]NOTA!c"&amp;PAJAK[[#This Row],[//]],IF(PAJAK[[#This Row],[//]]="","",INDEX(INDIRECT("NOTA["&amp;PAJAK[#Headers]&amp;"]"),PAJAK[[#This Row],[//]]-2)))</f>
        <v/>
      </c>
      <c r="C67" t="str">
        <f ca="1">IF(PAJAK[[#This Row],[//]]="","",INDEX(INDIRECT("NOTA["&amp;PAJAK[#Headers]&amp;"]"),PAJAK[[#This Row],[//]]-2))</f>
        <v/>
      </c>
      <c r="D67" t="e">
        <f ca="1">MATCH(PAJAK[[#This Row],[ID]],[2]!Table1[ID],0)</f>
        <v>#REF!</v>
      </c>
      <c r="E67" s="4" t="str">
        <f ca="1">IF(PAJAK[[#This Row],[ID]]="","",COUNTIF(NOTA[ID_H],PAJAK[[#This Row],[ID]]))</f>
        <v/>
      </c>
      <c r="F67" t="str">
        <f ca="1">IF(PAJAK[[#This Row],[//]]="","",INDEX(CONV[2],MATCH(INDEX(INDIRECT("NOTA["&amp;PAJAK[#Headers]&amp;"]"),PAJAK[[#This Row],[//]]-2),CONV[1],0),0))</f>
        <v/>
      </c>
      <c r="G67" s="2" t="str">
        <f ca="1">IF(PAJAK[[#This Row],[//]]="","",INDEX(NOTA[TGL_H],PAJAK[[#This Row],[//]]-2))</f>
        <v/>
      </c>
      <c r="H67" s="2" t="str">
        <f ca="1">IF(PAJAK[[#This Row],[//]]="","",INDEX(INDIRECT("NOTA["&amp;PAJAK[#Headers]&amp;"]"),PAJAK[[#This Row],[//]]-2))</f>
        <v/>
      </c>
      <c r="I67" s="4" t="str">
        <f ca="1">IF(PAJAK[[#This Row],[//]]="","",INDEX(INDIRECT("NOTA["&amp;PAJAK[#Headers]&amp;"]"),PAJAK[[#This Row],[//]]-2))</f>
        <v/>
      </c>
      <c r="J67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3" t="str">
        <f ca="1">IF(PAJAK[[#This Row],[//]]="","",SUMIF(NOTA[ID_H],PAJAK[[#This Row],[ID]],NOTA[JUMLAH]))</f>
        <v/>
      </c>
      <c r="L67" s="13" t="str">
        <f ca="1">IF(PAJAK[[#This Row],[//]]="","",SUMIF(NOTA[ID_H],PAJAK[[#This Row],[ID]],NOTA[DISC]))</f>
        <v/>
      </c>
      <c r="M67" s="13" t="e">
        <f ca="1">PAJAK[[#This Row],[SUB TOTAL]]-PAJAK[[#This Row],[DISKON]]</f>
        <v>#VALUE!</v>
      </c>
      <c r="N67" s="13" t="str">
        <f ca="1">IF(PAJAK[[#This Row],[//]]="","",INDEX(INDIRECT("NOTA["&amp;PAJAK[#Headers]&amp;"]"),PAJAK[[#This Row],[//]]-2+PAJAK[[#This Row],[QB]]-1))</f>
        <v/>
      </c>
      <c r="O67" s="13" t="e">
        <f ca="1">(PAJAK[[#This Row],[SUB T-DISC]]-PAJAK[[#This Row],[DISC DLL]])/111%</f>
        <v>#VALUE!</v>
      </c>
      <c r="P67" s="13" t="e">
        <f ca="1">PAJAK[[#This Row],[DPP]]*PAJAK[[#This Row],[PPN]]</f>
        <v>#VALUE!</v>
      </c>
      <c r="Q67" s="13" t="e">
        <f ca="1">PAJAK[[#This Row],[DPP]]+PAJAK[[#This Row],[PPN 11%]]</f>
        <v>#VALUE!</v>
      </c>
      <c r="R67" s="1" t="str">
        <f ca="1">IF(ISNUMBER(PAJAK[[#This Row],[//]]),PPN,"")</f>
        <v/>
      </c>
    </row>
    <row r="68" spans="1:23">
      <c r="A68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1" t="str">
        <f ca="1">HYPERLINK("[NOTA_.XLSX]NOTA!c"&amp;PAJAK[[#This Row],[//]],IF(PAJAK[[#This Row],[//]]="","",INDEX(INDIRECT("NOTA["&amp;PAJAK[#Headers]&amp;"]"),PAJAK[[#This Row],[//]]-2)))</f>
        <v/>
      </c>
      <c r="C68" t="str">
        <f ca="1">IF(PAJAK[[#This Row],[//]]="","",INDEX(INDIRECT("NOTA["&amp;PAJAK[#Headers]&amp;"]"),PAJAK[[#This Row],[//]]-2))</f>
        <v/>
      </c>
      <c r="D68" t="e">
        <f ca="1">MATCH(PAJAK[[#This Row],[ID]],[2]!Table1[ID],0)</f>
        <v>#REF!</v>
      </c>
      <c r="E68" s="4" t="str">
        <f ca="1">IF(PAJAK[[#This Row],[ID]]="","",COUNTIF(NOTA[ID_H],PAJAK[[#This Row],[ID]]))</f>
        <v/>
      </c>
      <c r="F68" t="str">
        <f ca="1">IF(PAJAK[[#This Row],[//]]="","",INDEX(CONV[2],MATCH(INDEX(INDIRECT("NOTA["&amp;PAJAK[#Headers]&amp;"]"),PAJAK[[#This Row],[//]]-2),CONV[1],0),0))</f>
        <v/>
      </c>
      <c r="G68" s="2" t="str">
        <f ca="1">IF(PAJAK[[#This Row],[//]]="","",INDEX(NOTA[TGL_H],PAJAK[[#This Row],[//]]-2))</f>
        <v/>
      </c>
      <c r="H68" s="2" t="str">
        <f ca="1">IF(PAJAK[[#This Row],[//]]="","",INDEX(INDIRECT("NOTA["&amp;PAJAK[#Headers]&amp;"]"),PAJAK[[#This Row],[//]]-2))</f>
        <v/>
      </c>
      <c r="I68" s="4" t="str">
        <f ca="1">IF(PAJAK[[#This Row],[//]]="","",INDEX(INDIRECT("NOTA["&amp;PAJAK[#Headers]&amp;"]"),PAJAK[[#This Row],[//]]-2))</f>
        <v/>
      </c>
      <c r="J68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3" t="str">
        <f ca="1">IF(PAJAK[[#This Row],[//]]="","",SUMIF(NOTA[ID_H],PAJAK[[#This Row],[ID]],NOTA[JUMLAH]))</f>
        <v/>
      </c>
      <c r="L68" s="13" t="str">
        <f ca="1">IF(PAJAK[[#This Row],[//]]="","",SUMIF(NOTA[ID_H],PAJAK[[#This Row],[ID]],NOTA[DISC]))</f>
        <v/>
      </c>
      <c r="M68" s="13" t="e">
        <f ca="1">PAJAK[[#This Row],[SUB TOTAL]]-PAJAK[[#This Row],[DISKON]]</f>
        <v>#VALUE!</v>
      </c>
      <c r="N68" s="13" t="str">
        <f ca="1">IF(PAJAK[[#This Row],[//]]="","",INDEX(INDIRECT("NOTA["&amp;PAJAK[#Headers]&amp;"]"),PAJAK[[#This Row],[//]]-2+PAJAK[[#This Row],[QB]]-1))</f>
        <v/>
      </c>
      <c r="O68" s="13" t="e">
        <f ca="1">(PAJAK[[#This Row],[SUB T-DISC]]-PAJAK[[#This Row],[DISC DLL]])/111%</f>
        <v>#VALUE!</v>
      </c>
      <c r="P68" s="13" t="e">
        <f ca="1">PAJAK[[#This Row],[DPP]]*PAJAK[[#This Row],[PPN]]</f>
        <v>#VALUE!</v>
      </c>
      <c r="Q68" s="13" t="e">
        <f ca="1">PAJAK[[#This Row],[DPP]]+PAJAK[[#This Row],[PPN 11%]]</f>
        <v>#VALUE!</v>
      </c>
      <c r="R68" s="1" t="str">
        <f ca="1">IF(ISNUMBER(PAJAK[[#This Row],[//]]),PPN,"")</f>
        <v/>
      </c>
    </row>
    <row r="69" spans="1:23">
      <c r="A69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2" t="str">
        <f ca="1">HYPERLINK("[NOTA_.XLSX]NOTA!c"&amp;PAJAK[[#This Row],[//]],IF(PAJAK[[#This Row],[//]]="","",INDEX(INDIRECT("NOTA["&amp;PAJAK[#Headers]&amp;"]"),PAJAK[[#This Row],[//]]-2)))</f>
        <v/>
      </c>
      <c r="C69" t="str">
        <f ca="1">IF(PAJAK[[#This Row],[//]]="","",INDEX(INDIRECT("NOTA["&amp;PAJAK[#Headers]&amp;"]"),PAJAK[[#This Row],[//]]-2))</f>
        <v/>
      </c>
      <c r="D69" t="e">
        <f ca="1">MATCH(PAJAK[[#This Row],[ID]],[2]!Table1[ID],0)</f>
        <v>#REF!</v>
      </c>
      <c r="E69" s="4" t="str">
        <f ca="1">IF(PAJAK[[#This Row],[ID]]="","",COUNTIF(NOTA[ID_H],PAJAK[[#This Row],[ID]]))</f>
        <v/>
      </c>
      <c r="F69" t="str">
        <f ca="1">IF(PAJAK[[#This Row],[//]]="","",INDEX(CONV[2],MATCH(INDEX(INDIRECT("NOTA["&amp;PAJAK[#Headers]&amp;"]"),PAJAK[[#This Row],[//]]-2),CONV[1],0),0))</f>
        <v/>
      </c>
      <c r="G69" s="2" t="str">
        <f ca="1">IF(PAJAK[[#This Row],[//]]="","",INDEX(NOTA[TGL_H],PAJAK[[#This Row],[//]]-2))</f>
        <v/>
      </c>
      <c r="H69" s="2" t="str">
        <f ca="1">IF(PAJAK[[#This Row],[//]]="","",INDEX(INDIRECT("NOTA["&amp;PAJAK[#Headers]&amp;"]"),PAJAK[[#This Row],[//]]-2))</f>
        <v/>
      </c>
      <c r="I69" s="4" t="str">
        <f ca="1">IF(PAJAK[[#This Row],[//]]="","",INDEX(INDIRECT("NOTA["&amp;PAJAK[#Headers]&amp;"]"),PAJAK[[#This Row],[//]]-2))</f>
        <v/>
      </c>
      <c r="J69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3" t="str">
        <f ca="1">IF(PAJAK[[#This Row],[//]]="","",SUMIF(NOTA[ID_H],PAJAK[[#This Row],[ID]],NOTA[JUMLAH]))</f>
        <v/>
      </c>
      <c r="L69" s="13" t="str">
        <f ca="1">IF(PAJAK[[#This Row],[//]]="","",SUMIF(NOTA[ID_H],PAJAK[[#This Row],[ID]],NOTA[DISC]))</f>
        <v/>
      </c>
      <c r="M69" s="13" t="e">
        <f ca="1">PAJAK[[#This Row],[SUB TOTAL]]-PAJAK[[#This Row],[DISKON]]</f>
        <v>#VALUE!</v>
      </c>
      <c r="N69" s="13" t="str">
        <f ca="1">IF(PAJAK[[#This Row],[//]]="","",INDEX(INDIRECT("NOTA["&amp;PAJAK[#Headers]&amp;"]"),PAJAK[[#This Row],[//]]-2+PAJAK[[#This Row],[QB]]-1))</f>
        <v/>
      </c>
      <c r="O69" s="13" t="e">
        <f ca="1">(PAJAK[[#This Row],[SUB T-DISC]]-PAJAK[[#This Row],[DISC DLL]])/111%</f>
        <v>#VALUE!</v>
      </c>
      <c r="P69" s="13" t="e">
        <f ca="1">PAJAK[[#This Row],[DPP]]*PAJAK[[#This Row],[PPN]]</f>
        <v>#VALUE!</v>
      </c>
      <c r="Q69" s="13" t="e">
        <f ca="1">PAJAK[[#This Row],[DPP]]+PAJAK[[#This Row],[PPN 11%]]</f>
        <v>#VALUE!</v>
      </c>
      <c r="R69" s="1" t="str">
        <f ca="1">IF(ISNUMBER(PAJAK[[#This Row],[//]]),PPN,"")</f>
        <v/>
      </c>
    </row>
    <row r="70" spans="1:23">
      <c r="A70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1" t="str">
        <f ca="1">HYPERLINK("[NOTA_.XLSX]NOTA!c"&amp;PAJAK[[#This Row],[//]],IF(PAJAK[[#This Row],[//]]="","",INDEX(INDIRECT("NOTA["&amp;PAJAK[#Headers]&amp;"]"),PAJAK[[#This Row],[//]]-2)))</f>
        <v/>
      </c>
      <c r="C70" t="str">
        <f ca="1">IF(PAJAK[[#This Row],[//]]="","",INDEX(INDIRECT("NOTA["&amp;PAJAK[#Headers]&amp;"]"),PAJAK[[#This Row],[//]]-2))</f>
        <v/>
      </c>
      <c r="D70" t="e">
        <f ca="1">MATCH(PAJAK[[#This Row],[ID]],[2]!Table1[ID],0)</f>
        <v>#REF!</v>
      </c>
      <c r="E70" s="4" t="str">
        <f ca="1">IF(PAJAK[[#This Row],[ID]]="","",COUNTIF(NOTA[ID_H],PAJAK[[#This Row],[ID]]))</f>
        <v/>
      </c>
      <c r="F70" t="str">
        <f ca="1">IF(PAJAK[[#This Row],[//]]="","",INDEX(CONV[2],MATCH(INDEX(INDIRECT("NOTA["&amp;PAJAK[#Headers]&amp;"]"),PAJAK[[#This Row],[//]]-2),CONV[1],0),0))</f>
        <v/>
      </c>
      <c r="G70" s="2" t="str">
        <f ca="1">IF(PAJAK[[#This Row],[//]]="","",INDEX(NOTA[TGL_H],PAJAK[[#This Row],[//]]-2))</f>
        <v/>
      </c>
      <c r="H70" s="2" t="str">
        <f ca="1">IF(PAJAK[[#This Row],[//]]="","",INDEX(INDIRECT("NOTA["&amp;PAJAK[#Headers]&amp;"]"),PAJAK[[#This Row],[//]]-2))</f>
        <v/>
      </c>
      <c r="I70" s="4" t="str">
        <f ca="1">IF(PAJAK[[#This Row],[//]]="","",INDEX(INDIRECT("NOTA["&amp;PAJAK[#Headers]&amp;"]"),PAJAK[[#This Row],[//]]-2))</f>
        <v/>
      </c>
      <c r="J7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3" t="str">
        <f ca="1">IF(PAJAK[[#This Row],[//]]="","",SUMIF(NOTA[ID_H],PAJAK[[#This Row],[ID]],NOTA[JUMLAH]))</f>
        <v/>
      </c>
      <c r="L70" s="13" t="str">
        <f ca="1">IF(PAJAK[[#This Row],[//]]="","",SUMIF(NOTA[ID_H],PAJAK[[#This Row],[ID]],NOTA[DISC]))</f>
        <v/>
      </c>
      <c r="M70" s="13" t="e">
        <f ca="1">PAJAK[[#This Row],[SUB TOTAL]]-PAJAK[[#This Row],[DISKON]]</f>
        <v>#VALUE!</v>
      </c>
      <c r="N70" s="13" t="str">
        <f ca="1">IF(PAJAK[[#This Row],[//]]="","",INDEX(INDIRECT("NOTA["&amp;PAJAK[#Headers]&amp;"]"),PAJAK[[#This Row],[//]]-2+PAJAK[[#This Row],[QB]]-1))</f>
        <v/>
      </c>
      <c r="O70" s="13" t="e">
        <f ca="1">(PAJAK[[#This Row],[SUB T-DISC]]-PAJAK[[#This Row],[DISC DLL]])/111%</f>
        <v>#VALUE!</v>
      </c>
      <c r="P70" s="13" t="e">
        <f ca="1">PAJAK[[#This Row],[DPP]]*PAJAK[[#This Row],[PPN]]</f>
        <v>#VALUE!</v>
      </c>
      <c r="Q70" s="13" t="e">
        <f ca="1">PAJAK[[#This Row],[DPP]]+PAJAK[[#This Row],[PPN 11%]]</f>
        <v>#VALUE!</v>
      </c>
      <c r="R70" s="1" t="str">
        <f ca="1">IF(ISNUMBER(PAJAK[[#This Row],[//]]),PPN,"")</f>
        <v/>
      </c>
    </row>
    <row r="71" spans="1:23">
      <c r="A71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2" t="str">
        <f ca="1">HYPERLINK("[NOTA_.XLSX]NOTA!c"&amp;PAJAK[[#This Row],[//]],IF(PAJAK[[#This Row],[//]]="","",INDEX(INDIRECT("NOTA["&amp;PAJAK[#Headers]&amp;"]"),PAJAK[[#This Row],[//]]-2)))</f>
        <v/>
      </c>
      <c r="C71" t="str">
        <f ca="1">IF(PAJAK[[#This Row],[//]]="","",INDEX(INDIRECT("NOTA["&amp;PAJAK[#Headers]&amp;"]"),PAJAK[[#This Row],[//]]-2))</f>
        <v/>
      </c>
      <c r="D71" t="e">
        <f ca="1">MATCH(PAJAK[[#This Row],[ID]],[2]!Table1[ID],0)</f>
        <v>#REF!</v>
      </c>
      <c r="E71" s="4" t="str">
        <f ca="1">IF(PAJAK[[#This Row],[ID]]="","",COUNTIF(NOTA[ID_H],PAJAK[[#This Row],[ID]]))</f>
        <v/>
      </c>
      <c r="F71" t="str">
        <f ca="1">IF(PAJAK[[#This Row],[//]]="","",INDEX(CONV[2],MATCH(INDEX(INDIRECT("NOTA["&amp;PAJAK[#Headers]&amp;"]"),PAJAK[[#This Row],[//]]-2),CONV[1],0),0))</f>
        <v/>
      </c>
      <c r="G71" s="2" t="str">
        <f ca="1">IF(PAJAK[[#This Row],[//]]="","",INDEX(NOTA[TGL_H],PAJAK[[#This Row],[//]]-2))</f>
        <v/>
      </c>
      <c r="H71" s="2" t="str">
        <f ca="1">IF(PAJAK[[#This Row],[//]]="","",INDEX(INDIRECT("NOTA["&amp;PAJAK[#Headers]&amp;"]"),PAJAK[[#This Row],[//]]-2))</f>
        <v/>
      </c>
      <c r="I71" s="4" t="str">
        <f ca="1">IF(PAJAK[[#This Row],[//]]="","",INDEX(INDIRECT("NOTA["&amp;PAJAK[#Headers]&amp;"]"),PAJAK[[#This Row],[//]]-2))</f>
        <v/>
      </c>
      <c r="J71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3" t="str">
        <f ca="1">IF(PAJAK[[#This Row],[//]]="","",SUMIF(NOTA[ID_H],PAJAK[[#This Row],[ID]],NOTA[JUMLAH]))</f>
        <v/>
      </c>
      <c r="L71" s="13" t="str">
        <f ca="1">IF(PAJAK[[#This Row],[//]]="","",SUMIF(NOTA[ID_H],PAJAK[[#This Row],[ID]],NOTA[DISC]))</f>
        <v/>
      </c>
      <c r="M71" s="13" t="e">
        <f ca="1">PAJAK[[#This Row],[SUB TOTAL]]-PAJAK[[#This Row],[DISKON]]</f>
        <v>#VALUE!</v>
      </c>
      <c r="N71" s="13" t="str">
        <f ca="1">IF(PAJAK[[#This Row],[//]]="","",INDEX(INDIRECT("NOTA["&amp;PAJAK[#Headers]&amp;"]"),PAJAK[[#This Row],[//]]-2+PAJAK[[#This Row],[QB]]-1))</f>
        <v/>
      </c>
      <c r="O71" s="13" t="e">
        <f ca="1">(PAJAK[[#This Row],[SUB T-DISC]]-PAJAK[[#This Row],[DISC DLL]])/111%</f>
        <v>#VALUE!</v>
      </c>
      <c r="P71" s="13" t="e">
        <f ca="1">PAJAK[[#This Row],[DPP]]*PAJAK[[#This Row],[PPN]]</f>
        <v>#VALUE!</v>
      </c>
      <c r="Q71" s="13" t="e">
        <f ca="1">PAJAK[[#This Row],[DPP]]+PAJAK[[#This Row],[PPN 11%]]</f>
        <v>#VALUE!</v>
      </c>
      <c r="R71" s="1" t="str">
        <f ca="1">IF(ISNUMBER(PAJAK[[#This Row],[//]]),PPN,"")</f>
        <v/>
      </c>
    </row>
    <row r="72" spans="1:23">
      <c r="A72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1" t="str">
        <f ca="1">HYPERLINK("[NOTA_.XLSX]NOTA!c"&amp;PAJAK[[#This Row],[//]],IF(PAJAK[[#This Row],[//]]="","",INDEX(INDIRECT("NOTA["&amp;PAJAK[#Headers]&amp;"]"),PAJAK[[#This Row],[//]]-2)))</f>
        <v/>
      </c>
      <c r="C72" t="str">
        <f ca="1">IF(PAJAK[[#This Row],[//]]="","",INDEX(INDIRECT("NOTA["&amp;PAJAK[#Headers]&amp;"]"),PAJAK[[#This Row],[//]]-2))</f>
        <v/>
      </c>
      <c r="D72" t="e">
        <f ca="1">MATCH(PAJAK[[#This Row],[ID]],[2]!Table1[ID],0)</f>
        <v>#REF!</v>
      </c>
      <c r="E72" s="4" t="str">
        <f ca="1">IF(PAJAK[[#This Row],[ID]]="","",COUNTIF(NOTA[ID_H],PAJAK[[#This Row],[ID]]))</f>
        <v/>
      </c>
      <c r="F72" t="str">
        <f ca="1">IF(PAJAK[[#This Row],[//]]="","",INDEX(CONV[2],MATCH(INDEX(INDIRECT("NOTA["&amp;PAJAK[#Headers]&amp;"]"),PAJAK[[#This Row],[//]]-2),CONV[1],0),0))</f>
        <v/>
      </c>
      <c r="G72" s="2" t="str">
        <f ca="1">IF(PAJAK[[#This Row],[//]]="","",INDEX(NOTA[TGL_H],PAJAK[[#This Row],[//]]-2))</f>
        <v/>
      </c>
      <c r="H72" s="2" t="str">
        <f ca="1">IF(PAJAK[[#This Row],[//]]="","",INDEX(INDIRECT("NOTA["&amp;PAJAK[#Headers]&amp;"]"),PAJAK[[#This Row],[//]]-2))</f>
        <v/>
      </c>
      <c r="I72" s="4" t="str">
        <f ca="1">IF(PAJAK[[#This Row],[//]]="","",INDEX(INDIRECT("NOTA["&amp;PAJAK[#Headers]&amp;"]"),PAJAK[[#This Row],[//]]-2))</f>
        <v/>
      </c>
      <c r="J72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3" t="str">
        <f ca="1">IF(PAJAK[[#This Row],[//]]="","",SUMIF(NOTA[ID_H],PAJAK[[#This Row],[ID]],NOTA[JUMLAH]))</f>
        <v/>
      </c>
      <c r="L72" s="13" t="str">
        <f ca="1">IF(PAJAK[[#This Row],[//]]="","",SUMIF(NOTA[ID_H],PAJAK[[#This Row],[ID]],NOTA[DISC]))</f>
        <v/>
      </c>
      <c r="M72" s="13" t="e">
        <f ca="1">PAJAK[[#This Row],[SUB TOTAL]]-PAJAK[[#This Row],[DISKON]]</f>
        <v>#VALUE!</v>
      </c>
      <c r="N72" s="13" t="str">
        <f ca="1">IF(PAJAK[[#This Row],[//]]="","",INDEX(INDIRECT("NOTA["&amp;PAJAK[#Headers]&amp;"]"),PAJAK[[#This Row],[//]]-2+PAJAK[[#This Row],[QB]]-1))</f>
        <v/>
      </c>
      <c r="O72" s="13" t="e">
        <f ca="1">(PAJAK[[#This Row],[SUB T-DISC]]-PAJAK[[#This Row],[DISC DLL]])/111%</f>
        <v>#VALUE!</v>
      </c>
      <c r="P72" s="13" t="e">
        <f ca="1">PAJAK[[#This Row],[DPP]]*PAJAK[[#This Row],[PPN]]</f>
        <v>#VALUE!</v>
      </c>
      <c r="Q72" s="13" t="e">
        <f ca="1">PAJAK[[#This Row],[DPP]]+PAJAK[[#This Row],[PPN 11%]]</f>
        <v>#VALUE!</v>
      </c>
      <c r="R72" s="1" t="str">
        <f ca="1">IF(ISNUMBER(PAJAK[[#This Row],[//]]),PPN,"")</f>
        <v/>
      </c>
    </row>
    <row r="73" spans="1:23">
      <c r="A73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11" t="str">
        <f ca="1">HYPERLINK("[NOTA_.XLSX]NOTA!c"&amp;PAJAK[[#This Row],[//]],IF(PAJAK[[#This Row],[//]]="","",INDEX(INDIRECT("NOTA["&amp;PAJAK[#Headers]&amp;"]"),PAJAK[[#This Row],[//]]-2)))</f>
        <v/>
      </c>
      <c r="C73" t="str">
        <f ca="1">IF(PAJAK[[#This Row],[//]]="","",INDEX(INDIRECT("NOTA["&amp;PAJAK[#Headers]&amp;"]"),PAJAK[[#This Row],[//]]-2))</f>
        <v/>
      </c>
      <c r="D73" t="e">
        <f ca="1">MATCH(PAJAK[[#This Row],[ID]],[2]!Table1[ID],0)</f>
        <v>#REF!</v>
      </c>
      <c r="E73" s="4" t="str">
        <f ca="1">IF(PAJAK[[#This Row],[ID]]="","",COUNTIF(NOTA[ID_H],PAJAK[[#This Row],[ID]]))</f>
        <v/>
      </c>
      <c r="F73" t="str">
        <f ca="1">IF(PAJAK[[#This Row],[//]]="","",INDEX(CONV[2],MATCH(INDEX(INDIRECT("NOTA["&amp;PAJAK[#Headers]&amp;"]"),PAJAK[[#This Row],[//]]-2),CONV[1],0),0))</f>
        <v/>
      </c>
      <c r="G73" s="2" t="str">
        <f ca="1">IF(PAJAK[[#This Row],[//]]="","",INDEX(NOTA[TGL_H],PAJAK[[#This Row],[//]]-2))</f>
        <v/>
      </c>
      <c r="H73" s="2" t="str">
        <f ca="1">IF(PAJAK[[#This Row],[//]]="","",INDEX(INDIRECT("NOTA["&amp;PAJAK[#Headers]&amp;"]"),PAJAK[[#This Row],[//]]-2))</f>
        <v/>
      </c>
      <c r="I73" s="4" t="str">
        <f ca="1">IF(PAJAK[[#This Row],[//]]="","",INDEX(INDIRECT("NOTA["&amp;PAJAK[#Headers]&amp;"]"),PAJAK[[#This Row],[//]]-2))</f>
        <v/>
      </c>
      <c r="J73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3" t="str">
        <f ca="1">IF(PAJAK[[#This Row],[//]]="","",SUMIF(NOTA[ID_H],PAJAK[[#This Row],[ID]],NOTA[JUMLAH]))</f>
        <v/>
      </c>
      <c r="L73" s="13" t="str">
        <f ca="1">IF(PAJAK[[#This Row],[//]]="","",SUMIF(NOTA[ID_H],PAJAK[[#This Row],[ID]],NOTA[DISC]))</f>
        <v/>
      </c>
      <c r="M73" s="13" t="e">
        <f ca="1">PAJAK[[#This Row],[SUB TOTAL]]-PAJAK[[#This Row],[DISKON]]</f>
        <v>#VALUE!</v>
      </c>
      <c r="N73" s="13" t="str">
        <f ca="1">IF(PAJAK[[#This Row],[//]]="","",INDEX(INDIRECT("NOTA["&amp;PAJAK[#Headers]&amp;"]"),PAJAK[[#This Row],[//]]-2+PAJAK[[#This Row],[QB]]-1))</f>
        <v/>
      </c>
      <c r="O73" s="13" t="e">
        <f ca="1">(PAJAK[[#This Row],[SUB T-DISC]]-PAJAK[[#This Row],[DISC DLL]])/111%</f>
        <v>#VALUE!</v>
      </c>
      <c r="P73" s="13" t="e">
        <f ca="1">PAJAK[[#This Row],[DPP]]*PAJAK[[#This Row],[PPN]]</f>
        <v>#VALUE!</v>
      </c>
      <c r="Q73" s="13" t="e">
        <f ca="1">PAJAK[[#This Row],[DPP]]+PAJAK[[#This Row],[PPN 11%]]</f>
        <v>#VALUE!</v>
      </c>
      <c r="R73" s="1" t="str">
        <f ca="1">IF(ISNUMBER(PAJAK[[#This Row],[//]]),PPN,"")</f>
        <v/>
      </c>
    </row>
    <row r="74" spans="1:23">
      <c r="A7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t="str">
        <f ca="1">HYPERLINK("[NOTA_.XLSX]NOTA!c"&amp;PAJAK[[#This Row],[//]],IF(PAJAK[[#This Row],[//]]="","",INDEX(INDIRECT("NOTA["&amp;PAJAK[#Headers]&amp;"]"),PAJAK[[#This Row],[//]]-2)))</f>
        <v/>
      </c>
      <c r="C74" t="str">
        <f ca="1">IF(PAJAK[[#This Row],[//]]="","",INDEX(INDIRECT("NOTA["&amp;PAJAK[#Headers]&amp;"]"),PAJAK[[#This Row],[//]]-2))</f>
        <v/>
      </c>
      <c r="D74" t="e">
        <f ca="1">MATCH(PAJAK[[#This Row],[ID]],[2]!Table1[ID],0)</f>
        <v>#REF!</v>
      </c>
      <c r="E74" s="4" t="str">
        <f ca="1">IF(PAJAK[[#This Row],[ID]]="","",COUNTIF(NOTA[ID_H],PAJAK[[#This Row],[ID]]))</f>
        <v/>
      </c>
      <c r="F74" t="str">
        <f ca="1">IF(PAJAK[[#This Row],[//]]="","",INDEX(CONV[2],MATCH(INDEX(INDIRECT("NOTA["&amp;PAJAK[#Headers]&amp;"]"),PAJAK[[#This Row],[//]]-2),CONV[1],0),0))</f>
        <v/>
      </c>
      <c r="G74" s="2" t="str">
        <f ca="1">IF(PAJAK[[#This Row],[//]]="","",INDEX(NOTA[TGL_H],PAJAK[[#This Row],[//]]-2))</f>
        <v/>
      </c>
      <c r="H74" s="2" t="str">
        <f ca="1">IF(PAJAK[[#This Row],[//]]="","",INDEX(INDIRECT("NOTA["&amp;PAJAK[#Headers]&amp;"]"),PAJAK[[#This Row],[//]]-2))</f>
        <v/>
      </c>
      <c r="I74" s="4" t="str">
        <f ca="1">IF(PAJAK[[#This Row],[//]]="","",INDEX(INDIRECT("NOTA["&amp;PAJAK[#Headers]&amp;"]"),PAJAK[[#This Row],[//]]-2))</f>
        <v/>
      </c>
      <c r="J74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3" t="str">
        <f ca="1">IF(PAJAK[[#This Row],[//]]="","",SUMIF(NOTA[ID_H],PAJAK[[#This Row],[ID]],NOTA[JUMLAH]))</f>
        <v/>
      </c>
      <c r="L74" s="13" t="str">
        <f ca="1">IF(PAJAK[[#This Row],[//]]="","",SUMIF(NOTA[ID_H],PAJAK[[#This Row],[ID]],NOTA[DISC]))</f>
        <v/>
      </c>
      <c r="M74" s="13" t="e">
        <f ca="1">PAJAK[[#This Row],[SUB TOTAL]]-PAJAK[[#This Row],[DISKON]]</f>
        <v>#VALUE!</v>
      </c>
      <c r="N74" s="13" t="str">
        <f ca="1">IF(PAJAK[[#This Row],[//]]="","",INDEX(INDIRECT("NOTA["&amp;PAJAK[#Headers]&amp;"]"),PAJAK[[#This Row],[//]]-2+PAJAK[[#This Row],[QB]]-1))</f>
        <v/>
      </c>
      <c r="O74" s="13" t="e">
        <f ca="1">(PAJAK[[#This Row],[SUB T-DISC]]-PAJAK[[#This Row],[DISC DLL]])/111%</f>
        <v>#VALUE!</v>
      </c>
      <c r="P74" s="13" t="e">
        <f ca="1">PAJAK[[#This Row],[DPP]]*PAJAK[[#This Row],[PPN]]</f>
        <v>#VALUE!</v>
      </c>
      <c r="Q74" s="13" t="e">
        <f ca="1">PAJAK[[#This Row],[DPP]]+PAJAK[[#This Row],[PPN 11%]]</f>
        <v>#VALUE!</v>
      </c>
      <c r="R74" s="1" t="str">
        <f ca="1">IF(ISNUMBER(PAJAK[[#This Row],[//]]),PPN,"")</f>
        <v/>
      </c>
    </row>
    <row r="75" spans="1:23">
      <c r="A75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1" t="str">
        <f ca="1">HYPERLINK("[NOTA_.XLSX]NOTA!c"&amp;PAJAK[[#This Row],[//]],IF(PAJAK[[#This Row],[//]]="","",INDEX(INDIRECT("NOTA["&amp;PAJAK[#Headers]&amp;"]"),PAJAK[[#This Row],[//]]-2)))</f>
        <v/>
      </c>
      <c r="C75" t="str">
        <f ca="1">IF(PAJAK[[#This Row],[//]]="","",INDEX(INDIRECT("NOTA["&amp;PAJAK[#Headers]&amp;"]"),PAJAK[[#This Row],[//]]-2))</f>
        <v/>
      </c>
      <c r="D75" t="e">
        <f ca="1">MATCH(PAJAK[[#This Row],[ID]],[2]!Table1[ID],0)</f>
        <v>#REF!</v>
      </c>
      <c r="E75" s="4" t="str">
        <f ca="1">IF(PAJAK[[#This Row],[ID]]="","",COUNTIF(NOTA[ID_H],PAJAK[[#This Row],[ID]]))</f>
        <v/>
      </c>
      <c r="F75" t="str">
        <f ca="1">IF(PAJAK[[#This Row],[//]]="","",INDEX(CONV[2],MATCH(INDEX(INDIRECT("NOTA["&amp;PAJAK[#Headers]&amp;"]"),PAJAK[[#This Row],[//]]-2),CONV[1],0),0))</f>
        <v/>
      </c>
      <c r="G75" s="2" t="str">
        <f ca="1">IF(PAJAK[[#This Row],[//]]="","",INDEX(NOTA[TGL_H],PAJAK[[#This Row],[//]]-2))</f>
        <v/>
      </c>
      <c r="H75" s="2" t="str">
        <f ca="1">IF(PAJAK[[#This Row],[//]]="","",INDEX(INDIRECT("NOTA["&amp;PAJAK[#Headers]&amp;"]"),PAJAK[[#This Row],[//]]-2))</f>
        <v/>
      </c>
      <c r="I75" s="4" t="str">
        <f ca="1">IF(PAJAK[[#This Row],[//]]="","",INDEX(INDIRECT("NOTA["&amp;PAJAK[#Headers]&amp;"]"),PAJAK[[#This Row],[//]]-2))</f>
        <v/>
      </c>
      <c r="J75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3" t="str">
        <f ca="1">IF(PAJAK[[#This Row],[//]]="","",SUMIF(NOTA[ID_H],PAJAK[[#This Row],[ID]],NOTA[JUMLAH]))</f>
        <v/>
      </c>
      <c r="L75" s="13" t="str">
        <f ca="1">IF(PAJAK[[#This Row],[//]]="","",SUMIF(NOTA[ID_H],PAJAK[[#This Row],[ID]],NOTA[DISC]))</f>
        <v/>
      </c>
      <c r="M75" s="13" t="e">
        <f ca="1">PAJAK[[#This Row],[SUB TOTAL]]-PAJAK[[#This Row],[DISKON]]</f>
        <v>#VALUE!</v>
      </c>
      <c r="N75" s="13" t="str">
        <f ca="1">IF(PAJAK[[#This Row],[//]]="","",INDEX(INDIRECT("NOTA["&amp;PAJAK[#Headers]&amp;"]"),PAJAK[[#This Row],[//]]-2+PAJAK[[#This Row],[QB]]-1))</f>
        <v/>
      </c>
      <c r="O75" s="13" t="e">
        <f ca="1">(PAJAK[[#This Row],[SUB T-DISC]]-PAJAK[[#This Row],[DISC DLL]])/111%</f>
        <v>#VALUE!</v>
      </c>
      <c r="P75" s="13" t="e">
        <f ca="1">PAJAK[[#This Row],[DPP]]*PAJAK[[#This Row],[PPN]]</f>
        <v>#VALUE!</v>
      </c>
      <c r="Q75" s="13" t="e">
        <f ca="1">PAJAK[[#This Row],[DPP]]+PAJAK[[#This Row],[PPN 11%]]</f>
        <v>#VALUE!</v>
      </c>
      <c r="R75" s="1" t="str">
        <f ca="1">IF(ISNUMBER(PAJAK[[#This Row],[//]]),PPN,"")</f>
        <v/>
      </c>
    </row>
    <row r="76" spans="1:23">
      <c r="A76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t="str">
        <f ca="1">HYPERLINK("[NOTA_.XLSX]NOTA!c"&amp;PAJAK[[#This Row],[//]],IF(PAJAK[[#This Row],[//]]="","",INDEX(INDIRECT("NOTA["&amp;PAJAK[#Headers]&amp;"]"),PAJAK[[#This Row],[//]]-2)))</f>
        <v/>
      </c>
      <c r="C76" t="str">
        <f ca="1">IF(PAJAK[[#This Row],[//]]="","",INDEX(INDIRECT("NOTA["&amp;PAJAK[#Headers]&amp;"]"),PAJAK[[#This Row],[//]]-2))</f>
        <v/>
      </c>
      <c r="D76" t="e">
        <f ca="1">MATCH(PAJAK[[#This Row],[ID]],[2]!Table1[ID],0)</f>
        <v>#REF!</v>
      </c>
      <c r="E76" s="4" t="str">
        <f ca="1">IF(PAJAK[[#This Row],[ID]]="","",COUNTIF(NOTA[ID_H],PAJAK[[#This Row],[ID]]))</f>
        <v/>
      </c>
      <c r="F76" t="str">
        <f ca="1">IF(PAJAK[[#This Row],[//]]="","",INDEX(CONV[2],MATCH(INDEX(INDIRECT("NOTA["&amp;PAJAK[#Headers]&amp;"]"),PAJAK[[#This Row],[//]]-2),CONV[1],0),0))</f>
        <v/>
      </c>
      <c r="G76" s="2" t="str">
        <f ca="1">IF(PAJAK[[#This Row],[//]]="","",INDEX(NOTA[TGL_H],PAJAK[[#This Row],[//]]-2))</f>
        <v/>
      </c>
      <c r="H76" s="2" t="str">
        <f ca="1">IF(PAJAK[[#This Row],[//]]="","",INDEX(INDIRECT("NOTA["&amp;PAJAK[#Headers]&amp;"]"),PAJAK[[#This Row],[//]]-2))</f>
        <v/>
      </c>
      <c r="I76" s="4" t="str">
        <f ca="1">IF(PAJAK[[#This Row],[//]]="","",INDEX(INDIRECT("NOTA["&amp;PAJAK[#Headers]&amp;"]"),PAJAK[[#This Row],[//]]-2))</f>
        <v/>
      </c>
      <c r="J76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3" t="str">
        <f ca="1">IF(PAJAK[[#This Row],[//]]="","",SUMIF(NOTA[ID_H],PAJAK[[#This Row],[ID]],NOTA[JUMLAH]))</f>
        <v/>
      </c>
      <c r="L76" s="13" t="str">
        <f ca="1">IF(PAJAK[[#This Row],[//]]="","",SUMIF(NOTA[ID_H],PAJAK[[#This Row],[ID]],NOTA[DISC]))</f>
        <v/>
      </c>
      <c r="M76" s="13" t="e">
        <f ca="1">PAJAK[[#This Row],[SUB TOTAL]]-PAJAK[[#This Row],[DISKON]]</f>
        <v>#VALUE!</v>
      </c>
      <c r="N76" s="13" t="str">
        <f ca="1">IF(PAJAK[[#This Row],[//]]="","",INDEX(INDIRECT("NOTA["&amp;PAJAK[#Headers]&amp;"]"),PAJAK[[#This Row],[//]]-2+PAJAK[[#This Row],[QB]]-1))</f>
        <v/>
      </c>
      <c r="O76" s="13" t="e">
        <f ca="1">(PAJAK[[#This Row],[SUB T-DISC]]-PAJAK[[#This Row],[DISC DLL]])/111%</f>
        <v>#VALUE!</v>
      </c>
      <c r="P76" s="13" t="e">
        <f ca="1">PAJAK[[#This Row],[DPP]]*PAJAK[[#This Row],[PPN]]</f>
        <v>#VALUE!</v>
      </c>
      <c r="Q76" s="13" t="e">
        <f ca="1">PAJAK[[#This Row],[DPP]]+PAJAK[[#This Row],[PPN 11%]]</f>
        <v>#VALUE!</v>
      </c>
      <c r="R76" s="1" t="str">
        <f ca="1">IF(ISNUMBER(PAJAK[[#This Row],[//]]),PPN,"")</f>
        <v/>
      </c>
    </row>
    <row r="77" spans="1:23">
      <c r="A77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t="str">
        <f ca="1">HYPERLINK("[NOTA_.XLSX]NOTA!c"&amp;PAJAK[[#This Row],[//]],IF(PAJAK[[#This Row],[//]]="","",INDEX(INDIRECT("NOTA["&amp;PAJAK[#Headers]&amp;"]"),PAJAK[[#This Row],[//]]-2)))</f>
        <v/>
      </c>
      <c r="C77" t="str">
        <f ca="1">IF(PAJAK[[#This Row],[//]]="","",INDEX(INDIRECT("NOTA["&amp;PAJAK[#Headers]&amp;"]"),PAJAK[[#This Row],[//]]-2))</f>
        <v/>
      </c>
      <c r="D77" t="e">
        <f ca="1">MATCH(PAJAK[[#This Row],[ID]],[2]!Table1[ID],0)</f>
        <v>#REF!</v>
      </c>
      <c r="E77" s="4" t="str">
        <f ca="1">IF(PAJAK[[#This Row],[ID]]="","",COUNTIF(NOTA[ID_H],PAJAK[[#This Row],[ID]]))</f>
        <v/>
      </c>
      <c r="F77" t="str">
        <f ca="1">IF(PAJAK[[#This Row],[//]]="","",INDEX(CONV[2],MATCH(INDEX(INDIRECT("NOTA["&amp;PAJAK[#Headers]&amp;"]"),PAJAK[[#This Row],[//]]-2),CONV[1],0),0))</f>
        <v/>
      </c>
      <c r="G77" s="2" t="str">
        <f ca="1">IF(PAJAK[[#This Row],[//]]="","",INDEX(NOTA[TGL_H],PAJAK[[#This Row],[//]]-2))</f>
        <v/>
      </c>
      <c r="H77" s="2" t="str">
        <f ca="1">IF(PAJAK[[#This Row],[//]]="","",INDEX(INDIRECT("NOTA["&amp;PAJAK[#Headers]&amp;"]"),PAJAK[[#This Row],[//]]-2))</f>
        <v/>
      </c>
      <c r="I77" s="4" t="str">
        <f ca="1">IF(PAJAK[[#This Row],[//]]="","",INDEX(INDIRECT("NOTA["&amp;PAJAK[#Headers]&amp;"]"),PAJAK[[#This Row],[//]]-2))</f>
        <v/>
      </c>
      <c r="J77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3" t="str">
        <f ca="1">IF(PAJAK[[#This Row],[//]]="","",SUMIF(NOTA[ID_H],PAJAK[[#This Row],[ID]],NOTA[JUMLAH]))</f>
        <v/>
      </c>
      <c r="L77" s="13" t="str">
        <f ca="1">IF(PAJAK[[#This Row],[//]]="","",SUMIF(NOTA[ID_H],PAJAK[[#This Row],[ID]],NOTA[DISC]))</f>
        <v/>
      </c>
      <c r="M77" s="13" t="e">
        <f ca="1">PAJAK[[#This Row],[SUB TOTAL]]-PAJAK[[#This Row],[DISKON]]</f>
        <v>#VALUE!</v>
      </c>
      <c r="N77" s="13" t="str">
        <f ca="1">IF(PAJAK[[#This Row],[//]]="","",INDEX(INDIRECT("NOTA["&amp;PAJAK[#Headers]&amp;"]"),PAJAK[[#This Row],[//]]-2+PAJAK[[#This Row],[QB]]-1))</f>
        <v/>
      </c>
      <c r="O77" s="13" t="e">
        <f ca="1">(PAJAK[[#This Row],[SUB T-DISC]]-PAJAK[[#This Row],[DISC DLL]])/111%</f>
        <v>#VALUE!</v>
      </c>
      <c r="P77" s="13" t="e">
        <f ca="1">PAJAK[[#This Row],[DPP]]*PAJAK[[#This Row],[PPN]]</f>
        <v>#VALUE!</v>
      </c>
      <c r="Q77" s="13" t="e">
        <f ca="1">PAJAK[[#This Row],[DPP]]+PAJAK[[#This Row],[PPN 11%]]</f>
        <v>#VALUE!</v>
      </c>
      <c r="R77" s="1" t="str">
        <f ca="1">IF(ISNUMBER(PAJAK[[#This Row],[//]]),PPN,"")</f>
        <v/>
      </c>
    </row>
    <row r="78" spans="1:23">
      <c r="A78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1" t="str">
        <f ca="1">HYPERLINK("[NOTA_.XLSX]NOTA!c"&amp;PAJAK[[#This Row],[//]],IF(PAJAK[[#This Row],[//]]="","",INDEX(INDIRECT("NOTA["&amp;PAJAK[#Headers]&amp;"]"),PAJAK[[#This Row],[//]]-2)))</f>
        <v/>
      </c>
      <c r="C78" t="str">
        <f ca="1">IF(PAJAK[[#This Row],[//]]="","",INDEX(INDIRECT("NOTA["&amp;PAJAK[#Headers]&amp;"]"),PAJAK[[#This Row],[//]]-2))</f>
        <v/>
      </c>
      <c r="D78" t="e">
        <f ca="1">MATCH(PAJAK[[#This Row],[ID]],[2]!Table1[ID],0)</f>
        <v>#REF!</v>
      </c>
      <c r="E78" s="4" t="str">
        <f ca="1">IF(PAJAK[[#This Row],[ID]]="","",COUNTIF(NOTA[ID_H],PAJAK[[#This Row],[ID]]))</f>
        <v/>
      </c>
      <c r="F78" t="str">
        <f ca="1">IF(PAJAK[[#This Row],[//]]="","",INDEX(CONV[2],MATCH(INDEX(INDIRECT("NOTA["&amp;PAJAK[#Headers]&amp;"]"),PAJAK[[#This Row],[//]]-2),CONV[1],0),0))</f>
        <v/>
      </c>
      <c r="G78" s="2" t="str">
        <f ca="1">IF(PAJAK[[#This Row],[//]]="","",INDEX(NOTA[TGL_H],PAJAK[[#This Row],[//]]-2))</f>
        <v/>
      </c>
      <c r="H78" s="2" t="str">
        <f ca="1">IF(PAJAK[[#This Row],[//]]="","",INDEX(INDIRECT("NOTA["&amp;PAJAK[#Headers]&amp;"]"),PAJAK[[#This Row],[//]]-2))</f>
        <v/>
      </c>
      <c r="I78" s="4" t="str">
        <f ca="1">IF(PAJAK[[#This Row],[//]]="","",INDEX(INDIRECT("NOTA["&amp;PAJAK[#Headers]&amp;"]"),PAJAK[[#This Row],[//]]-2))</f>
        <v/>
      </c>
      <c r="J78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3" t="str">
        <f ca="1">IF(PAJAK[[#This Row],[//]]="","",SUMIF(NOTA[ID_H],PAJAK[[#This Row],[ID]],NOTA[JUMLAH]))</f>
        <v/>
      </c>
      <c r="L78" s="13" t="str">
        <f ca="1">IF(PAJAK[[#This Row],[//]]="","",SUMIF(NOTA[ID_H],PAJAK[[#This Row],[ID]],NOTA[DISC]))</f>
        <v/>
      </c>
      <c r="M78" s="13" t="e">
        <f ca="1">PAJAK[[#This Row],[SUB TOTAL]]-PAJAK[[#This Row],[DISKON]]</f>
        <v>#VALUE!</v>
      </c>
      <c r="N78" s="13" t="str">
        <f ca="1">IF(PAJAK[[#This Row],[//]]="","",INDEX(INDIRECT("NOTA["&amp;PAJAK[#Headers]&amp;"]"),PAJAK[[#This Row],[//]]-2+PAJAK[[#This Row],[QB]]-1))</f>
        <v/>
      </c>
      <c r="O78" s="13" t="e">
        <f ca="1">(PAJAK[[#This Row],[SUB T-DISC]]-PAJAK[[#This Row],[DISC DLL]])/111%</f>
        <v>#VALUE!</v>
      </c>
      <c r="P78" s="13" t="e">
        <f ca="1">PAJAK[[#This Row],[DPP]]*PAJAK[[#This Row],[PPN]]</f>
        <v>#VALUE!</v>
      </c>
      <c r="Q78" s="13" t="e">
        <f ca="1">PAJAK[[#This Row],[DPP]]+PAJAK[[#This Row],[PPN 11%]]</f>
        <v>#VALUE!</v>
      </c>
      <c r="R78" s="1" t="str">
        <f ca="1">IF(ISNUMBER(PAJAK[[#This Row],[//]]),PPN,"")</f>
        <v/>
      </c>
    </row>
    <row r="79" spans="1:23">
      <c r="A79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1" t="str">
        <f ca="1">HYPERLINK("[NOTA_.XLSX]NOTA!c"&amp;PAJAK[[#This Row],[//]],IF(PAJAK[[#This Row],[//]]="","",INDEX(INDIRECT("NOTA["&amp;PAJAK[#Headers]&amp;"]"),PAJAK[[#This Row],[//]]-2)))</f>
        <v/>
      </c>
      <c r="C79" t="str">
        <f ca="1">IF(PAJAK[[#This Row],[//]]="","",INDEX(INDIRECT("NOTA["&amp;PAJAK[#Headers]&amp;"]"),PAJAK[[#This Row],[//]]-2))</f>
        <v/>
      </c>
      <c r="D79" t="e">
        <f ca="1">MATCH(PAJAK[[#This Row],[ID]],[2]!Table1[ID],0)</f>
        <v>#REF!</v>
      </c>
      <c r="E79" s="4" t="str">
        <f ca="1">IF(PAJAK[[#This Row],[ID]]="","",COUNTIF(NOTA[ID_H],PAJAK[[#This Row],[ID]]))</f>
        <v/>
      </c>
      <c r="F79" t="str">
        <f ca="1">IF(PAJAK[[#This Row],[//]]="","",INDEX(CONV[2],MATCH(INDEX(INDIRECT("NOTA["&amp;PAJAK[#Headers]&amp;"]"),PAJAK[[#This Row],[//]]-2),CONV[1],0),0))</f>
        <v/>
      </c>
      <c r="G79" s="2" t="str">
        <f ca="1">IF(PAJAK[[#This Row],[//]]="","",INDEX(NOTA[TGL_H],PAJAK[[#This Row],[//]]-2))</f>
        <v/>
      </c>
      <c r="H79" s="2" t="str">
        <f ca="1">IF(PAJAK[[#This Row],[//]]="","",INDEX(INDIRECT("NOTA["&amp;PAJAK[#Headers]&amp;"]"),PAJAK[[#This Row],[//]]-2))</f>
        <v/>
      </c>
      <c r="I79" s="4" t="str">
        <f ca="1">IF(PAJAK[[#This Row],[//]]="","",INDEX(INDIRECT("NOTA["&amp;PAJAK[#Headers]&amp;"]"),PAJAK[[#This Row],[//]]-2))</f>
        <v/>
      </c>
      <c r="J79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3" t="str">
        <f ca="1">IF(PAJAK[[#This Row],[//]]="","",SUMIF(NOTA[ID_H],PAJAK[[#This Row],[ID]],NOTA[JUMLAH]))</f>
        <v/>
      </c>
      <c r="L79" s="13" t="str">
        <f ca="1">IF(PAJAK[[#This Row],[//]]="","",SUMIF(NOTA[ID_H],PAJAK[[#This Row],[ID]],NOTA[DISC]))</f>
        <v/>
      </c>
      <c r="M79" s="13" t="e">
        <f ca="1">PAJAK[[#This Row],[SUB TOTAL]]-PAJAK[[#This Row],[DISKON]]</f>
        <v>#VALUE!</v>
      </c>
      <c r="N79" s="13" t="str">
        <f ca="1">IF(PAJAK[[#This Row],[//]]="","",INDEX(INDIRECT("NOTA["&amp;PAJAK[#Headers]&amp;"]"),PAJAK[[#This Row],[//]]-2+PAJAK[[#This Row],[QB]]-1))</f>
        <v/>
      </c>
      <c r="O79" s="13" t="e">
        <f ca="1">(PAJAK[[#This Row],[SUB T-DISC]]-PAJAK[[#This Row],[DISC DLL]])/111%</f>
        <v>#VALUE!</v>
      </c>
      <c r="P79" s="13" t="e">
        <f ca="1">PAJAK[[#This Row],[DPP]]*PAJAK[[#This Row],[PPN]]</f>
        <v>#VALUE!</v>
      </c>
      <c r="Q79" s="13" t="e">
        <f ca="1">PAJAK[[#This Row],[DPP]]+PAJAK[[#This Row],[PPN 11%]]</f>
        <v>#VALUE!</v>
      </c>
      <c r="R79" s="1" t="str">
        <f ca="1">IF(ISNUMBER(PAJAK[[#This Row],[//]]),PPN,"")</f>
        <v/>
      </c>
    </row>
    <row r="80" spans="1:23" s="17" customFormat="1">
      <c r="A8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1" t="str">
        <f ca="1">HYPERLINK("[NOTA_.XLSX]NOTA!c"&amp;PAJAK[[#This Row],[//]],IF(PAJAK[[#This Row],[//]]="","",INDEX(INDIRECT("NOTA["&amp;PAJAK[#Headers]&amp;"]"),PAJAK[[#This Row],[//]]-2)))</f>
        <v/>
      </c>
      <c r="C80" t="str">
        <f ca="1">IF(PAJAK[[#This Row],[//]]="","",INDEX(INDIRECT("NOTA["&amp;PAJAK[#Headers]&amp;"]"),PAJAK[[#This Row],[//]]-2))</f>
        <v/>
      </c>
      <c r="D80" t="e">
        <f ca="1">MATCH(PAJAK[[#This Row],[ID]],[2]!Table1[ID],0)</f>
        <v>#REF!</v>
      </c>
      <c r="E80" s="4" t="str">
        <f ca="1">IF(PAJAK[[#This Row],[ID]]="","",COUNTIF(NOTA[ID_H],PAJAK[[#This Row],[ID]]))</f>
        <v/>
      </c>
      <c r="F80" t="str">
        <f ca="1">IF(PAJAK[[#This Row],[//]]="","",INDEX(CONV[2],MATCH(INDEX(INDIRECT("NOTA["&amp;PAJAK[#Headers]&amp;"]"),PAJAK[[#This Row],[//]]-2),CONV[1],0),0))</f>
        <v/>
      </c>
      <c r="G80" s="2" t="str">
        <f ca="1">IF(PAJAK[[#This Row],[//]]="","",INDEX(NOTA[TGL_H],PAJAK[[#This Row],[//]]-2))</f>
        <v/>
      </c>
      <c r="H80" s="2" t="str">
        <f ca="1">IF(PAJAK[[#This Row],[//]]="","",INDEX(INDIRECT("NOTA["&amp;PAJAK[#Headers]&amp;"]"),PAJAK[[#This Row],[//]]-2))</f>
        <v/>
      </c>
      <c r="I80" s="4" t="str">
        <f ca="1">IF(PAJAK[[#This Row],[//]]="","",INDEX(INDIRECT("NOTA["&amp;PAJAK[#Headers]&amp;"]"),PAJAK[[#This Row],[//]]-2))</f>
        <v/>
      </c>
      <c r="J8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3" t="str">
        <f ca="1">IF(PAJAK[[#This Row],[//]]="","",SUMIF(NOTA[ID_H],PAJAK[[#This Row],[ID]],NOTA[JUMLAH]))</f>
        <v/>
      </c>
      <c r="L80" s="13" t="str">
        <f ca="1">IF(PAJAK[[#This Row],[//]]="","",SUMIF(NOTA[ID_H],PAJAK[[#This Row],[ID]],NOTA[DISC]))</f>
        <v/>
      </c>
      <c r="M80" s="13" t="e">
        <f ca="1">PAJAK[[#This Row],[SUB TOTAL]]-PAJAK[[#This Row],[DISKON]]</f>
        <v>#VALUE!</v>
      </c>
      <c r="N80" s="13" t="str">
        <f ca="1">IF(PAJAK[[#This Row],[//]]="","",INDEX(INDIRECT("NOTA["&amp;PAJAK[#Headers]&amp;"]"),PAJAK[[#This Row],[//]]-2+PAJAK[[#This Row],[QB]]-1))</f>
        <v/>
      </c>
      <c r="O80" s="13" t="e">
        <f ca="1">(PAJAK[[#This Row],[SUB T-DISC]]-PAJAK[[#This Row],[DISC DLL]])/111%</f>
        <v>#VALUE!</v>
      </c>
      <c r="P80" s="13" t="e">
        <f ca="1">PAJAK[[#This Row],[DPP]]*PAJAK[[#This Row],[PPN]]</f>
        <v>#VALUE!</v>
      </c>
      <c r="Q80" s="13" t="e">
        <f ca="1">PAJAK[[#This Row],[DPP]]+PAJAK[[#This Row],[PPN 11%]]</f>
        <v>#VALUE!</v>
      </c>
      <c r="R80" s="1" t="str">
        <f ca="1">IF(ISNUMBER(PAJAK[[#This Row],[//]]),PPN,"")</f>
        <v/>
      </c>
      <c r="W80" s="21"/>
    </row>
    <row r="81" spans="1:23" s="17" customFormat="1">
      <c r="A81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12" t="str">
        <f ca="1">HYPERLINK("[NOTA_.XLSX]NOTA!c"&amp;PAJAK[[#This Row],[//]],IF(PAJAK[[#This Row],[//]]="","",INDEX(INDIRECT("NOTA["&amp;PAJAK[#Headers]&amp;"]"),PAJAK[[#This Row],[//]]-2)))</f>
        <v/>
      </c>
      <c r="C81" t="str">
        <f ca="1">IF(PAJAK[[#This Row],[//]]="","",INDEX(INDIRECT("NOTA["&amp;PAJAK[#Headers]&amp;"]"),PAJAK[[#This Row],[//]]-2))</f>
        <v/>
      </c>
      <c r="D81" t="e">
        <f ca="1">MATCH(PAJAK[[#This Row],[ID]],[2]!Table1[ID],0)</f>
        <v>#REF!</v>
      </c>
      <c r="E81" s="4" t="str">
        <f ca="1">IF(PAJAK[[#This Row],[ID]]="","",COUNTIF(NOTA[ID_H],PAJAK[[#This Row],[ID]]))</f>
        <v/>
      </c>
      <c r="F81" t="str">
        <f ca="1">IF(PAJAK[[#This Row],[//]]="","",INDEX(CONV[2],MATCH(INDEX(INDIRECT("NOTA["&amp;PAJAK[#Headers]&amp;"]"),PAJAK[[#This Row],[//]]-2),CONV[1],0),0))</f>
        <v/>
      </c>
      <c r="G81" s="2" t="str">
        <f ca="1">IF(PAJAK[[#This Row],[//]]="","",INDEX(NOTA[TGL_H],PAJAK[[#This Row],[//]]-2))</f>
        <v/>
      </c>
      <c r="H81" s="2" t="str">
        <f ca="1">IF(PAJAK[[#This Row],[//]]="","",INDEX(INDIRECT("NOTA["&amp;PAJAK[#Headers]&amp;"]"),PAJAK[[#This Row],[//]]-2))</f>
        <v/>
      </c>
      <c r="I81" s="4" t="str">
        <f ca="1">IF(PAJAK[[#This Row],[//]]="","",INDEX(INDIRECT("NOTA["&amp;PAJAK[#Headers]&amp;"]"),PAJAK[[#This Row],[//]]-2))</f>
        <v/>
      </c>
      <c r="J81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3" t="str">
        <f ca="1">IF(PAJAK[[#This Row],[//]]="","",SUMIF(NOTA[ID_H],PAJAK[[#This Row],[ID]],NOTA[JUMLAH]))</f>
        <v/>
      </c>
      <c r="L81" s="13" t="str">
        <f ca="1">IF(PAJAK[[#This Row],[//]]="","",SUMIF(NOTA[ID_H],PAJAK[[#This Row],[ID]],NOTA[DISC]))</f>
        <v/>
      </c>
      <c r="M81" s="13" t="e">
        <f ca="1">PAJAK[[#This Row],[SUB TOTAL]]-PAJAK[[#This Row],[DISKON]]</f>
        <v>#VALUE!</v>
      </c>
      <c r="N81" s="13" t="str">
        <f ca="1">IF(PAJAK[[#This Row],[//]]="","",INDEX(INDIRECT("NOTA["&amp;PAJAK[#Headers]&amp;"]"),PAJAK[[#This Row],[//]]-2+PAJAK[[#This Row],[QB]]-1))</f>
        <v/>
      </c>
      <c r="O81" s="13" t="e">
        <f ca="1">(PAJAK[[#This Row],[SUB T-DISC]]-PAJAK[[#This Row],[DISC DLL]])/111%</f>
        <v>#VALUE!</v>
      </c>
      <c r="P81" s="13" t="e">
        <f ca="1">PAJAK[[#This Row],[DPP]]*PAJAK[[#This Row],[PPN]]</f>
        <v>#VALUE!</v>
      </c>
      <c r="Q81" s="13" t="e">
        <f ca="1">PAJAK[[#This Row],[DPP]]+PAJAK[[#This Row],[PPN 11%]]</f>
        <v>#VALUE!</v>
      </c>
      <c r="R81" s="1" t="str">
        <f ca="1">IF(ISNUMBER(PAJAK[[#This Row],[//]]),PPN,"")</f>
        <v/>
      </c>
      <c r="W81" s="21"/>
    </row>
    <row r="82" spans="1:23">
      <c r="A82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1" t="str">
        <f ca="1">HYPERLINK("[NOTA_.XLSX]NOTA!c"&amp;PAJAK[[#This Row],[//]],IF(PAJAK[[#This Row],[//]]="","",INDEX(INDIRECT("NOTA["&amp;PAJAK[#Headers]&amp;"]"),PAJAK[[#This Row],[//]]-2)))</f>
        <v/>
      </c>
      <c r="C82" t="str">
        <f ca="1">IF(PAJAK[[#This Row],[//]]="","",INDEX(INDIRECT("NOTA["&amp;PAJAK[#Headers]&amp;"]"),PAJAK[[#This Row],[//]]-2))</f>
        <v/>
      </c>
      <c r="D82" t="e">
        <f ca="1">MATCH(PAJAK[[#This Row],[ID]],[2]!Table1[ID],0)</f>
        <v>#REF!</v>
      </c>
      <c r="E82" s="4" t="str">
        <f ca="1">IF(PAJAK[[#This Row],[ID]]="","",COUNTIF(NOTA[ID_H],PAJAK[[#This Row],[ID]]))</f>
        <v/>
      </c>
      <c r="F82" t="str">
        <f ca="1">IF(PAJAK[[#This Row],[//]]="","",INDEX(CONV[2],MATCH(INDEX(INDIRECT("NOTA["&amp;PAJAK[#Headers]&amp;"]"),PAJAK[[#This Row],[//]]-2),CONV[1],0),0))</f>
        <v/>
      </c>
      <c r="G82" s="2" t="str">
        <f ca="1">IF(PAJAK[[#This Row],[//]]="","",INDEX(NOTA[TGL_H],PAJAK[[#This Row],[//]]-2))</f>
        <v/>
      </c>
      <c r="H82" s="2" t="str">
        <f ca="1">IF(PAJAK[[#This Row],[//]]="","",INDEX(INDIRECT("NOTA["&amp;PAJAK[#Headers]&amp;"]"),PAJAK[[#This Row],[//]]-2))</f>
        <v/>
      </c>
      <c r="I82" s="4" t="str">
        <f ca="1">IF(PAJAK[[#This Row],[//]]="","",INDEX(INDIRECT("NOTA["&amp;PAJAK[#Headers]&amp;"]"),PAJAK[[#This Row],[//]]-2))</f>
        <v/>
      </c>
      <c r="J82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3" t="str">
        <f ca="1">IF(PAJAK[[#This Row],[//]]="","",SUMIF(NOTA[ID_H],PAJAK[[#This Row],[ID]],NOTA[JUMLAH]))</f>
        <v/>
      </c>
      <c r="L82" s="13" t="str">
        <f ca="1">IF(PAJAK[[#This Row],[//]]="","",SUMIF(NOTA[ID_H],PAJAK[[#This Row],[ID]],NOTA[DISC]))</f>
        <v/>
      </c>
      <c r="M82" s="13" t="e">
        <f ca="1">PAJAK[[#This Row],[SUB TOTAL]]-PAJAK[[#This Row],[DISKON]]</f>
        <v>#VALUE!</v>
      </c>
      <c r="N82" s="13" t="str">
        <f ca="1">IF(PAJAK[[#This Row],[//]]="","",INDEX(INDIRECT("NOTA["&amp;PAJAK[#Headers]&amp;"]"),PAJAK[[#This Row],[//]]-2+PAJAK[[#This Row],[QB]]-1))</f>
        <v/>
      </c>
      <c r="O82" s="13" t="e">
        <f ca="1">(PAJAK[[#This Row],[SUB T-DISC]]-PAJAK[[#This Row],[DISC DLL]])/111%</f>
        <v>#VALUE!</v>
      </c>
      <c r="P82" s="13" t="e">
        <f ca="1">PAJAK[[#This Row],[DPP]]*PAJAK[[#This Row],[PPN]]</f>
        <v>#VALUE!</v>
      </c>
      <c r="Q82" s="13" t="e">
        <f ca="1">PAJAK[[#This Row],[DPP]]+PAJAK[[#This Row],[PPN 11%]]</f>
        <v>#VALUE!</v>
      </c>
      <c r="R82" s="1" t="str">
        <f ca="1">IF(ISNUMBER(PAJAK[[#This Row],[//]]),PPN,"")</f>
        <v/>
      </c>
    </row>
    <row r="83" spans="1:23">
      <c r="A83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t="str">
        <f ca="1">HYPERLINK("[NOTA_.XLSX]NOTA!c"&amp;PAJAK[[#This Row],[//]],IF(PAJAK[[#This Row],[//]]="","",INDEX(INDIRECT("NOTA["&amp;PAJAK[#Headers]&amp;"]"),PAJAK[[#This Row],[//]]-2)))</f>
        <v/>
      </c>
      <c r="C83" t="str">
        <f ca="1">IF(PAJAK[[#This Row],[//]]="","",INDEX(INDIRECT("NOTA["&amp;PAJAK[#Headers]&amp;"]"),PAJAK[[#This Row],[//]]-2))</f>
        <v/>
      </c>
      <c r="D83" t="e">
        <f ca="1">MATCH(PAJAK[[#This Row],[ID]],[2]!Table1[ID],0)</f>
        <v>#REF!</v>
      </c>
      <c r="E83" s="4" t="str">
        <f ca="1">IF(PAJAK[[#This Row],[ID]]="","",COUNTIF(NOTA[ID_H],PAJAK[[#This Row],[ID]]))</f>
        <v/>
      </c>
      <c r="F83" t="str">
        <f ca="1">IF(PAJAK[[#This Row],[//]]="","",INDEX(CONV[2],MATCH(INDEX(INDIRECT("NOTA["&amp;PAJAK[#Headers]&amp;"]"),PAJAK[[#This Row],[//]]-2),CONV[1],0),0))</f>
        <v/>
      </c>
      <c r="G83" s="2" t="str">
        <f ca="1">IF(PAJAK[[#This Row],[//]]="","",INDEX(NOTA[TGL_H],PAJAK[[#This Row],[//]]-2))</f>
        <v/>
      </c>
      <c r="H83" s="2" t="str">
        <f ca="1">IF(PAJAK[[#This Row],[//]]="","",INDEX(INDIRECT("NOTA["&amp;PAJAK[#Headers]&amp;"]"),PAJAK[[#This Row],[//]]-2))</f>
        <v/>
      </c>
      <c r="I83" s="4" t="str">
        <f ca="1">IF(PAJAK[[#This Row],[//]]="","",INDEX(INDIRECT("NOTA["&amp;PAJAK[#Headers]&amp;"]"),PAJAK[[#This Row],[//]]-2))</f>
        <v/>
      </c>
      <c r="J83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3" t="str">
        <f ca="1">IF(PAJAK[[#This Row],[//]]="","",SUMIF(NOTA[ID_H],PAJAK[[#This Row],[ID]],NOTA[JUMLAH]))</f>
        <v/>
      </c>
      <c r="L83" s="13" t="str">
        <f ca="1">IF(PAJAK[[#This Row],[//]]="","",SUMIF(NOTA[ID_H],PAJAK[[#This Row],[ID]],NOTA[DISC]))</f>
        <v/>
      </c>
      <c r="M83" s="13" t="e">
        <f ca="1">PAJAK[[#This Row],[SUB TOTAL]]-PAJAK[[#This Row],[DISKON]]</f>
        <v>#VALUE!</v>
      </c>
      <c r="N83" s="13" t="str">
        <f ca="1">IF(PAJAK[[#This Row],[//]]="","",INDEX(INDIRECT("NOTA["&amp;PAJAK[#Headers]&amp;"]"),PAJAK[[#This Row],[//]]-2+PAJAK[[#This Row],[QB]]-1))</f>
        <v/>
      </c>
      <c r="O83" s="13" t="e">
        <f ca="1">(PAJAK[[#This Row],[SUB T-DISC]]-PAJAK[[#This Row],[DISC DLL]])/111%</f>
        <v>#VALUE!</v>
      </c>
      <c r="P83" s="13" t="e">
        <f ca="1">PAJAK[[#This Row],[DPP]]*PAJAK[[#This Row],[PPN]]</f>
        <v>#VALUE!</v>
      </c>
      <c r="Q83" s="13" t="e">
        <f ca="1">PAJAK[[#This Row],[DPP]]+PAJAK[[#This Row],[PPN 11%]]</f>
        <v>#VALUE!</v>
      </c>
      <c r="R83" s="1" t="str">
        <f ca="1">IF(ISNUMBER(PAJAK[[#This Row],[//]]),PPN,"")</f>
        <v/>
      </c>
    </row>
    <row r="84" spans="1:23">
      <c r="A8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1" t="str">
        <f ca="1">HYPERLINK("[NOTA_.XLSX]NOTA!c"&amp;PAJAK[[#This Row],[//]],IF(PAJAK[[#This Row],[//]]="","",INDEX(INDIRECT("NOTA["&amp;PAJAK[#Headers]&amp;"]"),PAJAK[[#This Row],[//]]-2)))</f>
        <v/>
      </c>
      <c r="C84" t="str">
        <f ca="1">IF(PAJAK[[#This Row],[//]]="","",INDEX(INDIRECT("NOTA["&amp;PAJAK[#Headers]&amp;"]"),PAJAK[[#This Row],[//]]-2))</f>
        <v/>
      </c>
      <c r="D84" t="e">
        <f ca="1">MATCH(PAJAK[[#This Row],[ID]],[2]!Table1[ID],0)</f>
        <v>#REF!</v>
      </c>
      <c r="E84" s="4" t="str">
        <f ca="1">IF(PAJAK[[#This Row],[ID]]="","",COUNTIF(NOTA[ID_H],PAJAK[[#This Row],[ID]]))</f>
        <v/>
      </c>
      <c r="F84" t="str">
        <f ca="1">IF(PAJAK[[#This Row],[//]]="","",INDEX(CONV[2],MATCH(INDEX(INDIRECT("NOTA["&amp;PAJAK[#Headers]&amp;"]"),PAJAK[[#This Row],[//]]-2),CONV[1],0),0))</f>
        <v/>
      </c>
      <c r="G84" s="2" t="str">
        <f ca="1">IF(PAJAK[[#This Row],[//]]="","",INDEX(NOTA[TGL_H],PAJAK[[#This Row],[//]]-2))</f>
        <v/>
      </c>
      <c r="H84" s="2" t="str">
        <f ca="1">IF(PAJAK[[#This Row],[//]]="","",INDEX(INDIRECT("NOTA["&amp;PAJAK[#Headers]&amp;"]"),PAJAK[[#This Row],[//]]-2))</f>
        <v/>
      </c>
      <c r="I84" s="4" t="str">
        <f ca="1">IF(PAJAK[[#This Row],[//]]="","",INDEX(INDIRECT("NOTA["&amp;PAJAK[#Headers]&amp;"]"),PAJAK[[#This Row],[//]]-2))</f>
        <v/>
      </c>
      <c r="J84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3" t="str">
        <f ca="1">IF(PAJAK[[#This Row],[//]]="","",SUMIF(NOTA[ID_H],PAJAK[[#This Row],[ID]],NOTA[JUMLAH]))</f>
        <v/>
      </c>
      <c r="L84" s="13" t="str">
        <f ca="1">IF(PAJAK[[#This Row],[//]]="","",SUMIF(NOTA[ID_H],PAJAK[[#This Row],[ID]],NOTA[DISC]))</f>
        <v/>
      </c>
      <c r="M84" s="13" t="e">
        <f ca="1">PAJAK[[#This Row],[SUB TOTAL]]-PAJAK[[#This Row],[DISKON]]</f>
        <v>#VALUE!</v>
      </c>
      <c r="N84" s="13" t="str">
        <f ca="1">IF(PAJAK[[#This Row],[//]]="","",INDEX(INDIRECT("NOTA["&amp;PAJAK[#Headers]&amp;"]"),PAJAK[[#This Row],[//]]-2+PAJAK[[#This Row],[QB]]-1))</f>
        <v/>
      </c>
      <c r="O84" s="13" t="e">
        <f ca="1">(PAJAK[[#This Row],[SUB T-DISC]]-PAJAK[[#This Row],[DISC DLL]])/111%</f>
        <v>#VALUE!</v>
      </c>
      <c r="P84" s="13" t="e">
        <f ca="1">PAJAK[[#This Row],[DPP]]*PAJAK[[#This Row],[PPN]]</f>
        <v>#VALUE!</v>
      </c>
      <c r="Q84" s="13" t="e">
        <f ca="1">PAJAK[[#This Row],[DPP]]+PAJAK[[#This Row],[PPN 11%]]</f>
        <v>#VALUE!</v>
      </c>
      <c r="R84" s="1" t="str">
        <f ca="1">IF(ISNUMBER(PAJAK[[#This Row],[//]]),PPN,"")</f>
        <v/>
      </c>
    </row>
    <row r="85" spans="1:23">
      <c r="A85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12" t="str">
        <f ca="1">HYPERLINK("[NOTA_.XLSX]NOTA!c"&amp;PAJAK[[#This Row],[//]],IF(PAJAK[[#This Row],[//]]="","",INDEX(INDIRECT("NOTA["&amp;PAJAK[#Headers]&amp;"]"),PAJAK[[#This Row],[//]]-2)))</f>
        <v/>
      </c>
      <c r="C85" t="str">
        <f ca="1">IF(PAJAK[[#This Row],[//]]="","",INDEX(INDIRECT("NOTA["&amp;PAJAK[#Headers]&amp;"]"),PAJAK[[#This Row],[//]]-2))</f>
        <v/>
      </c>
      <c r="D85" t="e">
        <f ca="1">MATCH(PAJAK[[#This Row],[ID]],[2]!Table1[ID],0)</f>
        <v>#REF!</v>
      </c>
      <c r="E85" s="4" t="str">
        <f ca="1">IF(PAJAK[[#This Row],[ID]]="","",COUNTIF(NOTA[ID_H],PAJAK[[#This Row],[ID]]))</f>
        <v/>
      </c>
      <c r="F85" t="str">
        <f ca="1">IF(PAJAK[[#This Row],[//]]="","",INDEX(CONV[2],MATCH(INDEX(INDIRECT("NOTA["&amp;PAJAK[#Headers]&amp;"]"),PAJAK[[#This Row],[//]]-2),CONV[1],0),0))</f>
        <v/>
      </c>
      <c r="G85" s="2" t="str">
        <f ca="1">IF(PAJAK[[#This Row],[//]]="","",INDEX(NOTA[TGL_H],PAJAK[[#This Row],[//]]-2))</f>
        <v/>
      </c>
      <c r="H85" s="2" t="str">
        <f ca="1">IF(PAJAK[[#This Row],[//]]="","",INDEX(INDIRECT("NOTA["&amp;PAJAK[#Headers]&amp;"]"),PAJAK[[#This Row],[//]]-2))</f>
        <v/>
      </c>
      <c r="I85" s="4" t="str">
        <f ca="1">IF(PAJAK[[#This Row],[//]]="","",INDEX(INDIRECT("NOTA["&amp;PAJAK[#Headers]&amp;"]"),PAJAK[[#This Row],[//]]-2))</f>
        <v/>
      </c>
      <c r="J8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3" t="str">
        <f ca="1">IF(PAJAK[[#This Row],[//]]="","",SUMIF(NOTA[ID_H],PAJAK[[#This Row],[ID]],NOTA[JUMLAH]))</f>
        <v/>
      </c>
      <c r="L85" s="13" t="str">
        <f ca="1">IF(PAJAK[[#This Row],[//]]="","",SUMIF(NOTA[ID_H],PAJAK[[#This Row],[ID]],NOTA[DISC]))</f>
        <v/>
      </c>
      <c r="M85" s="13" t="e">
        <f ca="1">PAJAK[[#This Row],[SUB TOTAL]]-PAJAK[[#This Row],[DISKON]]</f>
        <v>#VALUE!</v>
      </c>
      <c r="N85" s="13" t="str">
        <f ca="1">IF(PAJAK[[#This Row],[//]]="","",INDEX(INDIRECT("NOTA["&amp;PAJAK[#Headers]&amp;"]"),PAJAK[[#This Row],[//]]-2+PAJAK[[#This Row],[QB]]-1))</f>
        <v/>
      </c>
      <c r="O85" s="13" t="e">
        <f ca="1">(PAJAK[[#This Row],[SUB T-DISC]]-PAJAK[[#This Row],[DISC DLL]])/111%</f>
        <v>#VALUE!</v>
      </c>
      <c r="P85" s="13" t="e">
        <f ca="1">PAJAK[[#This Row],[DPP]]*PAJAK[[#This Row],[PPN]]</f>
        <v>#VALUE!</v>
      </c>
      <c r="Q85" s="13" t="e">
        <f ca="1">PAJAK[[#This Row],[DPP]]+PAJAK[[#This Row],[PPN 11%]]</f>
        <v>#VALUE!</v>
      </c>
      <c r="R85" s="1" t="str">
        <f ca="1">IF(ISNUMBER(PAJAK[[#This Row],[//]]),PPN,"")</f>
        <v/>
      </c>
    </row>
    <row r="86" spans="1:23">
      <c r="A86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t="str">
        <f ca="1">HYPERLINK("[NOTA_.XLSX]NOTA!c"&amp;PAJAK[[#This Row],[//]],IF(PAJAK[[#This Row],[//]]="","",INDEX(INDIRECT("NOTA["&amp;PAJAK[#Headers]&amp;"]"),PAJAK[[#This Row],[//]]-2)))</f>
        <v/>
      </c>
      <c r="C86" t="str">
        <f ca="1">IF(PAJAK[[#This Row],[//]]="","",INDEX(INDIRECT("NOTA["&amp;PAJAK[#Headers]&amp;"]"),PAJAK[[#This Row],[//]]-2))</f>
        <v/>
      </c>
      <c r="D86" t="e">
        <f ca="1">MATCH(PAJAK[[#This Row],[ID]],[2]!Table1[ID],0)</f>
        <v>#REF!</v>
      </c>
      <c r="E86" s="4" t="str">
        <f ca="1">IF(PAJAK[[#This Row],[ID]]="","",COUNTIF(NOTA[ID_H],PAJAK[[#This Row],[ID]]))</f>
        <v/>
      </c>
      <c r="F86" t="str">
        <f ca="1">IF(PAJAK[[#This Row],[//]]="","",INDEX(CONV[2],MATCH(INDEX(INDIRECT("NOTA["&amp;PAJAK[#Headers]&amp;"]"),PAJAK[[#This Row],[//]]-2),CONV[1],0),0))</f>
        <v/>
      </c>
      <c r="G86" s="2" t="str">
        <f ca="1">IF(PAJAK[[#This Row],[//]]="","",INDEX(NOTA[TGL_H],PAJAK[[#This Row],[//]]-2))</f>
        <v/>
      </c>
      <c r="H86" s="2" t="str">
        <f ca="1">IF(PAJAK[[#This Row],[//]]="","",INDEX(INDIRECT("NOTA["&amp;PAJAK[#Headers]&amp;"]"),PAJAK[[#This Row],[//]]-2))</f>
        <v/>
      </c>
      <c r="I86" s="4" t="str">
        <f ca="1">IF(PAJAK[[#This Row],[//]]="","",INDEX(INDIRECT("NOTA["&amp;PAJAK[#Headers]&amp;"]"),PAJAK[[#This Row],[//]]-2))</f>
        <v/>
      </c>
      <c r="J86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3" t="str">
        <f ca="1">IF(PAJAK[[#This Row],[//]]="","",SUMIF(NOTA[ID_H],PAJAK[[#This Row],[ID]],NOTA[JUMLAH]))</f>
        <v/>
      </c>
      <c r="L86" s="13" t="str">
        <f ca="1">IF(PAJAK[[#This Row],[//]]="","",SUMIF(NOTA[ID_H],PAJAK[[#This Row],[ID]],NOTA[DISC]))</f>
        <v/>
      </c>
      <c r="M86" s="13" t="e">
        <f ca="1">PAJAK[[#This Row],[SUB TOTAL]]-PAJAK[[#This Row],[DISKON]]</f>
        <v>#VALUE!</v>
      </c>
      <c r="N86" s="13" t="str">
        <f ca="1">IF(PAJAK[[#This Row],[//]]="","",INDEX(INDIRECT("NOTA["&amp;PAJAK[#Headers]&amp;"]"),PAJAK[[#This Row],[//]]-2+PAJAK[[#This Row],[QB]]-1))</f>
        <v/>
      </c>
      <c r="O86" s="13" t="e">
        <f ca="1">(PAJAK[[#This Row],[SUB T-DISC]]-PAJAK[[#This Row],[DISC DLL]])/111%</f>
        <v>#VALUE!</v>
      </c>
      <c r="P86" s="13" t="e">
        <f ca="1">PAJAK[[#This Row],[DPP]]*PAJAK[[#This Row],[PPN]]</f>
        <v>#VALUE!</v>
      </c>
      <c r="Q86" s="13" t="e">
        <f ca="1">PAJAK[[#This Row],[DPP]]+PAJAK[[#This Row],[PPN 11%]]</f>
        <v>#VALUE!</v>
      </c>
      <c r="R86" s="1" t="str">
        <f ca="1">IF(ISNUMBER(PAJAK[[#This Row],[//]]),PPN,"")</f>
        <v/>
      </c>
    </row>
    <row r="87" spans="1:23">
      <c r="A87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2" t="str">
        <f ca="1">HYPERLINK("[NOTA_.XLSX]NOTA!c"&amp;PAJAK[[#This Row],[//]],IF(PAJAK[[#This Row],[//]]="","",INDEX(INDIRECT("NOTA["&amp;PAJAK[#Headers]&amp;"]"),PAJAK[[#This Row],[//]]-2)))</f>
        <v/>
      </c>
      <c r="C87" t="str">
        <f ca="1">IF(PAJAK[[#This Row],[//]]="","",INDEX(INDIRECT("NOTA["&amp;PAJAK[#Headers]&amp;"]"),PAJAK[[#This Row],[//]]-2))</f>
        <v/>
      </c>
      <c r="D87" t="e">
        <f ca="1">MATCH(PAJAK[[#This Row],[ID]],[2]!Table1[ID],0)</f>
        <v>#REF!</v>
      </c>
      <c r="E87" s="4" t="str">
        <f ca="1">IF(PAJAK[[#This Row],[ID]]="","",COUNTIF(NOTA[ID_H],PAJAK[[#This Row],[ID]]))</f>
        <v/>
      </c>
      <c r="F87" t="str">
        <f ca="1">IF(PAJAK[[#This Row],[//]]="","",INDEX(CONV[2],MATCH(INDEX(INDIRECT("NOTA["&amp;PAJAK[#Headers]&amp;"]"),PAJAK[[#This Row],[//]]-2),CONV[1],0),0))</f>
        <v/>
      </c>
      <c r="G87" s="2" t="str">
        <f ca="1">IF(PAJAK[[#This Row],[//]]="","",INDEX(NOTA[TGL_H],PAJAK[[#This Row],[//]]-2))</f>
        <v/>
      </c>
      <c r="H87" s="2" t="str">
        <f ca="1">IF(PAJAK[[#This Row],[//]]="","",INDEX(INDIRECT("NOTA["&amp;PAJAK[#Headers]&amp;"]"),PAJAK[[#This Row],[//]]-2))</f>
        <v/>
      </c>
      <c r="I87" s="4" t="str">
        <f ca="1">IF(PAJAK[[#This Row],[//]]="","",INDEX(INDIRECT("NOTA["&amp;PAJAK[#Headers]&amp;"]"),PAJAK[[#This Row],[//]]-2))</f>
        <v/>
      </c>
      <c r="J87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3" t="str">
        <f ca="1">IF(PAJAK[[#This Row],[//]]="","",SUMIF(NOTA[ID_H],PAJAK[[#This Row],[ID]],NOTA[JUMLAH]))</f>
        <v/>
      </c>
      <c r="L87" s="13" t="str">
        <f ca="1">IF(PAJAK[[#This Row],[//]]="","",SUMIF(NOTA[ID_H],PAJAK[[#This Row],[ID]],NOTA[DISC]))</f>
        <v/>
      </c>
      <c r="M87" s="13" t="e">
        <f ca="1">PAJAK[[#This Row],[SUB TOTAL]]-PAJAK[[#This Row],[DISKON]]</f>
        <v>#VALUE!</v>
      </c>
      <c r="N87" s="13" t="str">
        <f ca="1">IF(PAJAK[[#This Row],[//]]="","",INDEX(INDIRECT("NOTA["&amp;PAJAK[#Headers]&amp;"]"),PAJAK[[#This Row],[//]]-2+PAJAK[[#This Row],[QB]]-1))</f>
        <v/>
      </c>
      <c r="O87" s="13" t="e">
        <f ca="1">(PAJAK[[#This Row],[SUB T-DISC]]-PAJAK[[#This Row],[DISC DLL]])/111%</f>
        <v>#VALUE!</v>
      </c>
      <c r="P87" s="13" t="e">
        <f ca="1">PAJAK[[#This Row],[DPP]]*PAJAK[[#This Row],[PPN]]</f>
        <v>#VALUE!</v>
      </c>
      <c r="Q87" s="13" t="e">
        <f ca="1">PAJAK[[#This Row],[DPP]]+PAJAK[[#This Row],[PPN 11%]]</f>
        <v>#VALUE!</v>
      </c>
      <c r="R87" s="1" t="str">
        <f ca="1">IF(ISNUMBER(PAJAK[[#This Row],[//]]),PPN,"")</f>
        <v/>
      </c>
    </row>
    <row r="88" spans="1:23">
      <c r="A88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1" t="str">
        <f ca="1">HYPERLINK("[NOTA_.XLSX]NOTA!c"&amp;PAJAK[[#This Row],[//]],IF(PAJAK[[#This Row],[//]]="","",INDEX(INDIRECT("NOTA["&amp;PAJAK[#Headers]&amp;"]"),PAJAK[[#This Row],[//]]-2)))</f>
        <v/>
      </c>
      <c r="C88" t="str">
        <f ca="1">IF(PAJAK[[#This Row],[//]]="","",INDEX(INDIRECT("NOTA["&amp;PAJAK[#Headers]&amp;"]"),PAJAK[[#This Row],[//]]-2))</f>
        <v/>
      </c>
      <c r="D88" t="e">
        <f ca="1">MATCH(PAJAK[[#This Row],[ID]],[2]!Table1[ID],0)</f>
        <v>#REF!</v>
      </c>
      <c r="E88" s="4" t="str">
        <f ca="1">IF(PAJAK[[#This Row],[ID]]="","",COUNTIF(NOTA[ID_H],PAJAK[[#This Row],[ID]]))</f>
        <v/>
      </c>
      <c r="F88" t="str">
        <f ca="1">IF(PAJAK[[#This Row],[//]]="","",INDEX(CONV[2],MATCH(INDEX(INDIRECT("NOTA["&amp;PAJAK[#Headers]&amp;"]"),PAJAK[[#This Row],[//]]-2),CONV[1],0),0))</f>
        <v/>
      </c>
      <c r="G88" s="2" t="str">
        <f ca="1">IF(PAJAK[[#This Row],[//]]="","",INDEX(NOTA[TGL_H],PAJAK[[#This Row],[//]]-2))</f>
        <v/>
      </c>
      <c r="H88" s="2" t="str">
        <f ca="1">IF(PAJAK[[#This Row],[//]]="","",INDEX(INDIRECT("NOTA["&amp;PAJAK[#Headers]&amp;"]"),PAJAK[[#This Row],[//]]-2))</f>
        <v/>
      </c>
      <c r="I88" s="4" t="str">
        <f ca="1">IF(PAJAK[[#This Row],[//]]="","",INDEX(INDIRECT("NOTA["&amp;PAJAK[#Headers]&amp;"]"),PAJAK[[#This Row],[//]]-2))</f>
        <v/>
      </c>
      <c r="J88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3" t="str">
        <f ca="1">IF(PAJAK[[#This Row],[//]]="","",SUMIF(NOTA[ID_H],PAJAK[[#This Row],[ID]],NOTA[JUMLAH]))</f>
        <v/>
      </c>
      <c r="L88" s="13" t="str">
        <f ca="1">IF(PAJAK[[#This Row],[//]]="","",SUMIF(NOTA[ID_H],PAJAK[[#This Row],[ID]],NOTA[DISC]))</f>
        <v/>
      </c>
      <c r="M88" s="13" t="e">
        <f ca="1">PAJAK[[#This Row],[SUB TOTAL]]-PAJAK[[#This Row],[DISKON]]</f>
        <v>#VALUE!</v>
      </c>
      <c r="N88" s="13" t="str">
        <f ca="1">IF(PAJAK[[#This Row],[//]]="","",INDEX(INDIRECT("NOTA["&amp;PAJAK[#Headers]&amp;"]"),PAJAK[[#This Row],[//]]-2+PAJAK[[#This Row],[QB]]-1))</f>
        <v/>
      </c>
      <c r="O88" s="13" t="e">
        <f ca="1">(PAJAK[[#This Row],[SUB T-DISC]]-PAJAK[[#This Row],[DISC DLL]])/111%</f>
        <v>#VALUE!</v>
      </c>
      <c r="P88" s="13" t="e">
        <f ca="1">PAJAK[[#This Row],[DPP]]*PAJAK[[#This Row],[PPN]]</f>
        <v>#VALUE!</v>
      </c>
      <c r="Q88" s="13" t="e">
        <f ca="1">PAJAK[[#This Row],[DPP]]+PAJAK[[#This Row],[PPN 11%]]</f>
        <v>#VALUE!</v>
      </c>
      <c r="R88" s="1" t="str">
        <f ca="1">IF(ISNUMBER(PAJAK[[#This Row],[//]]),PPN,"")</f>
        <v/>
      </c>
    </row>
    <row r="89" spans="1:23">
      <c r="A8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1" t="str">
        <f ca="1">HYPERLINK("[NOTA_.XLSX]NOTA!c"&amp;PAJAK[[#This Row],[//]],IF(PAJAK[[#This Row],[//]]="","",INDEX(INDIRECT("NOTA["&amp;PAJAK[#Headers]&amp;"]"),PAJAK[[#This Row],[//]]-2)))</f>
        <v/>
      </c>
      <c r="C89" t="str">
        <f ca="1">IF(PAJAK[[#This Row],[//]]="","",INDEX(INDIRECT("NOTA["&amp;PAJAK[#Headers]&amp;"]"),PAJAK[[#This Row],[//]]-2))</f>
        <v/>
      </c>
      <c r="D89" t="e">
        <f ca="1">MATCH(PAJAK[[#This Row],[ID]],[2]!Table1[ID],0)</f>
        <v>#REF!</v>
      </c>
      <c r="E89" s="4" t="str">
        <f ca="1">IF(PAJAK[[#This Row],[ID]]="","",COUNTIF(NOTA[ID_H],PAJAK[[#This Row],[ID]]))</f>
        <v/>
      </c>
      <c r="F89" t="str">
        <f ca="1">IF(PAJAK[[#This Row],[//]]="","",INDEX(CONV[2],MATCH(INDEX(INDIRECT("NOTA["&amp;PAJAK[#Headers]&amp;"]"),PAJAK[[#This Row],[//]]-2),CONV[1],0),0))</f>
        <v/>
      </c>
      <c r="G89" s="2" t="str">
        <f ca="1">IF(PAJAK[[#This Row],[//]]="","",INDEX(NOTA[TGL_H],PAJAK[[#This Row],[//]]-2))</f>
        <v/>
      </c>
      <c r="H89" s="2" t="str">
        <f ca="1">IF(PAJAK[[#This Row],[//]]="","",INDEX(INDIRECT("NOTA["&amp;PAJAK[#Headers]&amp;"]"),PAJAK[[#This Row],[//]]-2))</f>
        <v/>
      </c>
      <c r="I89" s="4" t="str">
        <f ca="1">IF(PAJAK[[#This Row],[//]]="","",INDEX(INDIRECT("NOTA["&amp;PAJAK[#Headers]&amp;"]"),PAJAK[[#This Row],[//]]-2))</f>
        <v/>
      </c>
      <c r="J89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3" t="str">
        <f ca="1">IF(PAJAK[[#This Row],[//]]="","",SUMIF(NOTA[ID_H],PAJAK[[#This Row],[ID]],NOTA[JUMLAH]))</f>
        <v/>
      </c>
      <c r="L89" s="13" t="str">
        <f ca="1">IF(PAJAK[[#This Row],[//]]="","",SUMIF(NOTA[ID_H],PAJAK[[#This Row],[ID]],NOTA[DISC]))</f>
        <v/>
      </c>
      <c r="M89" s="13" t="e">
        <f ca="1">PAJAK[[#This Row],[SUB TOTAL]]-PAJAK[[#This Row],[DISKON]]</f>
        <v>#VALUE!</v>
      </c>
      <c r="N89" s="13" t="str">
        <f ca="1">IF(PAJAK[[#This Row],[//]]="","",INDEX(INDIRECT("NOTA["&amp;PAJAK[#Headers]&amp;"]"),PAJAK[[#This Row],[//]]-2+PAJAK[[#This Row],[QB]]-1))</f>
        <v/>
      </c>
      <c r="O89" s="13" t="e">
        <f ca="1">(PAJAK[[#This Row],[SUB T-DISC]]-PAJAK[[#This Row],[DISC DLL]])/111%</f>
        <v>#VALUE!</v>
      </c>
      <c r="P89" s="13" t="e">
        <f ca="1">PAJAK[[#This Row],[DPP]]*PAJAK[[#This Row],[PPN]]</f>
        <v>#VALUE!</v>
      </c>
      <c r="Q89" s="13" t="e">
        <f ca="1">PAJAK[[#This Row],[DPP]]+PAJAK[[#This Row],[PPN 11%]]</f>
        <v>#VALUE!</v>
      </c>
      <c r="R89" s="1" t="str">
        <f ca="1">IF(ISNUMBER(PAJAK[[#This Row],[//]]),PPN,"")</f>
        <v/>
      </c>
    </row>
    <row r="90" spans="1:23">
      <c r="A9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1" t="str">
        <f ca="1">HYPERLINK("[NOTA_.XLSX]NOTA!c"&amp;PAJAK[[#This Row],[//]],IF(PAJAK[[#This Row],[//]]="","",INDEX(INDIRECT("NOTA["&amp;PAJAK[#Headers]&amp;"]"),PAJAK[[#This Row],[//]]-2)))</f>
        <v/>
      </c>
      <c r="C90" t="str">
        <f ca="1">IF(PAJAK[[#This Row],[//]]="","",INDEX(INDIRECT("NOTA["&amp;PAJAK[#Headers]&amp;"]"),PAJAK[[#This Row],[//]]-2))</f>
        <v/>
      </c>
      <c r="D90" t="e">
        <f ca="1">MATCH(PAJAK[[#This Row],[ID]],[2]!Table1[ID],0)</f>
        <v>#REF!</v>
      </c>
      <c r="E90" s="4" t="str">
        <f ca="1">IF(PAJAK[[#This Row],[ID]]="","",COUNTIF(NOTA[ID_H],PAJAK[[#This Row],[ID]]))</f>
        <v/>
      </c>
      <c r="F90" t="str">
        <f ca="1">IF(PAJAK[[#This Row],[//]]="","",INDEX(CONV[2],MATCH(INDEX(INDIRECT("NOTA["&amp;PAJAK[#Headers]&amp;"]"),PAJAK[[#This Row],[//]]-2),CONV[1],0),0))</f>
        <v/>
      </c>
      <c r="G90" s="2" t="str">
        <f ca="1">IF(PAJAK[[#This Row],[//]]="","",INDEX(NOTA[TGL_H],PAJAK[[#This Row],[//]]-2))</f>
        <v/>
      </c>
      <c r="H90" s="2" t="str">
        <f ca="1">IF(PAJAK[[#This Row],[//]]="","",INDEX(INDIRECT("NOTA["&amp;PAJAK[#Headers]&amp;"]"),PAJAK[[#This Row],[//]]-2))</f>
        <v/>
      </c>
      <c r="I90" s="4" t="str">
        <f ca="1">IF(PAJAK[[#This Row],[//]]="","",INDEX(INDIRECT("NOTA["&amp;PAJAK[#Headers]&amp;"]"),PAJAK[[#This Row],[//]]-2))</f>
        <v/>
      </c>
      <c r="J9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3" t="str">
        <f ca="1">IF(PAJAK[[#This Row],[//]]="","",SUMIF(NOTA[ID_H],PAJAK[[#This Row],[ID]],NOTA[JUMLAH]))</f>
        <v/>
      </c>
      <c r="L90" s="13" t="str">
        <f ca="1">IF(PAJAK[[#This Row],[//]]="","",SUMIF(NOTA[ID_H],PAJAK[[#This Row],[ID]],NOTA[DISC]))</f>
        <v/>
      </c>
      <c r="M90" s="13" t="e">
        <f ca="1">PAJAK[[#This Row],[SUB TOTAL]]-PAJAK[[#This Row],[DISKON]]</f>
        <v>#VALUE!</v>
      </c>
      <c r="N90" s="13" t="str">
        <f ca="1">IF(PAJAK[[#This Row],[//]]="","",INDEX(INDIRECT("NOTA["&amp;PAJAK[#Headers]&amp;"]"),PAJAK[[#This Row],[//]]-2+PAJAK[[#This Row],[QB]]-1))</f>
        <v/>
      </c>
      <c r="O90" s="13" t="e">
        <f ca="1">(PAJAK[[#This Row],[SUB T-DISC]]-PAJAK[[#This Row],[DISC DLL]])/111%</f>
        <v>#VALUE!</v>
      </c>
      <c r="P90" s="13" t="e">
        <f ca="1">PAJAK[[#This Row],[DPP]]*PAJAK[[#This Row],[PPN]]</f>
        <v>#VALUE!</v>
      </c>
      <c r="Q90" s="13" t="e">
        <f ca="1">PAJAK[[#This Row],[DPP]]+PAJAK[[#This Row],[PPN 11%]]</f>
        <v>#VALUE!</v>
      </c>
      <c r="R90" s="1" t="str">
        <f ca="1">IF(ISNUMBER(PAJAK[[#This Row],[//]]),PPN,"")</f>
        <v/>
      </c>
    </row>
    <row r="91" spans="1:23">
      <c r="A91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1" t="str">
        <f ca="1">HYPERLINK("[NOTA_.XLSX]NOTA!c"&amp;PAJAK[[#This Row],[//]],IF(PAJAK[[#This Row],[//]]="","",INDEX(INDIRECT("NOTA["&amp;PAJAK[#Headers]&amp;"]"),PAJAK[[#This Row],[//]]-2)))</f>
        <v/>
      </c>
      <c r="C91" t="str">
        <f ca="1">IF(PAJAK[[#This Row],[//]]="","",INDEX(INDIRECT("NOTA["&amp;PAJAK[#Headers]&amp;"]"),PAJAK[[#This Row],[//]]-2))</f>
        <v/>
      </c>
      <c r="D91" t="e">
        <f ca="1">MATCH(PAJAK[[#This Row],[ID]],[2]!Table1[ID],0)</f>
        <v>#REF!</v>
      </c>
      <c r="E91" s="4" t="str">
        <f ca="1">IF(PAJAK[[#This Row],[ID]]="","",COUNTIF(NOTA[ID_H],PAJAK[[#This Row],[ID]]))</f>
        <v/>
      </c>
      <c r="F91" t="str">
        <f ca="1">IF(PAJAK[[#This Row],[//]]="","",INDEX(CONV[2],MATCH(INDEX(INDIRECT("NOTA["&amp;PAJAK[#Headers]&amp;"]"),PAJAK[[#This Row],[//]]-2),CONV[1],0),0))</f>
        <v/>
      </c>
      <c r="G91" s="2" t="str">
        <f ca="1">IF(PAJAK[[#This Row],[//]]="","",INDEX(NOTA[TGL_H],PAJAK[[#This Row],[//]]-2))</f>
        <v/>
      </c>
      <c r="H91" s="2" t="str">
        <f ca="1">IF(PAJAK[[#This Row],[//]]="","",INDEX(INDIRECT("NOTA["&amp;PAJAK[#Headers]&amp;"]"),PAJAK[[#This Row],[//]]-2))</f>
        <v/>
      </c>
      <c r="I91" s="4" t="str">
        <f ca="1">IF(PAJAK[[#This Row],[//]]="","",INDEX(INDIRECT("NOTA["&amp;PAJAK[#Headers]&amp;"]"),PAJAK[[#This Row],[//]]-2))</f>
        <v/>
      </c>
      <c r="J91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3" t="str">
        <f ca="1">IF(PAJAK[[#This Row],[//]]="","",SUMIF(NOTA[ID_H],PAJAK[[#This Row],[ID]],NOTA[JUMLAH]))</f>
        <v/>
      </c>
      <c r="L91" s="13" t="str">
        <f ca="1">IF(PAJAK[[#This Row],[//]]="","",SUMIF(NOTA[ID_H],PAJAK[[#This Row],[ID]],NOTA[DISC]))</f>
        <v/>
      </c>
      <c r="M91" s="13" t="e">
        <f ca="1">PAJAK[[#This Row],[SUB TOTAL]]-PAJAK[[#This Row],[DISKON]]</f>
        <v>#VALUE!</v>
      </c>
      <c r="N91" s="13" t="str">
        <f ca="1">IF(PAJAK[[#This Row],[//]]="","",INDEX(INDIRECT("NOTA["&amp;PAJAK[#Headers]&amp;"]"),PAJAK[[#This Row],[//]]-2+PAJAK[[#This Row],[QB]]-1))</f>
        <v/>
      </c>
      <c r="O91" s="13" t="e">
        <f ca="1">(PAJAK[[#This Row],[SUB T-DISC]]-PAJAK[[#This Row],[DISC DLL]])/111%</f>
        <v>#VALUE!</v>
      </c>
      <c r="P91" s="13" t="e">
        <f ca="1">PAJAK[[#This Row],[DPP]]*PAJAK[[#This Row],[PPN]]</f>
        <v>#VALUE!</v>
      </c>
      <c r="Q91" s="13" t="e">
        <f ca="1">PAJAK[[#This Row],[DPP]]+PAJAK[[#This Row],[PPN 11%]]</f>
        <v>#VALUE!</v>
      </c>
      <c r="R91" s="1" t="str">
        <f ca="1">IF(ISNUMBER(PAJAK[[#This Row],[//]]),PPN,"")</f>
        <v/>
      </c>
    </row>
    <row r="92" spans="1:23">
      <c r="A92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1" t="str">
        <f ca="1">HYPERLINK("[NOTA_.XLSX]NOTA!c"&amp;PAJAK[[#This Row],[//]],IF(PAJAK[[#This Row],[//]]="","",INDEX(INDIRECT("NOTA["&amp;PAJAK[#Headers]&amp;"]"),PAJAK[[#This Row],[//]]-2)))</f>
        <v/>
      </c>
      <c r="C92" t="str">
        <f ca="1">IF(PAJAK[[#This Row],[//]]="","",INDEX(INDIRECT("NOTA["&amp;PAJAK[#Headers]&amp;"]"),PAJAK[[#This Row],[//]]-2))</f>
        <v/>
      </c>
      <c r="D92" t="e">
        <f ca="1">MATCH(PAJAK[[#This Row],[ID]],[2]!Table1[ID],0)</f>
        <v>#REF!</v>
      </c>
      <c r="E92" s="4" t="str">
        <f ca="1">IF(PAJAK[[#This Row],[ID]]="","",COUNTIF(NOTA[ID_H],PAJAK[[#This Row],[ID]]))</f>
        <v/>
      </c>
      <c r="F92" t="str">
        <f ca="1">IF(PAJAK[[#This Row],[//]]="","",INDEX(CONV[2],MATCH(INDEX(INDIRECT("NOTA["&amp;PAJAK[#Headers]&amp;"]"),PAJAK[[#This Row],[//]]-2),CONV[1],0),0))</f>
        <v/>
      </c>
      <c r="G92" s="2" t="str">
        <f ca="1">IF(PAJAK[[#This Row],[//]]="","",INDEX(NOTA[TGL_H],PAJAK[[#This Row],[//]]-2))</f>
        <v/>
      </c>
      <c r="H92" s="2" t="str">
        <f ca="1">IF(PAJAK[[#This Row],[//]]="","",INDEX(INDIRECT("NOTA["&amp;PAJAK[#Headers]&amp;"]"),PAJAK[[#This Row],[//]]-2))</f>
        <v/>
      </c>
      <c r="I92" s="4" t="str">
        <f ca="1">IF(PAJAK[[#This Row],[//]]="","",INDEX(INDIRECT("NOTA["&amp;PAJAK[#Headers]&amp;"]"),PAJAK[[#This Row],[//]]-2))</f>
        <v/>
      </c>
      <c r="J92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3" t="str">
        <f ca="1">IF(PAJAK[[#This Row],[//]]="","",SUMIF(NOTA[ID_H],PAJAK[[#This Row],[ID]],NOTA[JUMLAH]))</f>
        <v/>
      </c>
      <c r="L92" s="13" t="str">
        <f ca="1">IF(PAJAK[[#This Row],[//]]="","",SUMIF(NOTA[ID_H],PAJAK[[#This Row],[ID]],NOTA[DISC]))</f>
        <v/>
      </c>
      <c r="M92" s="13" t="e">
        <f ca="1">PAJAK[[#This Row],[SUB TOTAL]]-PAJAK[[#This Row],[DISKON]]</f>
        <v>#VALUE!</v>
      </c>
      <c r="N92" s="13" t="str">
        <f ca="1">IF(PAJAK[[#This Row],[//]]="","",INDEX(INDIRECT("NOTA["&amp;PAJAK[#Headers]&amp;"]"),PAJAK[[#This Row],[//]]-2+PAJAK[[#This Row],[QB]]-1))</f>
        <v/>
      </c>
      <c r="O92" s="13" t="e">
        <f ca="1">(PAJAK[[#This Row],[SUB T-DISC]]-PAJAK[[#This Row],[DISC DLL]])/111%</f>
        <v>#VALUE!</v>
      </c>
      <c r="P92" s="13" t="e">
        <f ca="1">PAJAK[[#This Row],[DPP]]*PAJAK[[#This Row],[PPN]]</f>
        <v>#VALUE!</v>
      </c>
      <c r="Q92" s="13" t="e">
        <f ca="1">PAJAK[[#This Row],[DPP]]+PAJAK[[#This Row],[PPN 11%]]</f>
        <v>#VALUE!</v>
      </c>
      <c r="R92" s="1" t="str">
        <f ca="1">IF(ISNUMBER(PAJAK[[#This Row],[//]]),PPN,"")</f>
        <v/>
      </c>
    </row>
    <row r="93" spans="1:23">
      <c r="A93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1" t="str">
        <f ca="1">HYPERLINK("[NOTA_.XLSX]NOTA!c"&amp;PAJAK[[#This Row],[//]],IF(PAJAK[[#This Row],[//]]="","",INDEX(INDIRECT("NOTA["&amp;PAJAK[#Headers]&amp;"]"),PAJAK[[#This Row],[//]]-2)))</f>
        <v/>
      </c>
      <c r="C93" t="str">
        <f ca="1">IF(PAJAK[[#This Row],[//]]="","",INDEX(INDIRECT("NOTA["&amp;PAJAK[#Headers]&amp;"]"),PAJAK[[#This Row],[//]]-2))</f>
        <v/>
      </c>
      <c r="D93" t="e">
        <f ca="1">MATCH(PAJAK[[#This Row],[ID]],[2]!Table1[ID],0)</f>
        <v>#REF!</v>
      </c>
      <c r="E93" s="4" t="str">
        <f ca="1">IF(PAJAK[[#This Row],[ID]]="","",COUNTIF(NOTA[ID_H],PAJAK[[#This Row],[ID]]))</f>
        <v/>
      </c>
      <c r="F93" t="str">
        <f ca="1">IF(PAJAK[[#This Row],[//]]="","",INDEX(CONV[2],MATCH(INDEX(INDIRECT("NOTA["&amp;PAJAK[#Headers]&amp;"]"),PAJAK[[#This Row],[//]]-2),CONV[1],0),0))</f>
        <v/>
      </c>
      <c r="G93" s="2" t="str">
        <f ca="1">IF(PAJAK[[#This Row],[//]]="","",INDEX(NOTA[TGL_H],PAJAK[[#This Row],[//]]-2))</f>
        <v/>
      </c>
      <c r="H93" s="2" t="str">
        <f ca="1">IF(PAJAK[[#This Row],[//]]="","",INDEX(INDIRECT("NOTA["&amp;PAJAK[#Headers]&amp;"]"),PAJAK[[#This Row],[//]]-2))</f>
        <v/>
      </c>
      <c r="I93" s="4" t="str">
        <f ca="1">IF(PAJAK[[#This Row],[//]]="","",INDEX(INDIRECT("NOTA["&amp;PAJAK[#Headers]&amp;"]"),PAJAK[[#This Row],[//]]-2))</f>
        <v/>
      </c>
      <c r="J93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3" t="str">
        <f ca="1">IF(PAJAK[[#This Row],[//]]="","",SUMIF(NOTA[ID_H],PAJAK[[#This Row],[ID]],NOTA[JUMLAH]))</f>
        <v/>
      </c>
      <c r="L93" s="13" t="str">
        <f ca="1">IF(PAJAK[[#This Row],[//]]="","",SUMIF(NOTA[ID_H],PAJAK[[#This Row],[ID]],NOTA[DISC]))</f>
        <v/>
      </c>
      <c r="M93" s="13" t="e">
        <f ca="1">PAJAK[[#This Row],[SUB TOTAL]]-PAJAK[[#This Row],[DISKON]]</f>
        <v>#VALUE!</v>
      </c>
      <c r="N93" s="13" t="str">
        <f ca="1">IF(PAJAK[[#This Row],[//]]="","",INDEX(INDIRECT("NOTA["&amp;PAJAK[#Headers]&amp;"]"),PAJAK[[#This Row],[//]]-2+PAJAK[[#This Row],[QB]]-1))</f>
        <v/>
      </c>
      <c r="O93" s="13" t="e">
        <f ca="1">(PAJAK[[#This Row],[SUB T-DISC]]-PAJAK[[#This Row],[DISC DLL]])/111%</f>
        <v>#VALUE!</v>
      </c>
      <c r="P93" s="13" t="e">
        <f ca="1">PAJAK[[#This Row],[DPP]]*PAJAK[[#This Row],[PPN]]</f>
        <v>#VALUE!</v>
      </c>
      <c r="Q93" s="13" t="e">
        <f ca="1">PAJAK[[#This Row],[DPP]]+PAJAK[[#This Row],[PPN 11%]]</f>
        <v>#VALUE!</v>
      </c>
      <c r="R93" s="1" t="str">
        <f ca="1">IF(ISNUMBER(PAJAK[[#This Row],[//]]),PPN,"")</f>
        <v/>
      </c>
    </row>
  </sheetData>
  <conditionalFormatting sqref="I1:I1048576">
    <cfRule type="duplicateValues" dxfId="1" priority="1"/>
  </conditionalFormatting>
  <conditionalFormatting sqref="I2:I93">
    <cfRule type="duplicateValues" dxfId="0" priority="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16" sqref="M16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O52"/>
  <sheetViews>
    <sheetView zoomScale="85" zoomScaleNormal="85" workbookViewId="0">
      <selection activeCell="G16" sqref="G16"/>
    </sheetView>
  </sheetViews>
  <sheetFormatPr defaultRowHeight="15"/>
  <cols>
    <col min="1" max="1" width="5" style="4" customWidth="1"/>
    <col min="2" max="2" width="5.140625" style="4" customWidth="1"/>
    <col min="3" max="3" width="8.42578125" style="4" customWidth="1"/>
    <col min="4" max="4" width="29" customWidth="1"/>
    <col min="5" max="6" width="12.42578125" style="2" customWidth="1"/>
    <col min="7" max="7" width="11.140625" style="5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>
      <c r="D1" t="str">
        <f ca="1">INDEX(CONV[2],MATCH(MID(G1,FIND("]",G1)+1,LEN(G1)-FIND("]",G1)),CONV[3],0))</f>
        <v>PT KENKO SINAR INDONESIA</v>
      </c>
      <c r="E1">
        <f ca="1">INDEX(CONV[JML],MATCH(D1,CONV[2],0))</f>
        <v>0</v>
      </c>
      <c r="F1"/>
      <c r="G1" t="str">
        <f ca="1">CELL("filename",G1)</f>
        <v>D:\kerja\BANK EXP\BARU\2024\06 JUNI\[NOTA 06 JUNI 2024.xlsx]KENKO</v>
      </c>
    </row>
    <row r="2" spans="1:15" s="4" customFormat="1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  <c r="N2" s="4" t="s">
        <v>52</v>
      </c>
      <c r="O2"/>
    </row>
    <row r="3" spans="1:15">
      <c r="A3" s="8" t="str">
        <f ca="1">HYPERLINK("[NOTA_.xlsx]NOTA!A"&amp;MATCH(KENKO[[#This Row],[ID]],NOTA[ID],0)+2,IF(KENKO[[#This Row],[//PAJAK]]="","",MATCH(KENKO[[#This Row],[ID]],NOTA[ID],0)+2))</f>
        <v/>
      </c>
      <c r="B3" s="4" t="str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/>
      </c>
      <c r="C3" s="4" t="str">
        <f ca="1">HYPERLINK("[NOTA_.xlsx]PAJAK!b"&amp;KENKO[[#This Row],[//PAJAK]],IF(KENKO[[#This Row],[//PAJAK]]="","",INDEX(INDIRECT("PAJAK["&amp;KENKO[#Headers]&amp;"]"),KENKO[[#This Row],[//PAJAK]]-1)))</f>
        <v/>
      </c>
      <c r="D3" t="str">
        <f ca="1">IF(KENKO[[#This Row],[//PAJAK]]="","",INDEX(INDIRECT("PAJAK["&amp;KENKO[#Headers]&amp;"]"),KENKO[[#This Row],[//PAJAK]]-1))</f>
        <v/>
      </c>
      <c r="E3" s="2" t="str">
        <f ca="1">IF(KENKO[[#This Row],[//PAJAK]]="","",INDEX(INDIRECT("PAJAK["&amp;KENKO[#Headers]&amp;"]"),KENKO[[#This Row],[//PAJAK]]-1))</f>
        <v/>
      </c>
      <c r="F3" s="2" t="str">
        <f ca="1">IF(KENKO[[#This Row],[//PAJAK]]="","",INDEX(INDIRECT("PAJAK["&amp;KENKO[#Headers]&amp;"]"),KENKO[[#This Row],[//PAJAK]]-1))</f>
        <v/>
      </c>
      <c r="G3" s="5" t="str">
        <f ca="1">IF(KENKO[[#This Row],[//PAJAK]]="","",INDEX(INDIRECT("PAJAK["&amp;KENKO[#Headers]&amp;"]"),KENKO[[#This Row],[//PAJAK]]-1))</f>
        <v/>
      </c>
      <c r="H3" t="str">
        <f ca="1">IF(KENKO[[#This Row],[//PAJAK]]="","",INDEX(INDIRECT("PAJAK["&amp;KENKO[#Headers]&amp;"]"),KENKO[[#This Row],[//PAJAK]]-1))</f>
        <v/>
      </c>
      <c r="I3" s="1" t="str">
        <f ca="1">IF(KENKO[[#This Row],[//PAJAK]]="","",INDEX(INDIRECT("PAJAK["&amp;KENKO[#Headers]&amp;"]"),KENKO[[#This Row],[//PAJAK]]-1))</f>
        <v/>
      </c>
      <c r="J3" s="1" t="str">
        <f ca="1">IF(KENKO[[#This Row],[//PAJAK]]="","",INDEX(INDIRECT("PAJAK["&amp;KENKO[#Headers]&amp;"]"),KENKO[[#This Row],[//PAJAK]]-1))</f>
        <v/>
      </c>
      <c r="K3" s="1" t="e">
        <f ca="1">(KENKO[[#This Row],[SUB TOTAL]]-KENKO[[#This Row],[DISKON]])/1.11</f>
        <v>#VALUE!</v>
      </c>
      <c r="L3" s="1" t="e">
        <f ca="1">KENKO[[#This Row],[DPP]]*11%</f>
        <v>#VALUE!</v>
      </c>
      <c r="M3" s="1" t="e">
        <f ca="1">KENKO[[#This Row],[DPP]]+KENKO[[#This Row],[PPN (11%)]]</f>
        <v>#VALUE!</v>
      </c>
      <c r="N3" s="1" t="str">
        <f ca="1">INDEX(PAJAK[ID_P],MATCH(KENKO[[#This Row],[ID]],PAJAK[ID],0))</f>
        <v/>
      </c>
    </row>
    <row r="4" spans="1:15">
      <c r="A4" s="8" t="str">
        <f ca="1">HYPERLINK("[NOTA_.xlsx]NOTA!A"&amp;MATCH(KENKO[[#This Row],[ID]],NOTA[ID],0)+2,IF(KENKO[[#This Row],[//PAJAK]]="","",MATCH(KENKO[[#This Row],[ID]],NOTA[ID],0)+2))</f>
        <v/>
      </c>
      <c r="B4" s="4" t="str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/>
      </c>
      <c r="C4" s="4" t="str">
        <f ca="1">HYPERLINK("[NOTA_.xlsx]PAJAK!b"&amp;KENKO[[#This Row],[//PAJAK]],IF(KENKO[[#This Row],[//PAJAK]]="","",INDEX(INDIRECT("PAJAK["&amp;KENKO[#Headers]&amp;"]"),KENKO[[#This Row],[//PAJAK]]-1)))</f>
        <v/>
      </c>
      <c r="D4" t="str">
        <f ca="1">IF(KENKO[[#This Row],[//PAJAK]]="","",INDEX(INDIRECT("PAJAK["&amp;KENKO[#Headers]&amp;"]"),KENKO[[#This Row],[//PAJAK]]-1))</f>
        <v/>
      </c>
      <c r="E4" s="2" t="str">
        <f ca="1">IF(KENKO[[#This Row],[//PAJAK]]="","",INDEX(INDIRECT("PAJAK["&amp;KENKO[#Headers]&amp;"]"),KENKO[[#This Row],[//PAJAK]]-1))</f>
        <v/>
      </c>
      <c r="F4" s="2" t="str">
        <f ca="1">IF(KENKO[[#This Row],[//PAJAK]]="","",INDEX(INDIRECT("PAJAK["&amp;KENKO[#Headers]&amp;"]"),KENKO[[#This Row],[//PAJAK]]-1))</f>
        <v/>
      </c>
      <c r="G4" s="5" t="str">
        <f ca="1">IF(KENKO[[#This Row],[//PAJAK]]="","",INDEX(INDIRECT("PAJAK["&amp;KENKO[#Headers]&amp;"]"),KENKO[[#This Row],[//PAJAK]]-1))</f>
        <v/>
      </c>
      <c r="H4" t="str">
        <f ca="1">IF(KENKO[[#This Row],[//PAJAK]]="","",INDEX(INDIRECT("PAJAK["&amp;KENKO[#Headers]&amp;"]"),KENKO[[#This Row],[//PAJAK]]-1))</f>
        <v/>
      </c>
      <c r="I4" s="1" t="str">
        <f ca="1">IF(KENKO[[#This Row],[//PAJAK]]="","",INDEX(INDIRECT("PAJAK["&amp;KENKO[#Headers]&amp;"]"),KENKO[[#This Row],[//PAJAK]]-1))</f>
        <v/>
      </c>
      <c r="J4" s="1" t="str">
        <f ca="1">IF(KENKO[[#This Row],[//PAJAK]]="","",INDEX(INDIRECT("PAJAK["&amp;KENKO[#Headers]&amp;"]"),KENKO[[#This Row],[//PAJAK]]-1))</f>
        <v/>
      </c>
      <c r="K4" s="1" t="e">
        <f ca="1">(KENKO[[#This Row],[SUB TOTAL]]-KENKO[[#This Row],[DISKON]])/1.11</f>
        <v>#VALUE!</v>
      </c>
      <c r="L4" s="1" t="e">
        <f ca="1">KENKO[[#This Row],[DPP]]*11%</f>
        <v>#VALUE!</v>
      </c>
      <c r="M4" s="1" t="e">
        <f ca="1">KENKO[[#This Row],[DPP]]+KENKO[[#This Row],[PPN (11%)]]</f>
        <v>#VALUE!</v>
      </c>
      <c r="N4" s="1" t="str">
        <f ca="1">INDEX(PAJAK[ID_P],MATCH(KENKO[[#This Row],[ID]],PAJAK[ID],0))</f>
        <v/>
      </c>
    </row>
    <row r="5" spans="1:15">
      <c r="A5" s="8" t="str">
        <f ca="1">HYPERLINK("[NOTA_.xlsx]NOTA!A"&amp;MATCH(KENKO[[#This Row],[ID]],NOTA[ID],0)+2,IF(KENKO[[#This Row],[//PAJAK]]="","",MATCH(KENKO[[#This Row],[ID]],NOTA[ID],0)+2))</f>
        <v/>
      </c>
      <c r="B5" s="4" t="str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/>
      </c>
      <c r="C5" s="4" t="str">
        <f ca="1">HYPERLINK("[NOTA_.xlsx]PAJAK!b"&amp;KENKO[[#This Row],[//PAJAK]],IF(KENKO[[#This Row],[//PAJAK]]="","",INDEX(INDIRECT("PAJAK["&amp;KENKO[#Headers]&amp;"]"),KENKO[[#This Row],[//PAJAK]]-1)))</f>
        <v/>
      </c>
      <c r="D5" t="str">
        <f ca="1">IF(KENKO[[#This Row],[//PAJAK]]="","",INDEX(INDIRECT("PAJAK["&amp;KENKO[#Headers]&amp;"]"),KENKO[[#This Row],[//PAJAK]]-1))</f>
        <v/>
      </c>
      <c r="E5" s="2" t="str">
        <f ca="1">IF(KENKO[[#This Row],[//PAJAK]]="","",INDEX(INDIRECT("PAJAK["&amp;KENKO[#Headers]&amp;"]"),KENKO[[#This Row],[//PAJAK]]-1))</f>
        <v/>
      </c>
      <c r="F5" s="2" t="str">
        <f ca="1">IF(KENKO[[#This Row],[//PAJAK]]="","",INDEX(INDIRECT("PAJAK["&amp;KENKO[#Headers]&amp;"]"),KENKO[[#This Row],[//PAJAK]]-1))</f>
        <v/>
      </c>
      <c r="G5" s="5" t="str">
        <f ca="1">IF(KENKO[[#This Row],[//PAJAK]]="","",INDEX(INDIRECT("PAJAK["&amp;KENKO[#Headers]&amp;"]"),KENKO[[#This Row],[//PAJAK]]-1))</f>
        <v/>
      </c>
      <c r="H5" t="str">
        <f ca="1">IF(KENKO[[#This Row],[//PAJAK]]="","",INDEX(INDIRECT("PAJAK["&amp;KENKO[#Headers]&amp;"]"),KENKO[[#This Row],[//PAJAK]]-1))</f>
        <v/>
      </c>
      <c r="I5" s="1" t="str">
        <f ca="1">IF(KENKO[[#This Row],[//PAJAK]]="","",INDEX(INDIRECT("PAJAK["&amp;KENKO[#Headers]&amp;"]"),KENKO[[#This Row],[//PAJAK]]-1))</f>
        <v/>
      </c>
      <c r="J5" s="1" t="str">
        <f ca="1">IF(KENKO[[#This Row],[//PAJAK]]="","",INDEX(INDIRECT("PAJAK["&amp;KENKO[#Headers]&amp;"]"),KENKO[[#This Row],[//PAJAK]]-1))</f>
        <v/>
      </c>
      <c r="K5" s="1" t="e">
        <f ca="1">(KENKO[[#This Row],[SUB TOTAL]]-KENKO[[#This Row],[DISKON]])/1.11</f>
        <v>#VALUE!</v>
      </c>
      <c r="L5" s="1" t="e">
        <f ca="1">KENKO[[#This Row],[DPP]]*11%</f>
        <v>#VALUE!</v>
      </c>
      <c r="M5" s="1" t="e">
        <f ca="1">KENKO[[#This Row],[DPP]]+KENKO[[#This Row],[PPN (11%)]]</f>
        <v>#VALUE!</v>
      </c>
      <c r="N5" s="1" t="str">
        <f ca="1">INDEX(PAJAK[ID_P],MATCH(KENKO[[#This Row],[ID]],PAJAK[ID],0))</f>
        <v/>
      </c>
    </row>
    <row r="6" spans="1:15">
      <c r="A6" s="8" t="str">
        <f ca="1">HYPERLINK("[NOTA_.xlsx]NOTA!A"&amp;MATCH(KENKO[[#This Row],[ID]],NOTA[ID],0)+2,IF(KENKO[[#This Row],[//PAJAK]]="","",MATCH(KENKO[[#This Row],[ID]],NOTA[ID],0)+2))</f>
        <v/>
      </c>
      <c r="B6" s="4" t="str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/>
      </c>
      <c r="C6" s="4" t="str">
        <f ca="1">HYPERLINK("[NOTA_.xlsx]PAJAK!b"&amp;KENKO[[#This Row],[//PAJAK]],IF(KENKO[[#This Row],[//PAJAK]]="","",INDEX(INDIRECT("PAJAK["&amp;KENKO[#Headers]&amp;"]"),KENKO[[#This Row],[//PAJAK]]-1)))</f>
        <v/>
      </c>
      <c r="D6" t="str">
        <f ca="1">IF(KENKO[[#This Row],[//PAJAK]]="","",INDEX(INDIRECT("PAJAK["&amp;KENKO[#Headers]&amp;"]"),KENKO[[#This Row],[//PAJAK]]-1))</f>
        <v/>
      </c>
      <c r="E6" s="2" t="str">
        <f ca="1">IF(KENKO[[#This Row],[//PAJAK]]="","",INDEX(INDIRECT("PAJAK["&amp;KENKO[#Headers]&amp;"]"),KENKO[[#This Row],[//PAJAK]]-1))</f>
        <v/>
      </c>
      <c r="F6" s="2" t="str">
        <f ca="1">IF(KENKO[[#This Row],[//PAJAK]]="","",INDEX(INDIRECT("PAJAK["&amp;KENKO[#Headers]&amp;"]"),KENKO[[#This Row],[//PAJAK]]-1))</f>
        <v/>
      </c>
      <c r="G6" s="5" t="str">
        <f ca="1">IF(KENKO[[#This Row],[//PAJAK]]="","",INDEX(INDIRECT("PAJAK["&amp;KENKO[#Headers]&amp;"]"),KENKO[[#This Row],[//PAJAK]]-1))</f>
        <v/>
      </c>
      <c r="H6" t="str">
        <f ca="1">IF(KENKO[[#This Row],[//PAJAK]]="","",INDEX(INDIRECT("PAJAK["&amp;KENKO[#Headers]&amp;"]"),KENKO[[#This Row],[//PAJAK]]-1))</f>
        <v/>
      </c>
      <c r="I6" s="1" t="str">
        <f ca="1">IF(KENKO[[#This Row],[//PAJAK]]="","",INDEX(INDIRECT("PAJAK["&amp;KENKO[#Headers]&amp;"]"),KENKO[[#This Row],[//PAJAK]]-1))</f>
        <v/>
      </c>
      <c r="J6" s="1" t="str">
        <f ca="1">IF(KENKO[[#This Row],[//PAJAK]]="","",INDEX(INDIRECT("PAJAK["&amp;KENKO[#Headers]&amp;"]"),KENKO[[#This Row],[//PAJAK]]-1))</f>
        <v/>
      </c>
      <c r="K6" s="1" t="e">
        <f ca="1">(KENKO[[#This Row],[SUB TOTAL]]-KENKO[[#This Row],[DISKON]])/1.11</f>
        <v>#VALUE!</v>
      </c>
      <c r="L6" s="1" t="e">
        <f ca="1">KENKO[[#This Row],[DPP]]*11%</f>
        <v>#VALUE!</v>
      </c>
      <c r="M6" s="1" t="e">
        <f ca="1">KENKO[[#This Row],[DPP]]+KENKO[[#This Row],[PPN (11%)]]</f>
        <v>#VALUE!</v>
      </c>
      <c r="N6" s="1" t="str">
        <f ca="1">INDEX(PAJAK[ID_P],MATCH(KENKO[[#This Row],[ID]],PAJAK[ID],0))</f>
        <v/>
      </c>
    </row>
    <row r="7" spans="1:15">
      <c r="A7" s="8" t="str">
        <f ca="1">HYPERLINK("[NOTA_.xlsx]NOTA!A"&amp;MATCH(KENKO[[#This Row],[ID]],NOTA[ID],0)+2,IF(KENKO[[#This Row],[//PAJAK]]="","",MATCH(KENKO[[#This Row],[ID]],NOTA[ID],0)+2))</f>
        <v/>
      </c>
      <c r="B7" s="4" t="str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/>
      </c>
      <c r="C7" s="4" t="str">
        <f ca="1">HYPERLINK("[NOTA_.xlsx]PAJAK!b"&amp;KENKO[[#This Row],[//PAJAK]],IF(KENKO[[#This Row],[//PAJAK]]="","",INDEX(INDIRECT("PAJAK["&amp;KENKO[#Headers]&amp;"]"),KENKO[[#This Row],[//PAJAK]]-1)))</f>
        <v/>
      </c>
      <c r="D7" t="str">
        <f ca="1">IF(KENKO[[#This Row],[//PAJAK]]="","",INDEX(INDIRECT("PAJAK["&amp;KENKO[#Headers]&amp;"]"),KENKO[[#This Row],[//PAJAK]]-1))</f>
        <v/>
      </c>
      <c r="E7" s="2" t="str">
        <f ca="1">IF(KENKO[[#This Row],[//PAJAK]]="","",INDEX(INDIRECT("PAJAK["&amp;KENKO[#Headers]&amp;"]"),KENKO[[#This Row],[//PAJAK]]-1))</f>
        <v/>
      </c>
      <c r="F7" s="2" t="str">
        <f ca="1">IF(KENKO[[#This Row],[//PAJAK]]="","",INDEX(INDIRECT("PAJAK["&amp;KENKO[#Headers]&amp;"]"),KENKO[[#This Row],[//PAJAK]]-1))</f>
        <v/>
      </c>
      <c r="G7" s="5" t="str">
        <f ca="1">IF(KENKO[[#This Row],[//PAJAK]]="","",INDEX(INDIRECT("PAJAK["&amp;KENKO[#Headers]&amp;"]"),KENKO[[#This Row],[//PAJAK]]-1))</f>
        <v/>
      </c>
      <c r="H7" t="str">
        <f ca="1">IF(KENKO[[#This Row],[//PAJAK]]="","",INDEX(INDIRECT("PAJAK["&amp;KENKO[#Headers]&amp;"]"),KENKO[[#This Row],[//PAJAK]]-1))</f>
        <v/>
      </c>
      <c r="I7" s="1" t="str">
        <f ca="1">IF(KENKO[[#This Row],[//PAJAK]]="","",INDEX(INDIRECT("PAJAK["&amp;KENKO[#Headers]&amp;"]"),KENKO[[#This Row],[//PAJAK]]-1))</f>
        <v/>
      </c>
      <c r="J7" s="1" t="str">
        <f ca="1">IF(KENKO[[#This Row],[//PAJAK]]="","",INDEX(INDIRECT("PAJAK["&amp;KENKO[#Headers]&amp;"]"),KENKO[[#This Row],[//PAJAK]]-1))</f>
        <v/>
      </c>
      <c r="K7" s="1" t="e">
        <f ca="1">(KENKO[[#This Row],[SUB TOTAL]]-KENKO[[#This Row],[DISKON]])/1.11</f>
        <v>#VALUE!</v>
      </c>
      <c r="L7" s="1" t="e">
        <f ca="1">KENKO[[#This Row],[DPP]]*11%</f>
        <v>#VALUE!</v>
      </c>
      <c r="M7" s="1" t="e">
        <f ca="1">KENKO[[#This Row],[DPP]]+KENKO[[#This Row],[PPN (11%)]]</f>
        <v>#VALUE!</v>
      </c>
      <c r="N7" s="1" t="str">
        <f ca="1">INDEX(PAJAK[ID_P],MATCH(KENKO[[#This Row],[ID]],PAJAK[ID],0))</f>
        <v/>
      </c>
    </row>
    <row r="8" spans="1:15">
      <c r="A8" s="8" t="str">
        <f ca="1">HYPERLINK("[NOTA_.xlsx]NOTA!A"&amp;MATCH(KENKO[[#This Row],[ID]],NOTA[ID],0)+2,IF(KENKO[[#This Row],[//PAJAK]]="","",MATCH(KENKO[[#This Row],[ID]],NOTA[ID],0)+2))</f>
        <v/>
      </c>
      <c r="B8" s="4" t="str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/>
      </c>
      <c r="C8" s="4" t="str">
        <f ca="1">HYPERLINK("[NOTA_.xlsx]PAJAK!b"&amp;KENKO[[#This Row],[//PAJAK]],IF(KENKO[[#This Row],[//PAJAK]]="","",INDEX(INDIRECT("PAJAK["&amp;KENKO[#Headers]&amp;"]"),KENKO[[#This Row],[//PAJAK]]-1)))</f>
        <v/>
      </c>
      <c r="D8" t="str">
        <f ca="1">IF(KENKO[[#This Row],[//PAJAK]]="","",INDEX(INDIRECT("PAJAK["&amp;KENKO[#Headers]&amp;"]"),KENKO[[#This Row],[//PAJAK]]-1))</f>
        <v/>
      </c>
      <c r="E8" s="2" t="str">
        <f ca="1">IF(KENKO[[#This Row],[//PAJAK]]="","",INDEX(INDIRECT("PAJAK["&amp;KENKO[#Headers]&amp;"]"),KENKO[[#This Row],[//PAJAK]]-1))</f>
        <v/>
      </c>
      <c r="F8" s="2" t="str">
        <f ca="1">IF(KENKO[[#This Row],[//PAJAK]]="","",INDEX(INDIRECT("PAJAK["&amp;KENKO[#Headers]&amp;"]"),KENKO[[#This Row],[//PAJAK]]-1))</f>
        <v/>
      </c>
      <c r="G8" s="5" t="str">
        <f ca="1">IF(KENKO[[#This Row],[//PAJAK]]="","",INDEX(INDIRECT("PAJAK["&amp;KENKO[#Headers]&amp;"]"),KENKO[[#This Row],[//PAJAK]]-1))</f>
        <v/>
      </c>
      <c r="H8" t="str">
        <f ca="1">IF(KENKO[[#This Row],[//PAJAK]]="","",INDEX(INDIRECT("PAJAK["&amp;KENKO[#Headers]&amp;"]"),KENKO[[#This Row],[//PAJAK]]-1))</f>
        <v/>
      </c>
      <c r="I8" s="1" t="str">
        <f ca="1">IF(KENKO[[#This Row],[//PAJAK]]="","",INDEX(INDIRECT("PAJAK["&amp;KENKO[#Headers]&amp;"]"),KENKO[[#This Row],[//PAJAK]]-1))</f>
        <v/>
      </c>
      <c r="J8" s="1" t="str">
        <f ca="1">IF(KENKO[[#This Row],[//PAJAK]]="","",INDEX(INDIRECT("PAJAK["&amp;KENKO[#Headers]&amp;"]"),KENKO[[#This Row],[//PAJAK]]-1))</f>
        <v/>
      </c>
      <c r="K8" s="1" t="e">
        <f ca="1">(KENKO[[#This Row],[SUB TOTAL]]-KENKO[[#This Row],[DISKON]])/1.11</f>
        <v>#VALUE!</v>
      </c>
      <c r="L8" s="1" t="e">
        <f ca="1">KENKO[[#This Row],[DPP]]*11%</f>
        <v>#VALUE!</v>
      </c>
      <c r="M8" s="1" t="e">
        <f ca="1">KENKO[[#This Row],[DPP]]+KENKO[[#This Row],[PPN (11%)]]</f>
        <v>#VALUE!</v>
      </c>
      <c r="N8" s="1" t="str">
        <f ca="1">INDEX(PAJAK[ID_P],MATCH(KENKO[[#This Row],[ID]],PAJAK[ID],0))</f>
        <v/>
      </c>
    </row>
    <row r="9" spans="1:15">
      <c r="A9" s="10" t="str">
        <f ca="1">HYPERLINK("[NOTA_.xlsx]NOTA!A"&amp;MATCH(KENKO[[#This Row],[ID]],NOTA[ID],0)+2,IF(KENKO[[#This Row],[//PAJAK]]="","",MATCH(KENKO[[#This Row],[ID]],NOTA[ID],0)+2))</f>
        <v/>
      </c>
      <c r="B9" s="4" t="str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HYPERLINK("[NOTA_.xlsx]PAJAK!b"&amp;KENKO[[#This Row],[//PAJAK]],IF(KENKO[[#This Row],[//PAJAK]]="","",INDEX(INDIRECT("PAJAK["&amp;KENKO[#Headers]&amp;"]"),KENKO[[#This Row],[//PAJAK]]-1)))</f>
        <v/>
      </c>
      <c r="D9" t="str">
        <f ca="1">IF(KENKO[[#This Row],[//PAJAK]]="","",INDEX(INDIRECT("PAJAK["&amp;KENKO[#Headers]&amp;"]"),KENKO[[#This Row],[//PAJAK]]-1))</f>
        <v/>
      </c>
      <c r="E9" s="2" t="str">
        <f ca="1">IF(KENKO[[#This Row],[//PAJAK]]="","",INDEX(INDIRECT("PAJAK["&amp;KENKO[#Headers]&amp;"]"),KENKO[[#This Row],[//PAJAK]]-1))</f>
        <v/>
      </c>
      <c r="F9" s="2" t="str">
        <f ca="1">IF(KENKO[[#This Row],[//PAJAK]]="","",INDEX(INDIRECT("PAJAK["&amp;KENKO[#Headers]&amp;"]"),KENKO[[#This Row],[//PAJAK]]-1))</f>
        <v/>
      </c>
      <c r="G9" s="5" t="str">
        <f ca="1">IF(KENKO[[#This Row],[//PAJAK]]="","",INDEX(INDIRECT("PAJAK["&amp;KENKO[#Headers]&amp;"]"),KENKO[[#This Row],[//PAJAK]]-1))</f>
        <v/>
      </c>
      <c r="H9" t="str">
        <f ca="1">IF(KENKO[[#This Row],[//PAJAK]]="","",INDEX(INDIRECT("PAJAK["&amp;KENKO[#Headers]&amp;"]"),KENKO[[#This Row],[//PAJAK]]-1))</f>
        <v/>
      </c>
      <c r="I9" s="1" t="str">
        <f ca="1">IF(KENKO[[#This Row],[//PAJAK]]="","",INDEX(INDIRECT("PAJAK["&amp;KENKO[#Headers]&amp;"]"),KENKO[[#This Row],[//PAJAK]]-1))</f>
        <v/>
      </c>
      <c r="J9" s="1" t="str">
        <f ca="1">IF(KENKO[[#This Row],[//PAJAK]]="","",INDEX(INDIRECT("PAJAK["&amp;KENKO[#Headers]&amp;"]"),KENKO[[#This Row],[//PAJAK]]-1))</f>
        <v/>
      </c>
      <c r="K9" s="1" t="e">
        <f ca="1">(KENKO[[#This Row],[SUB TOTAL]]-KENKO[[#This Row],[DISKON]])/1.11</f>
        <v>#VALUE!</v>
      </c>
      <c r="L9" s="1" t="e">
        <f ca="1">KENKO[[#This Row],[DPP]]*11%</f>
        <v>#VALUE!</v>
      </c>
      <c r="M9" s="1" t="e">
        <f ca="1">KENKO[[#This Row],[DPP]]+KENKO[[#This Row],[PPN (11%)]]</f>
        <v>#VALUE!</v>
      </c>
      <c r="N9" s="1" t="str">
        <f ca="1">INDEX(PAJAK[ID_P],MATCH(KENKO[[#This Row],[ID]],PAJAK[ID],0))</f>
        <v/>
      </c>
    </row>
    <row r="10" spans="1:15">
      <c r="A10" s="8" t="str">
        <f ca="1">HYPERLINK("[NOTA_.xlsx]NOTA!A"&amp;MATCH(KENKO[[#This Row],[ID]],NOTA[ID],0)+2,IF(KENKO[[#This Row],[//PAJAK]]="","",MATCH(KENKO[[#This Row],[ID]],NOTA[ID],0)+2))</f>
        <v/>
      </c>
      <c r="B10" s="4" t="str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/>
      </c>
      <c r="C10" s="4" t="str">
        <f ca="1">HYPERLINK("[NOTA_.xlsx]PAJAK!b"&amp;KENKO[[#This Row],[//PAJAK]],IF(KENKO[[#This Row],[//PAJAK]]="","",INDEX(INDIRECT("PAJAK["&amp;KENKO[#Headers]&amp;"]"),KENKO[[#This Row],[//PAJAK]]-1)))</f>
        <v/>
      </c>
      <c r="D10" t="str">
        <f ca="1">IF(KENKO[[#This Row],[//PAJAK]]="","",INDEX(INDIRECT("PAJAK["&amp;KENKO[#Headers]&amp;"]"),KENKO[[#This Row],[//PAJAK]]-1))</f>
        <v/>
      </c>
      <c r="E10" s="2" t="str">
        <f ca="1">IF(KENKO[[#This Row],[//PAJAK]]="","",INDEX(INDIRECT("PAJAK["&amp;KENKO[#Headers]&amp;"]"),KENKO[[#This Row],[//PAJAK]]-1))</f>
        <v/>
      </c>
      <c r="F10" s="2" t="str">
        <f ca="1">IF(KENKO[[#This Row],[//PAJAK]]="","",INDEX(INDIRECT("PAJAK["&amp;KENKO[#Headers]&amp;"]"),KENKO[[#This Row],[//PAJAK]]-1))</f>
        <v/>
      </c>
      <c r="G10" s="5" t="str">
        <f ca="1">IF(KENKO[[#This Row],[//PAJAK]]="","",INDEX(INDIRECT("PAJAK["&amp;KENKO[#Headers]&amp;"]"),KENKO[[#This Row],[//PAJAK]]-1))</f>
        <v/>
      </c>
      <c r="H10" t="str">
        <f ca="1">IF(KENKO[[#This Row],[//PAJAK]]="","",INDEX(INDIRECT("PAJAK["&amp;KENKO[#Headers]&amp;"]"),KENKO[[#This Row],[//PAJAK]]-1))</f>
        <v/>
      </c>
      <c r="I10" s="1" t="str">
        <f ca="1">IF(KENKO[[#This Row],[//PAJAK]]="","",INDEX(INDIRECT("PAJAK["&amp;KENKO[#Headers]&amp;"]"),KENKO[[#This Row],[//PAJAK]]-1))</f>
        <v/>
      </c>
      <c r="J10" s="1" t="str">
        <f ca="1">IF(KENKO[[#This Row],[//PAJAK]]="","",INDEX(INDIRECT("PAJAK["&amp;KENKO[#Headers]&amp;"]"),KENKO[[#This Row],[//PAJAK]]-1))</f>
        <v/>
      </c>
      <c r="K10" s="1" t="e">
        <f ca="1">(KENKO[[#This Row],[SUB TOTAL]]-KENKO[[#This Row],[DISKON]])/1.11</f>
        <v>#VALUE!</v>
      </c>
      <c r="L10" s="1" t="e">
        <f ca="1">KENKO[[#This Row],[DPP]]*11%</f>
        <v>#VALUE!</v>
      </c>
      <c r="M10" s="1" t="e">
        <f ca="1">KENKO[[#This Row],[DPP]]+KENKO[[#This Row],[PPN (11%)]]</f>
        <v>#VALUE!</v>
      </c>
      <c r="N10" s="1" t="str">
        <f ca="1">INDEX(PAJAK[ID_P],MATCH(KENKO[[#This Row],[ID]],PAJAK[ID],0))</f>
        <v/>
      </c>
    </row>
    <row r="11" spans="1:15">
      <c r="A11" s="8" t="str">
        <f ca="1">HYPERLINK("[NOTA_.xlsx]NOTA!A"&amp;MATCH(KENKO[[#This Row],[ID]],NOTA[ID],0)+2,IF(KENKO[[#This Row],[//PAJAK]]="","",MATCH(KENKO[[#This Row],[ID]],NOTA[ID],0)+2))</f>
        <v/>
      </c>
      <c r="B11" s="4" t="str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/>
      </c>
      <c r="C11" s="4" t="str">
        <f ca="1">HYPERLINK("[NOTA_.xlsx]PAJAK!b"&amp;KENKO[[#This Row],[//PAJAK]],IF(KENKO[[#This Row],[//PAJAK]]="","",INDEX(INDIRECT("PAJAK["&amp;KENKO[#Headers]&amp;"]"),KENKO[[#This Row],[//PAJAK]]-1)))</f>
        <v/>
      </c>
      <c r="D11" t="str">
        <f ca="1">IF(KENKO[[#This Row],[//PAJAK]]="","",INDEX(INDIRECT("PAJAK["&amp;KENKO[#Headers]&amp;"]"),KENKO[[#This Row],[//PAJAK]]-1))</f>
        <v/>
      </c>
      <c r="E11" s="2" t="str">
        <f ca="1">IF(KENKO[[#This Row],[//PAJAK]]="","",INDEX(INDIRECT("PAJAK["&amp;KENKO[#Headers]&amp;"]"),KENKO[[#This Row],[//PAJAK]]-1))</f>
        <v/>
      </c>
      <c r="F11" s="2" t="str">
        <f ca="1">IF(KENKO[[#This Row],[//PAJAK]]="","",INDEX(INDIRECT("PAJAK["&amp;KENKO[#Headers]&amp;"]"),KENKO[[#This Row],[//PAJAK]]-1))</f>
        <v/>
      </c>
      <c r="G11" s="5" t="str">
        <f ca="1">IF(KENKO[[#This Row],[//PAJAK]]="","",INDEX(INDIRECT("PAJAK["&amp;KENKO[#Headers]&amp;"]"),KENKO[[#This Row],[//PAJAK]]-1))</f>
        <v/>
      </c>
      <c r="H11" t="str">
        <f ca="1">IF(KENKO[[#This Row],[//PAJAK]]="","",INDEX(INDIRECT("PAJAK["&amp;KENKO[#Headers]&amp;"]"),KENKO[[#This Row],[//PAJAK]]-1))</f>
        <v/>
      </c>
      <c r="I11" s="1" t="str">
        <f ca="1">IF(KENKO[[#This Row],[//PAJAK]]="","",INDEX(INDIRECT("PAJAK["&amp;KENKO[#Headers]&amp;"]"),KENKO[[#This Row],[//PAJAK]]-1))</f>
        <v/>
      </c>
      <c r="J11" s="1" t="str">
        <f ca="1">IF(KENKO[[#This Row],[//PAJAK]]="","",INDEX(INDIRECT("PAJAK["&amp;KENKO[#Headers]&amp;"]"),KENKO[[#This Row],[//PAJAK]]-1))</f>
        <v/>
      </c>
      <c r="K11" s="1" t="e">
        <f ca="1">(KENKO[[#This Row],[SUB TOTAL]]-KENKO[[#This Row],[DISKON]])/1.11</f>
        <v>#VALUE!</v>
      </c>
      <c r="L11" s="1" t="e">
        <f ca="1">KENKO[[#This Row],[DPP]]*11%</f>
        <v>#VALUE!</v>
      </c>
      <c r="M11" s="1" t="e">
        <f ca="1">KENKO[[#This Row],[DPP]]+KENKO[[#This Row],[PPN (11%)]]</f>
        <v>#VALUE!</v>
      </c>
      <c r="N11" s="1" t="str">
        <f ca="1">INDEX(PAJAK[ID_P],MATCH(KENKO[[#This Row],[ID]],PAJAK[ID],0))</f>
        <v/>
      </c>
    </row>
    <row r="12" spans="1:15">
      <c r="A12" s="8" t="str">
        <f ca="1">HYPERLINK("[NOTA_.xlsx]NOTA!A"&amp;MATCH(KENKO[[#This Row],[ID]],NOTA[ID],0)+2,IF(KENKO[[#This Row],[//PAJAK]]="","",MATCH(KENKO[[#This Row],[ID]],NOTA[ID],0)+2))</f>
        <v/>
      </c>
      <c r="B12" s="4" t="str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/>
      </c>
      <c r="C12" s="4" t="str">
        <f ca="1">HYPERLINK("[NOTA_.xlsx]PAJAK!b"&amp;KENKO[[#This Row],[//PAJAK]],IF(KENKO[[#This Row],[//PAJAK]]="","",INDEX(INDIRECT("PAJAK["&amp;KENKO[#Headers]&amp;"]"),KENKO[[#This Row],[//PAJAK]]-1)))</f>
        <v/>
      </c>
      <c r="D12" t="str">
        <f ca="1">IF(KENKO[[#This Row],[//PAJAK]]="","",INDEX(INDIRECT("PAJAK["&amp;KENKO[#Headers]&amp;"]"),KENKO[[#This Row],[//PAJAK]]-1))</f>
        <v/>
      </c>
      <c r="E12" s="2" t="str">
        <f ca="1">IF(KENKO[[#This Row],[//PAJAK]]="","",INDEX(INDIRECT("PAJAK["&amp;KENKO[#Headers]&amp;"]"),KENKO[[#This Row],[//PAJAK]]-1))</f>
        <v/>
      </c>
      <c r="F12" s="2" t="str">
        <f ca="1">IF(KENKO[[#This Row],[//PAJAK]]="","",INDEX(INDIRECT("PAJAK["&amp;KENKO[#Headers]&amp;"]"),KENKO[[#This Row],[//PAJAK]]-1))</f>
        <v/>
      </c>
      <c r="G12" s="5" t="str">
        <f ca="1">IF(KENKO[[#This Row],[//PAJAK]]="","",INDEX(INDIRECT("PAJAK["&amp;KENKO[#Headers]&amp;"]"),KENKO[[#This Row],[//PAJAK]]-1))</f>
        <v/>
      </c>
      <c r="H12" t="str">
        <f ca="1">IF(KENKO[[#This Row],[//PAJAK]]="","",INDEX(INDIRECT("PAJAK["&amp;KENKO[#Headers]&amp;"]"),KENKO[[#This Row],[//PAJAK]]-1))</f>
        <v/>
      </c>
      <c r="I12" s="1" t="str">
        <f ca="1">IF(KENKO[[#This Row],[//PAJAK]]="","",INDEX(INDIRECT("PAJAK["&amp;KENKO[#Headers]&amp;"]"),KENKO[[#This Row],[//PAJAK]]-1))</f>
        <v/>
      </c>
      <c r="J12" s="1" t="str">
        <f ca="1">IF(KENKO[[#This Row],[//PAJAK]]="","",INDEX(INDIRECT("PAJAK["&amp;KENKO[#Headers]&amp;"]"),KENKO[[#This Row],[//PAJAK]]-1))</f>
        <v/>
      </c>
      <c r="K12" s="1" t="e">
        <f ca="1">(KENKO[[#This Row],[SUB TOTAL]]-KENKO[[#This Row],[DISKON]])/1.11</f>
        <v>#VALUE!</v>
      </c>
      <c r="L12" s="1" t="e">
        <f ca="1">KENKO[[#This Row],[DPP]]*11%</f>
        <v>#VALUE!</v>
      </c>
      <c r="M12" s="1" t="e">
        <f ca="1">KENKO[[#This Row],[DPP]]+KENKO[[#This Row],[PPN (11%)]]</f>
        <v>#VALUE!</v>
      </c>
      <c r="N12" s="1" t="str">
        <f ca="1">INDEX(PAJAK[ID_P],MATCH(KENKO[[#This Row],[ID]],PAJAK[ID],0))</f>
        <v/>
      </c>
    </row>
    <row r="13" spans="1:15">
      <c r="A13" s="10" t="str">
        <f ca="1">HYPERLINK("[NOTA_.xlsx]NOTA!A"&amp;MATCH(KENKO[[#This Row],[ID]],NOTA[ID],0)+2,IF(KENKO[[#This Row],[//PAJAK]]="","",MATCH(KENKO[[#This Row],[ID]],NOTA[ID],0)+2))</f>
        <v/>
      </c>
      <c r="B13" s="4" t="str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HYPERLINK("[NOTA_.xlsx]PAJAK!b"&amp;KENKO[[#This Row],[//PAJAK]],IF(KENKO[[#This Row],[//PAJAK]]="","",INDEX(INDIRECT("PAJAK["&amp;KENKO[#Headers]&amp;"]"),KENKO[[#This Row],[//PAJAK]]-1)))</f>
        <v/>
      </c>
      <c r="D13" t="str">
        <f ca="1">IF(KENKO[[#This Row],[//PAJAK]]="","",INDEX(INDIRECT("PAJAK["&amp;KENKO[#Headers]&amp;"]"),KENKO[[#This Row],[//PAJAK]]-1))</f>
        <v/>
      </c>
      <c r="E13" s="2" t="str">
        <f ca="1">IF(KENKO[[#This Row],[//PAJAK]]="","",INDEX(INDIRECT("PAJAK["&amp;KENKO[#Headers]&amp;"]"),KENKO[[#This Row],[//PAJAK]]-1))</f>
        <v/>
      </c>
      <c r="F13" s="2" t="str">
        <f ca="1">IF(KENKO[[#This Row],[//PAJAK]]="","",INDEX(INDIRECT("PAJAK["&amp;KENKO[#Headers]&amp;"]"),KENKO[[#This Row],[//PAJAK]]-1))</f>
        <v/>
      </c>
      <c r="G13" s="5" t="str">
        <f ca="1">IF(KENKO[[#This Row],[//PAJAK]]="","",INDEX(INDIRECT("PAJAK["&amp;KENKO[#Headers]&amp;"]"),KENKO[[#This Row],[//PAJAK]]-1))</f>
        <v/>
      </c>
      <c r="H13" t="str">
        <f ca="1">IF(KENKO[[#This Row],[//PAJAK]]="","",INDEX(INDIRECT("PAJAK["&amp;KENKO[#Headers]&amp;"]"),KENKO[[#This Row],[//PAJAK]]-1))</f>
        <v/>
      </c>
      <c r="I13" s="1" t="str">
        <f ca="1">IF(KENKO[[#This Row],[//PAJAK]]="","",INDEX(INDIRECT("PAJAK["&amp;KENKO[#Headers]&amp;"]"),KENKO[[#This Row],[//PAJAK]]-1))</f>
        <v/>
      </c>
      <c r="J13" s="1" t="str">
        <f ca="1">IF(KENKO[[#This Row],[//PAJAK]]="","",INDEX(INDIRECT("PAJAK["&amp;KENKO[#Headers]&amp;"]"),KENKO[[#This Row],[//PAJAK]]-1))</f>
        <v/>
      </c>
      <c r="K13" s="1" t="e">
        <f ca="1">(KENKO[[#This Row],[SUB TOTAL]]-KENKO[[#This Row],[DISKON]])/1.11</f>
        <v>#VALUE!</v>
      </c>
      <c r="L13" s="1" t="e">
        <f ca="1">KENKO[[#This Row],[DPP]]*11%</f>
        <v>#VALUE!</v>
      </c>
      <c r="M13" s="1" t="e">
        <f ca="1">KENKO[[#This Row],[DPP]]+KENKO[[#This Row],[PPN (11%)]]</f>
        <v>#VALUE!</v>
      </c>
      <c r="N13" s="1" t="str">
        <f ca="1">INDEX(PAJAK[ID_P],MATCH(KENKO[[#This Row],[ID]],PAJAK[ID],0))</f>
        <v/>
      </c>
    </row>
    <row r="14" spans="1:15">
      <c r="A14" s="10" t="str">
        <f ca="1">HYPERLINK("[NOTA_.xlsx]NOTA!A"&amp;MATCH(KENKO[[#This Row],[ID]],NOTA[ID],0)+2,IF(KENKO[[#This Row],[//PAJAK]]="","",MATCH(KENKO[[#This Row],[ID]],NOTA[ID],0)+2))</f>
        <v/>
      </c>
      <c r="B14" s="4" t="str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HYPERLINK("[NOTA_.xlsx]PAJAK!b"&amp;KENKO[[#This Row],[//PAJAK]],IF(KENKO[[#This Row],[//PAJAK]]="","",INDEX(INDIRECT("PAJAK["&amp;KENKO[#Headers]&amp;"]"),KENKO[[#This Row],[//PAJAK]]-1)))</f>
        <v/>
      </c>
      <c r="D14" t="str">
        <f ca="1">IF(KENKO[[#This Row],[//PAJAK]]="","",INDEX(INDIRECT("PAJAK["&amp;KENKO[#Headers]&amp;"]"),KENKO[[#This Row],[//PAJAK]]-1))</f>
        <v/>
      </c>
      <c r="E14" s="2" t="str">
        <f ca="1">IF(KENKO[[#This Row],[//PAJAK]]="","",INDEX(INDIRECT("PAJAK["&amp;KENKO[#Headers]&amp;"]"),KENKO[[#This Row],[//PAJAK]]-1))</f>
        <v/>
      </c>
      <c r="F14" s="2" t="str">
        <f ca="1">IF(KENKO[[#This Row],[//PAJAK]]="","",INDEX(INDIRECT("PAJAK["&amp;KENKO[#Headers]&amp;"]"),KENKO[[#This Row],[//PAJAK]]-1))</f>
        <v/>
      </c>
      <c r="G14" s="5" t="str">
        <f ca="1">IF(KENKO[[#This Row],[//PAJAK]]="","",INDEX(INDIRECT("PAJAK["&amp;KENKO[#Headers]&amp;"]"),KENKO[[#This Row],[//PAJAK]]-1))</f>
        <v/>
      </c>
      <c r="H14" t="str">
        <f ca="1">IF(KENKO[[#This Row],[//PAJAK]]="","",INDEX(INDIRECT("PAJAK["&amp;KENKO[#Headers]&amp;"]"),KENKO[[#This Row],[//PAJAK]]-1))</f>
        <v/>
      </c>
      <c r="I14" s="1" t="str">
        <f ca="1">IF(KENKO[[#This Row],[//PAJAK]]="","",INDEX(INDIRECT("PAJAK["&amp;KENKO[#Headers]&amp;"]"),KENKO[[#This Row],[//PAJAK]]-1))</f>
        <v/>
      </c>
      <c r="J14" s="1" t="str">
        <f ca="1">IF(KENKO[[#This Row],[//PAJAK]]="","",INDEX(INDIRECT("PAJAK["&amp;KENKO[#Headers]&amp;"]"),KENKO[[#This Row],[//PAJAK]]-1))</f>
        <v/>
      </c>
      <c r="K14" s="1" t="e">
        <f ca="1">(KENKO[[#This Row],[SUB TOTAL]]-KENKO[[#This Row],[DISKON]])/1.11</f>
        <v>#VALUE!</v>
      </c>
      <c r="L14" s="1" t="e">
        <f ca="1">KENKO[[#This Row],[DPP]]*11%</f>
        <v>#VALUE!</v>
      </c>
      <c r="M14" s="1" t="e">
        <f ca="1">KENKO[[#This Row],[DPP]]+KENKO[[#This Row],[PPN (11%)]]</f>
        <v>#VALUE!</v>
      </c>
      <c r="N14" s="1" t="str">
        <f ca="1">INDEX(PAJAK[ID_P],MATCH(KENKO[[#This Row],[ID]],PAJAK[ID],0))</f>
        <v/>
      </c>
    </row>
    <row r="15" spans="1:15">
      <c r="A15" s="10" t="str">
        <f ca="1">HYPERLINK("[NOTA_.xlsx]NOTA!A"&amp;MATCH(KENKO[[#This Row],[ID]],NOTA[ID],0)+2,IF(KENKO[[#This Row],[//PAJAK]]="","",MATCH(KENKO[[#This Row],[ID]],NOTA[ID],0)+2))</f>
        <v/>
      </c>
      <c r="B15" s="4" t="str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HYPERLINK("[NOTA_.xlsx]PAJAK!b"&amp;KENKO[[#This Row],[//PAJAK]],IF(KENKO[[#This Row],[//PAJAK]]="","",INDEX(INDIRECT("PAJAK["&amp;KENKO[#Headers]&amp;"]"),KENKO[[#This Row],[//PAJAK]]-1)))</f>
        <v/>
      </c>
      <c r="D15" t="str">
        <f ca="1">IF(KENKO[[#This Row],[//PAJAK]]="","",INDEX(INDIRECT("PAJAK["&amp;KENKO[#Headers]&amp;"]"),KENKO[[#This Row],[//PAJAK]]-1))</f>
        <v/>
      </c>
      <c r="E15" s="2" t="str">
        <f ca="1">IF(KENKO[[#This Row],[//PAJAK]]="","",INDEX(INDIRECT("PAJAK["&amp;KENKO[#Headers]&amp;"]"),KENKO[[#This Row],[//PAJAK]]-1))</f>
        <v/>
      </c>
      <c r="F15" s="2" t="str">
        <f ca="1">IF(KENKO[[#This Row],[//PAJAK]]="","",INDEX(INDIRECT("PAJAK["&amp;KENKO[#Headers]&amp;"]"),KENKO[[#This Row],[//PAJAK]]-1))</f>
        <v/>
      </c>
      <c r="G15" s="5" t="str">
        <f ca="1">IF(KENKO[[#This Row],[//PAJAK]]="","",INDEX(INDIRECT("PAJAK["&amp;KENKO[#Headers]&amp;"]"),KENKO[[#This Row],[//PAJAK]]-1))</f>
        <v/>
      </c>
      <c r="H15" t="str">
        <f ca="1">IF(KENKO[[#This Row],[//PAJAK]]="","",INDEX(INDIRECT("PAJAK["&amp;KENKO[#Headers]&amp;"]"),KENKO[[#This Row],[//PAJAK]]-1))</f>
        <v/>
      </c>
      <c r="I15" s="1" t="str">
        <f ca="1">IF(KENKO[[#This Row],[//PAJAK]]="","",INDEX(INDIRECT("PAJAK["&amp;KENKO[#Headers]&amp;"]"),KENKO[[#This Row],[//PAJAK]]-1))</f>
        <v/>
      </c>
      <c r="J15" s="1" t="str">
        <f ca="1">IF(KENKO[[#This Row],[//PAJAK]]="","",INDEX(INDIRECT("PAJAK["&amp;KENKO[#Headers]&amp;"]"),KENKO[[#This Row],[//PAJAK]]-1))</f>
        <v/>
      </c>
      <c r="K15" s="1" t="e">
        <f ca="1">(KENKO[[#This Row],[SUB TOTAL]]-KENKO[[#This Row],[DISKON]])/1.11</f>
        <v>#VALUE!</v>
      </c>
      <c r="L15" s="1" t="e">
        <f ca="1">KENKO[[#This Row],[DPP]]*11%</f>
        <v>#VALUE!</v>
      </c>
      <c r="M15" s="1" t="e">
        <f ca="1">KENKO[[#This Row],[DPP]]+KENKO[[#This Row],[PPN (11%)]]</f>
        <v>#VALUE!</v>
      </c>
      <c r="N15" s="1" t="str">
        <f ca="1">INDEX(PAJAK[ID_P],MATCH(KENKO[[#This Row],[ID]],PAJAK[ID],0))</f>
        <v/>
      </c>
    </row>
    <row r="16" spans="1:15">
      <c r="A16" s="8" t="str">
        <f ca="1">HYPERLINK("[NOTA_.xlsx]NOTA!A"&amp;MATCH(KENKO[[#This Row],[ID]],NOTA[ID],0)+2,IF(KENKO[[#This Row],[//PAJAK]]="","",MATCH(KENKO[[#This Row],[ID]],NOTA[ID],0)+2))</f>
        <v/>
      </c>
      <c r="B16" s="4" t="str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/>
      </c>
      <c r="C16" s="4" t="str">
        <f ca="1">HYPERLINK("[NOTA_.xlsx]PAJAK!b"&amp;KENKO[[#This Row],[//PAJAK]],IF(KENKO[[#This Row],[//PAJAK]]="","",INDEX(INDIRECT("PAJAK["&amp;KENKO[#Headers]&amp;"]"),KENKO[[#This Row],[//PAJAK]]-1)))</f>
        <v/>
      </c>
      <c r="D16" t="str">
        <f ca="1">IF(KENKO[[#This Row],[//PAJAK]]="","",INDEX(INDIRECT("PAJAK["&amp;KENKO[#Headers]&amp;"]"),KENKO[[#This Row],[//PAJAK]]-1))</f>
        <v/>
      </c>
      <c r="E16" s="2" t="str">
        <f ca="1">IF(KENKO[[#This Row],[//PAJAK]]="","",INDEX(INDIRECT("PAJAK["&amp;KENKO[#Headers]&amp;"]"),KENKO[[#This Row],[//PAJAK]]-1))</f>
        <v/>
      </c>
      <c r="F16" s="2" t="str">
        <f ca="1">IF(KENKO[[#This Row],[//PAJAK]]="","",INDEX(INDIRECT("PAJAK["&amp;KENKO[#Headers]&amp;"]"),KENKO[[#This Row],[//PAJAK]]-1))</f>
        <v/>
      </c>
      <c r="G16" s="5" t="str">
        <f ca="1">IF(KENKO[[#This Row],[//PAJAK]]="","",INDEX(INDIRECT("PAJAK["&amp;KENKO[#Headers]&amp;"]"),KENKO[[#This Row],[//PAJAK]]-1))</f>
        <v/>
      </c>
      <c r="H16" t="str">
        <f ca="1">IF(KENKO[[#This Row],[//PAJAK]]="","",INDEX(INDIRECT("PAJAK["&amp;KENKO[#Headers]&amp;"]"),KENKO[[#This Row],[//PAJAK]]-1))</f>
        <v/>
      </c>
      <c r="I16" s="1" t="str">
        <f ca="1">IF(KENKO[[#This Row],[//PAJAK]]="","",INDEX(INDIRECT("PAJAK["&amp;KENKO[#Headers]&amp;"]"),KENKO[[#This Row],[//PAJAK]]-1))</f>
        <v/>
      </c>
      <c r="J16" s="1" t="str">
        <f ca="1">IF(KENKO[[#This Row],[//PAJAK]]="","",INDEX(INDIRECT("PAJAK["&amp;KENKO[#Headers]&amp;"]"),KENKO[[#This Row],[//PAJAK]]-1))</f>
        <v/>
      </c>
      <c r="K16" s="1" t="e">
        <f ca="1">(KENKO[[#This Row],[SUB TOTAL]]-KENKO[[#This Row],[DISKON]])/1.11</f>
        <v>#VALUE!</v>
      </c>
      <c r="L16" s="1" t="e">
        <f ca="1">KENKO[[#This Row],[DPP]]*11%</f>
        <v>#VALUE!</v>
      </c>
      <c r="M16" s="1" t="e">
        <f ca="1">KENKO[[#This Row],[DPP]]+KENKO[[#This Row],[PPN (11%)]]</f>
        <v>#VALUE!</v>
      </c>
      <c r="N16" s="1" t="str">
        <f ca="1">INDEX(PAJAK[ID_P],MATCH(KENKO[[#This Row],[ID]],PAJAK[ID],0))</f>
        <v/>
      </c>
    </row>
    <row r="17" spans="1:14">
      <c r="A17" s="10" t="str">
        <f ca="1">HYPERLINK("[NOTA_.xlsx]NOTA!A"&amp;MATCH(KENKO[[#This Row],[ID]],NOTA[ID],0)+2,IF(KENKO[[#This Row],[//PAJAK]]="","",MATCH(KENKO[[#This Row],[ID]],NOTA[ID],0)+2))</f>
        <v/>
      </c>
      <c r="B17" s="4" t="str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HYPERLINK("[NOTA_.xlsx]PAJAK!b"&amp;KENKO[[#This Row],[//PAJAK]],IF(KENKO[[#This Row],[//PAJAK]]="","",INDEX(INDIRECT("PAJAK["&amp;KENKO[#Headers]&amp;"]"),KENKO[[#This Row],[//PAJAK]]-1)))</f>
        <v/>
      </c>
      <c r="D17" t="str">
        <f ca="1">IF(KENKO[[#This Row],[//PAJAK]]="","",INDEX(INDIRECT("PAJAK["&amp;KENKO[#Headers]&amp;"]"),KENKO[[#This Row],[//PAJAK]]-1))</f>
        <v/>
      </c>
      <c r="E17" s="2" t="str">
        <f ca="1">IF(KENKO[[#This Row],[//PAJAK]]="","",INDEX(INDIRECT("PAJAK["&amp;KENKO[#Headers]&amp;"]"),KENKO[[#This Row],[//PAJAK]]-1))</f>
        <v/>
      </c>
      <c r="F17" s="2" t="str">
        <f ca="1">IF(KENKO[[#This Row],[//PAJAK]]="","",INDEX(INDIRECT("PAJAK["&amp;KENKO[#Headers]&amp;"]"),KENKO[[#This Row],[//PAJAK]]-1))</f>
        <v/>
      </c>
      <c r="G17" s="5" t="str">
        <f ca="1">IF(KENKO[[#This Row],[//PAJAK]]="","",INDEX(INDIRECT("PAJAK["&amp;KENKO[#Headers]&amp;"]"),KENKO[[#This Row],[//PAJAK]]-1))</f>
        <v/>
      </c>
      <c r="H17" t="str">
        <f ca="1">IF(KENKO[[#This Row],[//PAJAK]]="","",INDEX(INDIRECT("PAJAK["&amp;KENKO[#Headers]&amp;"]"),KENKO[[#This Row],[//PAJAK]]-1))</f>
        <v/>
      </c>
      <c r="I17" s="1" t="str">
        <f ca="1">IF(KENKO[[#This Row],[//PAJAK]]="","",INDEX(INDIRECT("PAJAK["&amp;KENKO[#Headers]&amp;"]"),KENKO[[#This Row],[//PAJAK]]-1))</f>
        <v/>
      </c>
      <c r="J17" s="1" t="str">
        <f ca="1">IF(KENKO[[#This Row],[//PAJAK]]="","",INDEX(INDIRECT("PAJAK["&amp;KENKO[#Headers]&amp;"]"),KENKO[[#This Row],[//PAJAK]]-1))</f>
        <v/>
      </c>
      <c r="K17" s="1" t="e">
        <f ca="1">(KENKO[[#This Row],[SUB TOTAL]]-KENKO[[#This Row],[DISKON]])/1.11</f>
        <v>#VALUE!</v>
      </c>
      <c r="L17" s="1" t="e">
        <f ca="1">KENKO[[#This Row],[DPP]]*11%</f>
        <v>#VALUE!</v>
      </c>
      <c r="M17" s="1" t="e">
        <f ca="1">KENKO[[#This Row],[DPP]]+KENKO[[#This Row],[PPN (11%)]]</f>
        <v>#VALUE!</v>
      </c>
      <c r="N17" s="1" t="str">
        <f ca="1">INDEX(PAJAK[ID_P],MATCH(KENKO[[#This Row],[ID]],PAJAK[ID],0))</f>
        <v/>
      </c>
    </row>
    <row r="18" spans="1:14">
      <c r="A18" s="8" t="str">
        <f ca="1">HYPERLINK("[NOTA_.xlsx]NOTA!A"&amp;MATCH(KENKO[[#This Row],[ID]],NOTA[ID],0)+2,IF(KENKO[[#This Row],[//PAJAK]]="","",MATCH(KENKO[[#This Row],[ID]],NOTA[ID],0)+2))</f>
        <v/>
      </c>
      <c r="B18" s="4" t="str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/>
      </c>
      <c r="C18" s="4" t="str">
        <f ca="1">HYPERLINK("[NOTA_.xlsx]PAJAK!b"&amp;KENKO[[#This Row],[//PAJAK]],IF(KENKO[[#This Row],[//PAJAK]]="","",INDEX(INDIRECT("PAJAK["&amp;KENKO[#Headers]&amp;"]"),KENKO[[#This Row],[//PAJAK]]-1)))</f>
        <v/>
      </c>
      <c r="D18" t="str">
        <f ca="1">IF(KENKO[[#This Row],[//PAJAK]]="","",INDEX(INDIRECT("PAJAK["&amp;KENKO[#Headers]&amp;"]"),KENKO[[#This Row],[//PAJAK]]-1))</f>
        <v/>
      </c>
      <c r="E18" s="2" t="str">
        <f ca="1">IF(KENKO[[#This Row],[//PAJAK]]="","",INDEX(INDIRECT("PAJAK["&amp;KENKO[#Headers]&amp;"]"),KENKO[[#This Row],[//PAJAK]]-1))</f>
        <v/>
      </c>
      <c r="F18" s="2" t="str">
        <f ca="1">IF(KENKO[[#This Row],[//PAJAK]]="","",INDEX(INDIRECT("PAJAK["&amp;KENKO[#Headers]&amp;"]"),KENKO[[#This Row],[//PAJAK]]-1))</f>
        <v/>
      </c>
      <c r="G18" s="5" t="str">
        <f ca="1">IF(KENKO[[#This Row],[//PAJAK]]="","",INDEX(INDIRECT("PAJAK["&amp;KENKO[#Headers]&amp;"]"),KENKO[[#This Row],[//PAJAK]]-1))</f>
        <v/>
      </c>
      <c r="H18" t="str">
        <f ca="1">IF(KENKO[[#This Row],[//PAJAK]]="","",INDEX(INDIRECT("PAJAK["&amp;KENKO[#Headers]&amp;"]"),KENKO[[#This Row],[//PAJAK]]-1))</f>
        <v/>
      </c>
      <c r="I18" s="1" t="str">
        <f ca="1">IF(KENKO[[#This Row],[//PAJAK]]="","",INDEX(INDIRECT("PAJAK["&amp;KENKO[#Headers]&amp;"]"),KENKO[[#This Row],[//PAJAK]]-1))</f>
        <v/>
      </c>
      <c r="J18" s="1" t="str">
        <f ca="1">IF(KENKO[[#This Row],[//PAJAK]]="","",INDEX(INDIRECT("PAJAK["&amp;KENKO[#Headers]&amp;"]"),KENKO[[#This Row],[//PAJAK]]-1))</f>
        <v/>
      </c>
      <c r="K18" s="1" t="e">
        <f ca="1">(KENKO[[#This Row],[SUB TOTAL]]-KENKO[[#This Row],[DISKON]])/1.11</f>
        <v>#VALUE!</v>
      </c>
      <c r="L18" s="1" t="e">
        <f ca="1">KENKO[[#This Row],[DPP]]*11%</f>
        <v>#VALUE!</v>
      </c>
      <c r="M18" s="1" t="e">
        <f ca="1">KENKO[[#This Row],[DPP]]+KENKO[[#This Row],[PPN (11%)]]</f>
        <v>#VALUE!</v>
      </c>
      <c r="N18" s="1" t="str">
        <f ca="1">INDEX(PAJAK[ID_P],MATCH(KENKO[[#This Row],[ID]],PAJAK[ID],0))</f>
        <v/>
      </c>
    </row>
    <row r="19" spans="1:14">
      <c r="A19" s="10" t="str">
        <f ca="1">HYPERLINK("[NOTA_.xlsx]NOTA!A"&amp;MATCH(KENKO[[#This Row],[ID]],NOTA[ID],0)+2,IF(KENKO[[#This Row],[//PAJAK]]="","",MATCH(KENKO[[#This Row],[ID]],NOTA[ID],0)+2))</f>
        <v/>
      </c>
      <c r="B19" s="4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5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>
      <c r="A20" s="8" t="str">
        <f ca="1">HYPERLINK("[NOTA_.xlsx]NOTA!A"&amp;MATCH(KENKO[[#This Row],[ID]],NOTA[ID],0)+2,IF(KENKO[[#This Row],[//PAJAK]]="","",MATCH(KENKO[[#This Row],[ID]],NOTA[ID],0)+2))</f>
        <v/>
      </c>
      <c r="B20" s="4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4" t="str">
        <f ca="1">HYPERLINK("[NOTA_.xlsx]PAJAK!b"&amp;KENKO[[#This Row],[//PAJAK]],IF(KENKO[[#This Row],[//PAJAK]]="","",INDEX(INDIRECT("PAJAK["&amp;KENKO[#Headers]&amp;"]"),KENKO[[#This Row],[//PAJAK]]-1)))</f>
        <v/>
      </c>
      <c r="D20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5" t="str">
        <f ca="1">IF(KENKO[[#This Row],[//PAJAK]]="","",INDEX(INDIRECT("PAJAK["&amp;KENKO[#Headers]&amp;"]"),KENKO[[#This Row],[//PAJAK]]-1))</f>
        <v/>
      </c>
      <c r="H20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>
      <c r="A21" s="8" t="str">
        <f ca="1">HYPERLINK("[NOTA_.xlsx]NOTA!A"&amp;MATCH(KENKO[[#This Row],[ID]],NOTA[ID],0)+2,IF(KENKO[[#This Row],[//PAJAK]]="","",MATCH(KENKO[[#This Row],[ID]],NOTA[ID],0)+2))</f>
        <v/>
      </c>
      <c r="B21" s="4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4" t="str">
        <f ca="1">HYPERLINK("[NOTA_.xlsx]PAJAK!b"&amp;KENKO[[#This Row],[//PAJAK]],IF(KENKO[[#This Row],[//PAJAK]]="","",INDEX(INDIRECT("PAJAK["&amp;KENKO[#Headers]&amp;"]"),KENKO[[#This Row],[//PAJAK]]-1)))</f>
        <v/>
      </c>
      <c r="D21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5" t="str">
        <f ca="1">IF(KENKO[[#This Row],[//PAJAK]]="","",INDEX(INDIRECT("PAJAK["&amp;KENKO[#Headers]&amp;"]"),KENKO[[#This Row],[//PAJAK]]-1))</f>
        <v/>
      </c>
      <c r="H21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>
      <c r="A22" s="8" t="str">
        <f ca="1">HYPERLINK("[NOTA_.xlsx]NOTA!A"&amp;MATCH(KENKO[[#This Row],[ID]],NOTA[ID],0)+2,IF(KENKO[[#This Row],[//PAJAK]]="","",MATCH(KENKO[[#This Row],[ID]],NOTA[ID],0)+2))</f>
        <v/>
      </c>
      <c r="B22" s="4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4" t="str">
        <f ca="1">HYPERLINK("[NOTA_.xlsx]PAJAK!b"&amp;KENKO[[#This Row],[//PAJAK]],IF(KENKO[[#This Row],[//PAJAK]]="","",INDEX(INDIRECT("PAJAK["&amp;KENKO[#Headers]&amp;"]"),KENKO[[#This Row],[//PAJAK]]-1)))</f>
        <v/>
      </c>
      <c r="D22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5" t="str">
        <f ca="1">IF(KENKO[[#This Row],[//PAJAK]]="","",INDEX(INDIRECT("PAJAK["&amp;KENKO[#Headers]&amp;"]"),KENKO[[#This Row],[//PAJAK]]-1))</f>
        <v/>
      </c>
      <c r="H22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>
      <c r="A23" s="8" t="str">
        <f ca="1">HYPERLINK("[NOTA_.xlsx]NOTA!A"&amp;MATCH(KENKO[[#This Row],[ID]],NOTA[ID],0)+2,IF(KENKO[[#This Row],[//PAJAK]]="","",MATCH(KENKO[[#This Row],[ID]],NOTA[ID],0)+2))</f>
        <v/>
      </c>
      <c r="B23" s="4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4" t="str">
        <f ca="1">HYPERLINK("[NOTA_.xlsx]PAJAK!b"&amp;KENKO[[#This Row],[//PAJAK]],IF(KENKO[[#This Row],[//PAJAK]]="","",INDEX(INDIRECT("PAJAK["&amp;KENKO[#Headers]&amp;"]"),KENKO[[#This Row],[//PAJAK]]-1)))</f>
        <v/>
      </c>
      <c r="D2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5" t="str">
        <f ca="1">IF(KENKO[[#This Row],[//PAJAK]]="","",INDEX(INDIRECT("PAJAK["&amp;KENKO[#Headers]&amp;"]"),KENKO[[#This Row],[//PAJAK]]-1))</f>
        <v/>
      </c>
      <c r="H2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>
      <c r="A24" s="8" t="str">
        <f ca="1">HYPERLINK("[NOTA_.xlsx]NOTA!A"&amp;MATCH(KENKO[[#This Row],[ID]],NOTA[ID],0)+2,IF(KENKO[[#This Row],[//PAJAK]]="","",MATCH(KENKO[[#This Row],[ID]],NOTA[ID],0)+2))</f>
        <v/>
      </c>
      <c r="B24" s="4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4" t="str">
        <f ca="1">HYPERLINK("[NOTA_.xlsx]PAJAK!b"&amp;KENKO[[#This Row],[//PAJAK]],IF(KENKO[[#This Row],[//PAJAK]]="","",INDEX(INDIRECT("PAJAK["&amp;KENKO[#Headers]&amp;"]"),KENKO[[#This Row],[//PAJAK]]-1)))</f>
        <v/>
      </c>
      <c r="D24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5" t="str">
        <f ca="1">IF(KENKO[[#This Row],[//PAJAK]]="","",INDEX(INDIRECT("PAJAK["&amp;KENKO[#Headers]&amp;"]"),KENKO[[#This Row],[//PAJAK]]-1))</f>
        <v/>
      </c>
      <c r="H24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>
      <c r="A25" s="8" t="str">
        <f ca="1">HYPERLINK("[NOTA_.xlsx]NOTA!A"&amp;MATCH(KENKO[[#This Row],[ID]],NOTA[ID],0)+2,IF(KENKO[[#This Row],[//PAJAK]]="","",MATCH(KENKO[[#This Row],[ID]],NOTA[ID],0)+2))</f>
        <v/>
      </c>
      <c r="B25" s="4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4" t="str">
        <f ca="1">HYPERLINK("[NOTA_.xlsx]PAJAK!b"&amp;KENKO[[#This Row],[//PAJAK]],IF(KENKO[[#This Row],[//PAJAK]]="","",INDEX(INDIRECT("PAJAK["&amp;KENKO[#Headers]&amp;"]"),KENKO[[#This Row],[//PAJAK]]-1)))</f>
        <v/>
      </c>
      <c r="D25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5" t="str">
        <f ca="1">IF(KENKO[[#This Row],[//PAJAK]]="","",INDEX(INDIRECT("PAJAK["&amp;KENKO[#Headers]&amp;"]"),KENKO[[#This Row],[//PAJAK]]-1))</f>
        <v/>
      </c>
      <c r="H25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>
      <c r="A26" s="8" t="str">
        <f ca="1">HYPERLINK("[NOTA_.xlsx]NOTA!A"&amp;MATCH(KENKO[[#This Row],[ID]],NOTA[ID],0)+2,IF(KENKO[[#This Row],[//PAJAK]]="","",MATCH(KENKO[[#This Row],[ID]],NOTA[ID],0)+2))</f>
        <v/>
      </c>
      <c r="B26" s="4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4" t="str">
        <f ca="1">HYPERLINK("[NOTA_.xlsx]PAJAK!b"&amp;KENKO[[#This Row],[//PAJAK]],IF(KENKO[[#This Row],[//PAJAK]]="","",INDEX(INDIRECT("PAJAK["&amp;KENKO[#Headers]&amp;"]"),KENKO[[#This Row],[//PAJAK]]-1)))</f>
        <v/>
      </c>
      <c r="D26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5" t="str">
        <f ca="1">IF(KENKO[[#This Row],[//PAJAK]]="","",INDEX(INDIRECT("PAJAK["&amp;KENKO[#Headers]&amp;"]"),KENKO[[#This Row],[//PAJAK]]-1))</f>
        <v/>
      </c>
      <c r="H26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>
      <c r="A27" s="8" t="str">
        <f ca="1">HYPERLINK("[NOTA_.xlsx]NOTA!A"&amp;MATCH(KENKO[[#This Row],[ID]],NOTA[ID],0)+2,IF(KENKO[[#This Row],[//PAJAK]]="","",MATCH(KENKO[[#This Row],[ID]],NOTA[ID],0)+2))</f>
        <v/>
      </c>
      <c r="B27" s="4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4" t="str">
        <f ca="1">HYPERLINK("[NOTA_.xlsx]PAJAK!b"&amp;KENKO[[#This Row],[//PAJAK]],IF(KENKO[[#This Row],[//PAJAK]]="","",INDEX(INDIRECT("PAJAK["&amp;KENKO[#Headers]&amp;"]"),KENKO[[#This Row],[//PAJAK]]-1)))</f>
        <v/>
      </c>
      <c r="D27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5" t="str">
        <f ca="1">IF(KENKO[[#This Row],[//PAJAK]]="","",INDEX(INDIRECT("PAJAK["&amp;KENKO[#Headers]&amp;"]"),KENKO[[#This Row],[//PAJAK]]-1))</f>
        <v/>
      </c>
      <c r="H27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>
      <c r="A28" s="8" t="str">
        <f ca="1">HYPERLINK("[NOTA_.xlsx]NOTA!A"&amp;MATCH(KENKO[[#This Row],[ID]],NOTA[ID],0)+2,IF(KENKO[[#This Row],[//PAJAK]]="","",MATCH(KENKO[[#This Row],[ID]],NOTA[ID],0)+2))</f>
        <v/>
      </c>
      <c r="B28" s="4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4" t="str">
        <f ca="1">HYPERLINK("[NOTA_.xlsx]PAJAK!b"&amp;KENKO[[#This Row],[//PAJAK]],IF(KENKO[[#This Row],[//PAJAK]]="","",INDEX(INDIRECT("PAJAK["&amp;KENKO[#Headers]&amp;"]"),KENKO[[#This Row],[//PAJAK]]-1)))</f>
        <v/>
      </c>
      <c r="D28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5" t="str">
        <f ca="1">IF(KENKO[[#This Row],[//PAJAK]]="","",INDEX(INDIRECT("PAJAK["&amp;KENKO[#Headers]&amp;"]"),KENKO[[#This Row],[//PAJAK]]-1))</f>
        <v/>
      </c>
      <c r="H28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>
      <c r="A29" s="8" t="str">
        <f ca="1">HYPERLINK("[NOTA_.xlsx]NOTA!A"&amp;MATCH(KENKO[[#This Row],[ID]],NOTA[ID],0)+2,IF(KENKO[[#This Row],[//PAJAK]]="","",MATCH(KENKO[[#This Row],[ID]],NOTA[ID],0)+2))</f>
        <v/>
      </c>
      <c r="B29" s="4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4" t="str">
        <f ca="1">HYPERLINK("[NOTA_.xlsx]PAJAK!b"&amp;KENKO[[#This Row],[//PAJAK]],IF(KENKO[[#This Row],[//PAJAK]]="","",INDEX(INDIRECT("PAJAK["&amp;KENKO[#Headers]&amp;"]"),KENKO[[#This Row],[//PAJAK]]-1)))</f>
        <v/>
      </c>
      <c r="D29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5" t="str">
        <f ca="1">IF(KENKO[[#This Row],[//PAJAK]]="","",INDEX(INDIRECT("PAJAK["&amp;KENKO[#Headers]&amp;"]"),KENKO[[#This Row],[//PAJAK]]-1))</f>
        <v/>
      </c>
      <c r="H29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>
      <c r="A30" s="8" t="str">
        <f ca="1">HYPERLINK("[NOTA_.xlsx]NOTA!A"&amp;MATCH(KENKO[[#This Row],[ID]],NOTA[ID],0)+2,IF(KENKO[[#This Row],[//PAJAK]]="","",MATCH(KENKO[[#This Row],[ID]],NOTA[ID],0)+2))</f>
        <v/>
      </c>
      <c r="B30" s="4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4" t="str">
        <f ca="1">HYPERLINK("[NOTA_.xlsx]PAJAK!b"&amp;KENKO[[#This Row],[//PAJAK]],IF(KENKO[[#This Row],[//PAJAK]]="","",INDEX(INDIRECT("PAJAK["&amp;KENKO[#Headers]&amp;"]"),KENKO[[#This Row],[//PAJAK]]-1)))</f>
        <v/>
      </c>
      <c r="D30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5" t="str">
        <f ca="1">IF(KENKO[[#This Row],[//PAJAK]]="","",INDEX(INDIRECT("PAJAK["&amp;KENKO[#Headers]&amp;"]"),KENKO[[#This Row],[//PAJAK]]-1))</f>
        <v/>
      </c>
      <c r="H30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>
      <c r="A31" s="8" t="str">
        <f ca="1">HYPERLINK("[NOTA_.xlsx]NOTA!A"&amp;MATCH(KENKO[[#This Row],[ID]],NOTA[ID],0)+2,IF(KENKO[[#This Row],[//PAJAK]]="","",MATCH(KENKO[[#This Row],[ID]],NOTA[ID],0)+2))</f>
        <v/>
      </c>
      <c r="B31" s="4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4" t="str">
        <f ca="1">HYPERLINK("[NOTA_.xlsx]PAJAK!b"&amp;KENKO[[#This Row],[//PAJAK]],IF(KENKO[[#This Row],[//PAJAK]]="","",INDEX(INDIRECT("PAJAK["&amp;KENKO[#Headers]&amp;"]"),KENKO[[#This Row],[//PAJAK]]-1)))</f>
        <v/>
      </c>
      <c r="D31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5" t="str">
        <f ca="1">IF(KENKO[[#This Row],[//PAJAK]]="","",INDEX(INDIRECT("PAJAK["&amp;KENKO[#Headers]&amp;"]"),KENKO[[#This Row],[//PAJAK]]-1))</f>
        <v/>
      </c>
      <c r="H31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>
      <c r="A32" s="8" t="str">
        <f ca="1">HYPERLINK("[NOTA_.xlsx]NOTA!A"&amp;MATCH(KENKO[[#This Row],[ID]],NOTA[ID],0)+2,IF(KENKO[[#This Row],[//PAJAK]]="","",MATCH(KENKO[[#This Row],[ID]],NOTA[ID],0)+2))</f>
        <v/>
      </c>
      <c r="B32" s="4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4" t="str">
        <f ca="1">HYPERLINK("[NOTA_.xlsx]PAJAK!b"&amp;KENKO[[#This Row],[//PAJAK]],IF(KENKO[[#This Row],[//PAJAK]]="","",INDEX(INDIRECT("PAJAK["&amp;KENKO[#Headers]&amp;"]"),KENKO[[#This Row],[//PAJAK]]-1)))</f>
        <v/>
      </c>
      <c r="D32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5" t="str">
        <f ca="1">IF(KENKO[[#This Row],[//PAJAK]]="","",INDEX(INDIRECT("PAJAK["&amp;KENKO[#Headers]&amp;"]"),KENKO[[#This Row],[//PAJAK]]-1))</f>
        <v/>
      </c>
      <c r="H32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>
      <c r="A33" s="8" t="str">
        <f ca="1">HYPERLINK("[NOTA_.xlsx]NOTA!A"&amp;MATCH(KENKO[[#This Row],[ID]],NOTA[ID],0)+2,IF(KENKO[[#This Row],[//PAJAK]]="","",MATCH(KENKO[[#This Row],[ID]],NOTA[ID],0)+2))</f>
        <v/>
      </c>
      <c r="B33" s="4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4" t="str">
        <f ca="1">HYPERLINK("[NOTA_.xlsx]PAJAK!b"&amp;KENKO[[#This Row],[//PAJAK]],IF(KENKO[[#This Row],[//PAJAK]]="","",INDEX(INDIRECT("PAJAK["&amp;KENKO[#Headers]&amp;"]"),KENKO[[#This Row],[//PAJAK]]-1)))</f>
        <v/>
      </c>
      <c r="D3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5" t="str">
        <f ca="1">IF(KENKO[[#This Row],[//PAJAK]]="","",INDEX(INDIRECT("PAJAK["&amp;KENKO[#Headers]&amp;"]"),KENKO[[#This Row],[//PAJAK]]-1))</f>
        <v/>
      </c>
      <c r="H3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>
      <c r="A34" s="8" t="str">
        <f ca="1">HYPERLINK("[NOTA_.xlsx]NOTA!A"&amp;MATCH(KENKO[[#This Row],[ID]],NOTA[ID],0)+2,IF(KENKO[[#This Row],[//PAJAK]]="","",MATCH(KENKO[[#This Row],[ID]],NOTA[ID],0)+2))</f>
        <v/>
      </c>
      <c r="B34" s="4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4" t="str">
        <f ca="1">HYPERLINK("[NOTA_.xlsx]PAJAK!b"&amp;KENKO[[#This Row],[//PAJAK]],IF(KENKO[[#This Row],[//PAJAK]]="","",INDEX(INDIRECT("PAJAK["&amp;KENKO[#Headers]&amp;"]"),KENKO[[#This Row],[//PAJAK]]-1)))</f>
        <v/>
      </c>
      <c r="D34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5" t="str">
        <f ca="1">IF(KENKO[[#This Row],[//PAJAK]]="","",INDEX(INDIRECT("PAJAK["&amp;KENKO[#Headers]&amp;"]"),KENKO[[#This Row],[//PAJAK]]-1))</f>
        <v/>
      </c>
      <c r="H34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>
      <c r="A35" s="8" t="str">
        <f ca="1">HYPERLINK("[NOTA_.xlsx]NOTA!A"&amp;MATCH(KENKO[[#This Row],[ID]],NOTA[ID],0)+2,IF(KENKO[[#This Row],[//PAJAK]]="","",MATCH(KENKO[[#This Row],[ID]],NOTA[ID],0)+2))</f>
        <v/>
      </c>
      <c r="B35" s="4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4" t="str">
        <f ca="1">HYPERLINK("[NOTA_.xlsx]PAJAK!b"&amp;KENKO[[#This Row],[//PAJAK]],IF(KENKO[[#This Row],[//PAJAK]]="","",INDEX(INDIRECT("PAJAK["&amp;KENKO[#Headers]&amp;"]"),KENKO[[#This Row],[//PAJAK]]-1)))</f>
        <v/>
      </c>
      <c r="D35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5" t="str">
        <f ca="1">IF(KENKO[[#This Row],[//PAJAK]]="","",INDEX(INDIRECT("PAJAK["&amp;KENKO[#Headers]&amp;"]"),KENKO[[#This Row],[//PAJAK]]-1))</f>
        <v/>
      </c>
      <c r="H35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>
      <c r="A36" s="8" t="str">
        <f ca="1">HYPERLINK("[NOTA_.xlsx]NOTA!A"&amp;MATCH(KENKO[[#This Row],[ID]],NOTA[ID],0)+2,IF(KENKO[[#This Row],[//PAJAK]]="","",MATCH(KENKO[[#This Row],[ID]],NOTA[ID],0)+2))</f>
        <v/>
      </c>
      <c r="B36" s="4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4" t="str">
        <f ca="1">HYPERLINK("[NOTA_.xlsx]PAJAK!b"&amp;KENKO[[#This Row],[//PAJAK]],IF(KENKO[[#This Row],[//PAJAK]]="","",INDEX(INDIRECT("PAJAK["&amp;KENKO[#Headers]&amp;"]"),KENKO[[#This Row],[//PAJAK]]-1)))</f>
        <v/>
      </c>
      <c r="D36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5" t="str">
        <f ca="1">IF(KENKO[[#This Row],[//PAJAK]]="","",INDEX(INDIRECT("PAJAK["&amp;KENKO[#Headers]&amp;"]"),KENKO[[#This Row],[//PAJAK]]-1))</f>
        <v/>
      </c>
      <c r="H36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>
      <c r="A37" s="8" t="str">
        <f ca="1">HYPERLINK("[NOTA_.xlsx]NOTA!A"&amp;MATCH(KENKO[[#This Row],[ID]],NOTA[ID],0)+2,IF(KENKO[[#This Row],[//PAJAK]]="","",MATCH(KENKO[[#This Row],[ID]],NOTA[ID],0)+2))</f>
        <v/>
      </c>
      <c r="B37" s="4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4" t="str">
        <f ca="1">HYPERLINK("[NOTA_.xlsx]PAJAK!b"&amp;KENKO[[#This Row],[//PAJAK]],IF(KENKO[[#This Row],[//PAJAK]]="","",INDEX(INDIRECT("PAJAK["&amp;KENKO[#Headers]&amp;"]"),KENKO[[#This Row],[//PAJAK]]-1)))</f>
        <v/>
      </c>
      <c r="D37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5" t="str">
        <f ca="1">IF(KENKO[[#This Row],[//PAJAK]]="","",INDEX(INDIRECT("PAJAK["&amp;KENKO[#Headers]&amp;"]"),KENKO[[#This Row],[//PAJAK]]-1))</f>
        <v/>
      </c>
      <c r="H37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>
      <c r="A38" s="10" t="str">
        <f ca="1">HYPERLINK("[NOTA_.xlsx]NOTA!A"&amp;MATCH(KENKO[[#This Row],[ID]],NOTA[ID],0)+2,IF(KENKO[[#This Row],[//PAJAK]]="","",MATCH(KENKO[[#This Row],[ID]],NOTA[ID],0)+2))</f>
        <v/>
      </c>
      <c r="B38" s="4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5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>
      <c r="A39" s="10" t="str">
        <f ca="1">HYPERLINK("[NOTA_.xlsx]NOTA!A"&amp;MATCH(KENKO[[#This Row],[ID]],NOTA[ID],0)+2,IF(KENKO[[#This Row],[//PAJAK]]="","",MATCH(KENKO[[#This Row],[ID]],NOTA[ID],0)+2))</f>
        <v/>
      </c>
      <c r="B39" s="4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5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>
      <c r="A40" s="10" t="str">
        <f ca="1">HYPERLINK("[NOTA_.xlsx]NOTA!A"&amp;MATCH(KENKO[[#This Row],[ID]],NOTA[ID],0)+2,IF(KENKO[[#This Row],[//PAJAK]]="","",MATCH(KENKO[[#This Row],[ID]],NOTA[ID],0)+2))</f>
        <v/>
      </c>
      <c r="B40" s="4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5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>
      <c r="A41" s="10" t="str">
        <f ca="1">HYPERLINK("[NOTA_.xlsx]NOTA!A"&amp;MATCH(KENKO[[#This Row],[ID]],NOTA[ID],0)+2,IF(KENKO[[#This Row],[//PAJAK]]="","",MATCH(KENKO[[#This Row],[ID]],NOTA[ID],0)+2))</f>
        <v/>
      </c>
      <c r="B41" s="4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5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>
      <c r="A42" s="8" t="str">
        <f ca="1">HYPERLINK("[NOTA_.xlsx]NOTA!A"&amp;MATCH(KENKO[[#This Row],[ID]],NOTA[ID],0)+2,IF(KENKO[[#This Row],[//PAJAK]]="","",MATCH(KENKO[[#This Row],[ID]],NOTA[ID],0)+2))</f>
        <v/>
      </c>
      <c r="B42" s="4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4" t="str">
        <f ca="1">HYPERLINK("[NOTA_.xlsx]PAJAK!b"&amp;KENKO[[#This Row],[//PAJAK]],IF(KENKO[[#This Row],[//PAJAK]]="","",INDEX(INDIRECT("PAJAK["&amp;KENKO[#Headers]&amp;"]"),KENKO[[#This Row],[//PAJAK]]-1)))</f>
        <v/>
      </c>
      <c r="D42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5" t="str">
        <f ca="1">IF(KENKO[[#This Row],[//PAJAK]]="","",INDEX(INDIRECT("PAJAK["&amp;KENKO[#Headers]&amp;"]"),KENKO[[#This Row],[//PAJAK]]-1))</f>
        <v/>
      </c>
      <c r="H42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>
      <c r="A43" s="8" t="str">
        <f ca="1">HYPERLINK("[NOTA_.xlsx]NOTA!A"&amp;MATCH(KENKO[[#This Row],[ID]],NOTA[ID],0)+2,IF(KENKO[[#This Row],[//PAJAK]]="","",MATCH(KENKO[[#This Row],[ID]],NOTA[ID],0)+2))</f>
        <v/>
      </c>
      <c r="B43" s="4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4" t="str">
        <f ca="1">HYPERLINK("[NOTA_.xlsx]PAJAK!b"&amp;KENKO[[#This Row],[//PAJAK]],IF(KENKO[[#This Row],[//PAJAK]]="","",INDEX(INDIRECT("PAJAK["&amp;KENKO[#Headers]&amp;"]"),KENKO[[#This Row],[//PAJAK]]-1)))</f>
        <v/>
      </c>
      <c r="D4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5" t="str">
        <f ca="1">IF(KENKO[[#This Row],[//PAJAK]]="","",INDEX(INDIRECT("PAJAK["&amp;KENKO[#Headers]&amp;"]"),KENKO[[#This Row],[//PAJAK]]-1))</f>
        <v/>
      </c>
      <c r="H4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>
      <c r="A44" s="8" t="str">
        <f ca="1">HYPERLINK("[NOTA_.xlsx]NOTA!A"&amp;MATCH(KENKO[[#This Row],[ID]],NOTA[ID],0)+2,IF(KENKO[[#This Row],[//PAJAK]]="","",MATCH(KENKO[[#This Row],[ID]],NOTA[ID],0)+2))</f>
        <v/>
      </c>
      <c r="B44" s="4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4" t="str">
        <f ca="1">HYPERLINK("[NOTA_.xlsx]PAJAK!b"&amp;KENKO[[#This Row],[//PAJAK]],IF(KENKO[[#This Row],[//PAJAK]]="","",INDEX(INDIRECT("PAJAK["&amp;KENKO[#Headers]&amp;"]"),KENKO[[#This Row],[//PAJAK]]-1)))</f>
        <v/>
      </c>
      <c r="D44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5" t="str">
        <f ca="1">IF(KENKO[[#This Row],[//PAJAK]]="","",INDEX(INDIRECT("PAJAK["&amp;KENKO[#Headers]&amp;"]"),KENKO[[#This Row],[//PAJAK]]-1))</f>
        <v/>
      </c>
      <c r="H44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>
      <c r="A45" s="8" t="str">
        <f ca="1">HYPERLINK("[NOTA_.xlsx]NOTA!A"&amp;MATCH(KENKO[[#This Row],[ID]],NOTA[ID],0)+2,IF(KENKO[[#This Row],[//PAJAK]]="","",MATCH(KENKO[[#This Row],[ID]],NOTA[ID],0)+2))</f>
        <v/>
      </c>
      <c r="B45" s="4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4" t="str">
        <f ca="1">HYPERLINK("[NOTA_.xlsx]PAJAK!b"&amp;KENKO[[#This Row],[//PAJAK]],IF(KENKO[[#This Row],[//PAJAK]]="","",INDEX(INDIRECT("PAJAK["&amp;KENKO[#Headers]&amp;"]"),KENKO[[#This Row],[//PAJAK]]-1)))</f>
        <v/>
      </c>
      <c r="D45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5" t="str">
        <f ca="1">IF(KENKO[[#This Row],[//PAJAK]]="","",INDEX(INDIRECT("PAJAK["&amp;KENKO[#Headers]&amp;"]"),KENKO[[#This Row],[//PAJAK]]-1))</f>
        <v/>
      </c>
      <c r="H45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>
      <c r="A46" s="8" t="str">
        <f ca="1">HYPERLINK("[NOTA_.xlsx]NOTA!A"&amp;MATCH(KENKO[[#This Row],[ID]],NOTA[ID],0)+2,IF(KENKO[[#This Row],[//PAJAK]]="","",MATCH(KENKO[[#This Row],[ID]],NOTA[ID],0)+2))</f>
        <v/>
      </c>
      <c r="B46" s="4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4" t="str">
        <f ca="1">HYPERLINK("[NOTA_.xlsx]PAJAK!b"&amp;KENKO[[#This Row],[//PAJAK]],IF(KENKO[[#This Row],[//PAJAK]]="","",INDEX(INDIRECT("PAJAK["&amp;KENKO[#Headers]&amp;"]"),KENKO[[#This Row],[//PAJAK]]-1)))</f>
        <v/>
      </c>
      <c r="D46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5" t="str">
        <f ca="1">IF(KENKO[[#This Row],[//PAJAK]]="","",INDEX(INDIRECT("PAJAK["&amp;KENKO[#Headers]&amp;"]"),KENKO[[#This Row],[//PAJAK]]-1))</f>
        <v/>
      </c>
      <c r="H46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>
      <c r="A47" s="8" t="str">
        <f ca="1">HYPERLINK("[NOTA_.xlsx]NOTA!A"&amp;MATCH(KENKO[[#This Row],[ID]],NOTA[ID],0)+2,IF(KENKO[[#This Row],[//PAJAK]]="","",MATCH(KENKO[[#This Row],[ID]],NOTA[ID],0)+2))</f>
        <v/>
      </c>
      <c r="B47" s="4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4" t="str">
        <f ca="1">HYPERLINK("[NOTA_.xlsx]PAJAK!b"&amp;KENKO[[#This Row],[//PAJAK]],IF(KENKO[[#This Row],[//PAJAK]]="","",INDEX(INDIRECT("PAJAK["&amp;KENKO[#Headers]&amp;"]"),KENKO[[#This Row],[//PAJAK]]-1)))</f>
        <v/>
      </c>
      <c r="D47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5" t="str">
        <f ca="1">IF(KENKO[[#This Row],[//PAJAK]]="","",INDEX(INDIRECT("PAJAK["&amp;KENKO[#Headers]&amp;"]"),KENKO[[#This Row],[//PAJAK]]-1))</f>
        <v/>
      </c>
      <c r="H47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>
      <c r="A48" s="8" t="str">
        <f ca="1">HYPERLINK("[NOTA_.xlsx]NOTA!A"&amp;MATCH(KENKO[[#This Row],[ID]],NOTA[ID],0)+2,IF(KENKO[[#This Row],[//PAJAK]]="","",MATCH(KENKO[[#This Row],[ID]],NOTA[ID],0)+2))</f>
        <v/>
      </c>
      <c r="B48" s="4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4" t="str">
        <f ca="1">HYPERLINK("[NOTA_.xlsx]PAJAK!b"&amp;KENKO[[#This Row],[//PAJAK]],IF(KENKO[[#This Row],[//PAJAK]]="","",INDEX(INDIRECT("PAJAK["&amp;KENKO[#Headers]&amp;"]"),KENKO[[#This Row],[//PAJAK]]-1)))</f>
        <v/>
      </c>
      <c r="D48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5" t="str">
        <f ca="1">IF(KENKO[[#This Row],[//PAJAK]]="","",INDEX(INDIRECT("PAJAK["&amp;KENKO[#Headers]&amp;"]"),KENKO[[#This Row],[//PAJAK]]-1))</f>
        <v/>
      </c>
      <c r="H48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>
      <c r="A49" s="8" t="str">
        <f ca="1">HYPERLINK("[NOTA_.xlsx]NOTA!A"&amp;MATCH(KENKO[[#This Row],[ID]],NOTA[ID],0)+2,IF(KENKO[[#This Row],[//PAJAK]]="","",MATCH(KENKO[[#This Row],[ID]],NOTA[ID],0)+2))</f>
        <v/>
      </c>
      <c r="B49" s="4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4" t="str">
        <f ca="1">HYPERLINK("[NOTA_.xlsx]PAJAK!b"&amp;KENKO[[#This Row],[//PAJAK]],IF(KENKO[[#This Row],[//PAJAK]]="","",INDEX(INDIRECT("PAJAK["&amp;KENKO[#Headers]&amp;"]"),KENKO[[#This Row],[//PAJAK]]-1)))</f>
        <v/>
      </c>
      <c r="D49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5" t="str">
        <f ca="1">IF(KENKO[[#This Row],[//PAJAK]]="","",INDEX(INDIRECT("PAJAK["&amp;KENKO[#Headers]&amp;"]"),KENKO[[#This Row],[//PAJAK]]-1))</f>
        <v/>
      </c>
      <c r="H49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>
      <c r="A50" s="8" t="str">
        <f ca="1">HYPERLINK("[NOTA_.xlsx]NOTA!A"&amp;MATCH(KENKO[[#This Row],[ID]],NOTA[ID],0)+2,IF(KENKO[[#This Row],[//PAJAK]]="","",MATCH(KENKO[[#This Row],[ID]],NOTA[ID],0)+2))</f>
        <v/>
      </c>
      <c r="B50" s="4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4" t="str">
        <f ca="1">HYPERLINK("[NOTA_.xlsx]PAJAK!b"&amp;KENKO[[#This Row],[//PAJAK]],IF(KENKO[[#This Row],[//PAJAK]]="","",INDEX(INDIRECT("PAJAK["&amp;KENKO[#Headers]&amp;"]"),KENKO[[#This Row],[//PAJAK]]-1)))</f>
        <v/>
      </c>
      <c r="D50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5" t="str">
        <f ca="1">IF(KENKO[[#This Row],[//PAJAK]]="","",INDEX(INDIRECT("PAJAK["&amp;KENKO[#Headers]&amp;"]"),KENKO[[#This Row],[//PAJAK]]-1))</f>
        <v/>
      </c>
      <c r="H50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>
      <c r="A51" s="8" t="str">
        <f ca="1">HYPERLINK("[NOTA_.xlsx]NOTA!A"&amp;MATCH(KENKO[[#This Row],[ID]],NOTA[ID],0)+2,IF(KENKO[[#This Row],[//PAJAK]]="","",MATCH(KENKO[[#This Row],[ID]],NOTA[ID],0)+2))</f>
        <v/>
      </c>
      <c r="B51" s="4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4" t="str">
        <f ca="1">HYPERLINK("[NOTA_.xlsx]PAJAK!b"&amp;KENKO[[#This Row],[//PAJAK]],IF(KENKO[[#This Row],[//PAJAK]]="","",INDEX(INDIRECT("PAJAK["&amp;KENKO[#Headers]&amp;"]"),KENKO[[#This Row],[//PAJAK]]-1)))</f>
        <v/>
      </c>
      <c r="D51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5" t="str">
        <f ca="1">IF(KENKO[[#This Row],[//PAJAK]]="","",INDEX(INDIRECT("PAJAK["&amp;KENKO[#Headers]&amp;"]"),KENKO[[#This Row],[//PAJAK]]-1))</f>
        <v/>
      </c>
      <c r="H51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>
      <c r="A52" s="8" t="str">
        <f ca="1">HYPERLINK("[NOTA_.xlsx]NOTA!A"&amp;MATCH(KENKO[[#This Row],[ID]],NOTA[ID],0)+2,IF(KENKO[[#This Row],[//PAJAK]]="","",MATCH(KENKO[[#This Row],[ID]],NOTA[ID],0)+2))</f>
        <v/>
      </c>
      <c r="B52" s="4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4" t="str">
        <f ca="1">HYPERLINK("[NOTA_.xlsx]PAJAK!b"&amp;KENKO[[#This Row],[//PAJAK]],IF(KENKO[[#This Row],[//PAJAK]]="","",INDEX(INDIRECT("PAJAK["&amp;KENKO[#Headers]&amp;"]"),KENKO[[#This Row],[//PAJAK]]-1)))</f>
        <v/>
      </c>
      <c r="D52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5" t="str">
        <f ca="1">IF(KENKO[[#This Row],[//PAJAK]]="","",INDEX(INDIRECT("PAJAK["&amp;KENKO[#Headers]&amp;"]"),KENKO[[#This Row],[//PAJAK]]-1))</f>
        <v/>
      </c>
      <c r="H52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M33"/>
  <sheetViews>
    <sheetView zoomScaleNormal="100" workbookViewId="0">
      <selection activeCell="B3" sqref="B3"/>
    </sheetView>
  </sheetViews>
  <sheetFormatPr defaultRowHeight="1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KALINDO SUKSES</v>
      </c>
      <c r="E1">
        <f ca="1">INDEX(CONV[JML],MATCH(D1,CONV[2],0))</f>
        <v>0</v>
      </c>
      <c r="F1" t="str">
        <f ca="1">MID(G1,FIND("]",G1)+1,LEN(G1)-FIND("]",G1))</f>
        <v>KALINDO</v>
      </c>
      <c r="G1" s="3" t="str">
        <f ca="1">CELL("filename",G1)</f>
        <v>D:\kerja\BANK EXP\BARU\2024\06 JUNI\[NOTA 06 JUNI 2024.xlsx]KALINDO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HYPERLINK("[NOTA_.xlsx]NOTA!A"&amp;MATCH(KALINDO[[#This Row],[ID]],NOTA[ID],0)+2,IF(KALINDO[[#This Row],[//PAJAK]]="","",MATCH(KALINDO[[#This Row],[ID]],NOTA[ID],0)+2))</f>
        <v/>
      </c>
      <c r="B3" s="4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HYPERLINK("[NOTA_.xlsx]PAJAK!b"&amp;KALINDO[[#This Row],[//PAJAK]],IF(KALINDO[[#This Row],[//PAJAK]]="","",INDEX(INDIRECT("PAJAK["&amp;KALINDO[#Headers]&amp;"]"),KALINDO[[#This Row],[//PAJAK]]-1)))</f>
        <v/>
      </c>
      <c r="D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4" t="str">
        <f ca="1">IF(KALINDO[[#This Row],[//PAJAK]]="","",INDEX(INDIRECT("PAJAK["&amp;KALINDO[#Headers]&amp;"]"),KALINDO[[#This Row],[//PAJAK]]-1))</f>
        <v/>
      </c>
      <c r="H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>
      <c r="A4" s="10" t="str">
        <f ca="1">HYPERLINK("[NOTA_.xlsx]NOTA!A"&amp;MATCH(KALINDO[[#This Row],[ID]],NOTA[ID],0)+2,IF(KALINDO[[#This Row],[//PAJAK]]="","",MATCH(KALINDO[[#This Row],[ID]],NOTA[ID],0)+2))</f>
        <v/>
      </c>
      <c r="B4" s="4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HYPERLINK("[NOTA_.xlsx]PAJAK!b"&amp;KALINDO[[#This Row],[//PAJAK]],IF(KALINDO[[#This Row],[//PAJAK]]="","",INDEX(INDIRECT("PAJAK["&amp;KALINDO[#Headers]&amp;"]"),KALINDO[[#This Row],[//PAJAK]]-1)))</f>
        <v/>
      </c>
      <c r="D4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4" t="str">
        <f ca="1">IF(KALINDO[[#This Row],[//PAJAK]]="","",INDEX(INDIRECT("PAJAK["&amp;KALINDO[#Headers]&amp;"]"),KALINDO[[#This Row],[//PAJAK]]-1))</f>
        <v/>
      </c>
      <c r="H4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>
      <c r="A5" s="10" t="str">
        <f ca="1">HYPERLINK("[NOTA_.xlsx]NOTA!A"&amp;MATCH(KALINDO[[#This Row],[ID]],NOTA[ID],0)+2,IF(KALINDO[[#This Row],[//PAJAK]]="","",MATCH(KALINDO[[#This Row],[ID]],NOTA[ID],0)+2))</f>
        <v/>
      </c>
      <c r="B5" s="4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HYPERLINK("[NOTA_.xlsx]PAJAK!b"&amp;KALINDO[[#This Row],[//PAJAK]],IF(KALINDO[[#This Row],[//PAJAK]]="","",INDEX(INDIRECT("PAJAK["&amp;KALINDO[#Headers]&amp;"]"),KALINDO[[#This Row],[//PAJAK]]-1)))</f>
        <v/>
      </c>
      <c r="D5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4" t="str">
        <f ca="1">IF(KALINDO[[#This Row],[//PAJAK]]="","",INDEX(INDIRECT("PAJAK["&amp;KALINDO[#Headers]&amp;"]"),KALINDO[[#This Row],[//PAJAK]]-1))</f>
        <v/>
      </c>
      <c r="H5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>
      <c r="A6" s="10" t="str">
        <f ca="1">HYPERLINK("[NOTA_.xlsx]NOTA!A"&amp;MATCH(KALINDO[[#This Row],[ID]],NOTA[ID],0)+2,IF(KALINDO[[#This Row],[//PAJAK]]="","",MATCH(KALINDO[[#This Row],[ID]],NOTA[ID],0)+2))</f>
        <v/>
      </c>
      <c r="B6" s="4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HYPERLINK("[NOTA_.xlsx]PAJAK!b"&amp;KALINDO[[#This Row],[//PAJAK]],IF(KALINDO[[#This Row],[//PAJAK]]="","",INDEX(INDIRECT("PAJAK["&amp;KALINDO[#Headers]&amp;"]"),KALINDO[[#This Row],[//PAJAK]]-1)))</f>
        <v/>
      </c>
      <c r="D6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4" t="str">
        <f ca="1">IF(KALINDO[[#This Row],[//PAJAK]]="","",INDEX(INDIRECT("PAJAK["&amp;KALINDO[#Headers]&amp;"]"),KALINDO[[#This Row],[//PAJAK]]-1))</f>
        <v/>
      </c>
      <c r="H6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>
      <c r="A7" s="10" t="str">
        <f ca="1">HYPERLINK("[NOTA_.xlsx]NOTA!A"&amp;MATCH(KALINDO[[#This Row],[ID]],NOTA[ID],0)+2,IF(KALINDO[[#This Row],[//PAJAK]]="","",MATCH(KALINDO[[#This Row],[ID]],NOTA[ID],0)+2))</f>
        <v/>
      </c>
      <c r="B7" s="4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HYPERLINK("[NOTA_.xlsx]PAJAK!b"&amp;KALINDO[[#This Row],[//PAJAK]],IF(KALINDO[[#This Row],[//PAJAK]]="","",INDEX(INDIRECT("PAJAK["&amp;KALINDO[#Headers]&amp;"]"),KALINDO[[#This Row],[//PAJAK]]-1)))</f>
        <v/>
      </c>
      <c r="D7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4" t="str">
        <f ca="1">IF(KALINDO[[#This Row],[//PAJAK]]="","",INDEX(INDIRECT("PAJAK["&amp;KALINDO[#Headers]&amp;"]"),KALINDO[[#This Row],[//PAJAK]]-1))</f>
        <v/>
      </c>
      <c r="H7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>
      <c r="A8" s="10" t="str">
        <f ca="1">HYPERLINK("[NOTA_.xlsx]NOTA!A"&amp;MATCH(KALINDO[[#This Row],[ID]],NOTA[ID],0)+2,IF(KALINDO[[#This Row],[//PAJAK]]="","",MATCH(KALINDO[[#This Row],[ID]],NOTA[ID],0)+2))</f>
        <v/>
      </c>
      <c r="B8" s="4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HYPERLINK("[NOTA_.xlsx]PAJAK!b"&amp;KALINDO[[#This Row],[//PAJAK]],IF(KALINDO[[#This Row],[//PAJAK]]="","",INDEX(INDIRECT("PAJAK["&amp;KALINDO[#Headers]&amp;"]"),KALINDO[[#This Row],[//PAJAK]]-1)))</f>
        <v/>
      </c>
      <c r="D8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4" t="str">
        <f ca="1">IF(KALINDO[[#This Row],[//PAJAK]]="","",INDEX(INDIRECT("PAJAK["&amp;KALINDO[#Headers]&amp;"]"),KALINDO[[#This Row],[//PAJAK]]-1))</f>
        <v/>
      </c>
      <c r="H8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>
      <c r="A9" s="10" t="str">
        <f ca="1">HYPERLINK("[NOTA_.xlsx]NOTA!A"&amp;MATCH(KALINDO[[#This Row],[ID]],NOTA[ID],0)+2,IF(KALINDO[[#This Row],[//PAJAK]]="","",MATCH(KALINDO[[#This Row],[ID]],NOTA[ID],0)+2))</f>
        <v/>
      </c>
      <c r="B9" s="4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HYPERLINK("[NOTA_.xlsx]PAJAK!b"&amp;KALINDO[[#This Row],[//PAJAK]],IF(KALINDO[[#This Row],[//PAJAK]]="","",INDEX(INDIRECT("PAJAK["&amp;KALINDO[#Headers]&amp;"]"),KALINDO[[#This Row],[//PAJAK]]-1)))</f>
        <v/>
      </c>
      <c r="D9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4" t="str">
        <f ca="1">IF(KALINDO[[#This Row],[//PAJAK]]="","",INDEX(INDIRECT("PAJAK["&amp;KALINDO[#Headers]&amp;"]"),KALINDO[[#This Row],[//PAJAK]]-1))</f>
        <v/>
      </c>
      <c r="H9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>
      <c r="A10" s="10" t="str">
        <f ca="1">HYPERLINK("[NOTA_.xlsx]NOTA!A"&amp;MATCH(KALINDO[[#This Row],[ID]],NOTA[ID],0)+2,IF(KALINDO[[#This Row],[//PAJAK]]="","",MATCH(KALINDO[[#This Row],[ID]],NOTA[ID],0)+2))</f>
        <v/>
      </c>
      <c r="B10" s="4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HYPERLINK("[NOTA_.xlsx]PAJAK!b"&amp;KALINDO[[#This Row],[//PAJAK]],IF(KALINDO[[#This Row],[//PAJAK]]="","",INDEX(INDIRECT("PAJAK["&amp;KALINDO[#Headers]&amp;"]"),KALINDO[[#This Row],[//PAJAK]]-1)))</f>
        <v/>
      </c>
      <c r="D10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4" t="str">
        <f ca="1">IF(KALINDO[[#This Row],[//PAJAK]]="","",INDEX(INDIRECT("PAJAK["&amp;KALINDO[#Headers]&amp;"]"),KALINDO[[#This Row],[//PAJAK]]-1))</f>
        <v/>
      </c>
      <c r="H10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>
      <c r="A11" s="10" t="str">
        <f ca="1">HYPERLINK("[NOTA_.xlsx]NOTA!A"&amp;MATCH(KALINDO[[#This Row],[ID]],NOTA[ID],0)+2,IF(KALINDO[[#This Row],[//PAJAK]]="","",MATCH(KALINDO[[#This Row],[ID]],NOTA[ID],0)+2))</f>
        <v/>
      </c>
      <c r="B11" s="4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HYPERLINK("[NOTA_.xlsx]PAJAK!b"&amp;KALINDO[[#This Row],[//PAJAK]],IF(KALINDO[[#This Row],[//PAJAK]]="","",INDEX(INDIRECT("PAJAK["&amp;KALINDO[#Headers]&amp;"]"),KALINDO[[#This Row],[//PAJAK]]-1)))</f>
        <v/>
      </c>
      <c r="D11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4" t="str">
        <f ca="1">IF(KALINDO[[#This Row],[//PAJAK]]="","",INDEX(INDIRECT("PAJAK["&amp;KALINDO[#Headers]&amp;"]"),KALINDO[[#This Row],[//PAJAK]]-1))</f>
        <v/>
      </c>
      <c r="H11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>
      <c r="A12" s="10" t="str">
        <f ca="1">HYPERLINK("[NOTA_.xlsx]NOTA!A"&amp;MATCH(KALINDO[[#This Row],[ID]],NOTA[ID],0)+2,IF(KALINDO[[#This Row],[//PAJAK]]="","",MATCH(KALINDO[[#This Row],[ID]],NOTA[ID],0)+2))</f>
        <v/>
      </c>
      <c r="B12" s="4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HYPERLINK("[NOTA_.xlsx]PAJAK!b"&amp;KALINDO[[#This Row],[//PAJAK]],IF(KALINDO[[#This Row],[//PAJAK]]="","",INDEX(INDIRECT("PAJAK["&amp;KALINDO[#Headers]&amp;"]"),KALINDO[[#This Row],[//PAJAK]]-1)))</f>
        <v/>
      </c>
      <c r="D12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4" t="str">
        <f ca="1">IF(KALINDO[[#This Row],[//PAJAK]]="","",INDEX(INDIRECT("PAJAK["&amp;KALINDO[#Headers]&amp;"]"),KALINDO[[#This Row],[//PAJAK]]-1))</f>
        <v/>
      </c>
      <c r="H12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>
      <c r="A13" s="10" t="str">
        <f ca="1">HYPERLINK("[NOTA_.xlsx]NOTA!A"&amp;MATCH(KALINDO[[#This Row],[ID]],NOTA[ID],0)+2,IF(KALINDO[[#This Row],[//PAJAK]]="","",MATCH(KALINDO[[#This Row],[ID]],NOTA[ID],0)+2))</f>
        <v/>
      </c>
      <c r="B13" s="4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HYPERLINK("[NOTA_.xlsx]PAJAK!b"&amp;KALINDO[[#This Row],[//PAJAK]],IF(KALINDO[[#This Row],[//PAJAK]]="","",INDEX(INDIRECT("PAJAK["&amp;KALINDO[#Headers]&amp;"]"),KALINDO[[#This Row],[//PAJAK]]-1)))</f>
        <v/>
      </c>
      <c r="D1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4" t="str">
        <f ca="1">IF(KALINDO[[#This Row],[//PAJAK]]="","",INDEX(INDIRECT("PAJAK["&amp;KALINDO[#Headers]&amp;"]"),KALINDO[[#This Row],[//PAJAK]]-1))</f>
        <v/>
      </c>
      <c r="H1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>
      <c r="A14" s="10" t="str">
        <f ca="1">HYPERLINK("[NOTA_.xlsx]NOTA!A"&amp;MATCH(KALINDO[[#This Row],[ID]],NOTA[ID],0)+2,IF(KALINDO[[#This Row],[//PAJAK]]="","",MATCH(KALINDO[[#This Row],[ID]],NOTA[ID],0)+2))</f>
        <v/>
      </c>
      <c r="B14" s="4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HYPERLINK("[NOTA_.xlsx]PAJAK!b"&amp;KALINDO[[#This Row],[//PAJAK]],IF(KALINDO[[#This Row],[//PAJAK]]="","",INDEX(INDIRECT("PAJAK["&amp;KALINDO[#Headers]&amp;"]"),KALINDO[[#This Row],[//PAJAK]]-1)))</f>
        <v/>
      </c>
      <c r="D14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4" t="str">
        <f ca="1">IF(KALINDO[[#This Row],[//PAJAK]]="","",INDEX(INDIRECT("PAJAK["&amp;KALINDO[#Headers]&amp;"]"),KALINDO[[#This Row],[//PAJAK]]-1))</f>
        <v/>
      </c>
      <c r="H14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>
      <c r="A15" s="10" t="str">
        <f ca="1">HYPERLINK("[NOTA_.xlsx]NOTA!A"&amp;MATCH(KALINDO[[#This Row],[ID]],NOTA[ID],0)+2,IF(KALINDO[[#This Row],[//PAJAK]]="","",MATCH(KALINDO[[#This Row],[ID]],NOTA[ID],0)+2))</f>
        <v/>
      </c>
      <c r="B15" s="4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HYPERLINK("[NOTA_.xlsx]PAJAK!b"&amp;KALINDO[[#This Row],[//PAJAK]],IF(KALINDO[[#This Row],[//PAJAK]]="","",INDEX(INDIRECT("PAJAK["&amp;KALINDO[#Headers]&amp;"]"),KALINDO[[#This Row],[//PAJAK]]-1)))</f>
        <v/>
      </c>
      <c r="D15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4" t="str">
        <f ca="1">IF(KALINDO[[#This Row],[//PAJAK]]="","",INDEX(INDIRECT("PAJAK["&amp;KALINDO[#Headers]&amp;"]"),KALINDO[[#This Row],[//PAJAK]]-1))</f>
        <v/>
      </c>
      <c r="H15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>
      <c r="A16" s="10" t="str">
        <f ca="1">HYPERLINK("[NOTA_.xlsx]NOTA!A"&amp;MATCH(KALINDO[[#This Row],[ID]],NOTA[ID],0)+2,IF(KALINDO[[#This Row],[//PAJAK]]="","",MATCH(KALINDO[[#This Row],[ID]],NOTA[ID],0)+2))</f>
        <v/>
      </c>
      <c r="B16" s="4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HYPERLINK("[NOTA_.xlsx]PAJAK!b"&amp;KALINDO[[#This Row],[//PAJAK]],IF(KALINDO[[#This Row],[//PAJAK]]="","",INDEX(INDIRECT("PAJAK["&amp;KALINDO[#Headers]&amp;"]"),KALINDO[[#This Row],[//PAJAK]]-1)))</f>
        <v/>
      </c>
      <c r="D16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4" t="str">
        <f ca="1">IF(KALINDO[[#This Row],[//PAJAK]]="","",INDEX(INDIRECT("PAJAK["&amp;KALINDO[#Headers]&amp;"]"),KALINDO[[#This Row],[//PAJAK]]-1))</f>
        <v/>
      </c>
      <c r="H16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>
      <c r="A17" s="10" t="str">
        <f ca="1">HYPERLINK("[NOTA_.xlsx]NOTA!A"&amp;MATCH(KALINDO[[#This Row],[ID]],NOTA[ID],0)+2,IF(KALINDO[[#This Row],[//PAJAK]]="","",MATCH(KALINDO[[#This Row],[ID]],NOTA[ID],0)+2))</f>
        <v/>
      </c>
      <c r="B17" s="4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HYPERLINK("[NOTA_.xlsx]PAJAK!b"&amp;KALINDO[[#This Row],[//PAJAK]],IF(KALINDO[[#This Row],[//PAJAK]]="","",INDEX(INDIRECT("PAJAK["&amp;KALINDO[#Headers]&amp;"]"),KALINDO[[#This Row],[//PAJAK]]-1)))</f>
        <v/>
      </c>
      <c r="D17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4" t="str">
        <f ca="1">IF(KALINDO[[#This Row],[//PAJAK]]="","",INDEX(INDIRECT("PAJAK["&amp;KALINDO[#Headers]&amp;"]"),KALINDO[[#This Row],[//PAJAK]]-1))</f>
        <v/>
      </c>
      <c r="H17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>
      <c r="A18" s="10" t="str">
        <f ca="1">HYPERLINK("[NOTA_.xlsx]NOTA!A"&amp;MATCH(KALINDO[[#This Row],[ID]],NOTA[ID],0)+2,IF(KALINDO[[#This Row],[//PAJAK]]="","",MATCH(KALINDO[[#This Row],[ID]],NOTA[ID],0)+2))</f>
        <v/>
      </c>
      <c r="B18" s="4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HYPERLINK("[NOTA_.xlsx]PAJAK!b"&amp;KALINDO[[#This Row],[//PAJAK]],IF(KALINDO[[#This Row],[//PAJAK]]="","",INDEX(INDIRECT("PAJAK["&amp;KALINDO[#Headers]&amp;"]"),KALINDO[[#This Row],[//PAJAK]]-1)))</f>
        <v/>
      </c>
      <c r="D18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4" t="str">
        <f ca="1">IF(KALINDO[[#This Row],[//PAJAK]]="","",INDEX(INDIRECT("PAJAK["&amp;KALINDO[#Headers]&amp;"]"),KALINDO[[#This Row],[//PAJAK]]-1))</f>
        <v/>
      </c>
      <c r="H18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>
      <c r="A19" s="10" t="str">
        <f ca="1">HYPERLINK("[NOTA_.xlsx]NOTA!A"&amp;MATCH(KALINDO[[#This Row],[ID]],NOTA[ID],0)+2,IF(KALINDO[[#This Row],[//PAJAK]]="","",MATCH(KALINDO[[#This Row],[ID]],NOTA[ID],0)+2))</f>
        <v/>
      </c>
      <c r="B19" s="4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HYPERLINK("[NOTA_.xlsx]PAJAK!b"&amp;KALINDO[[#This Row],[//PAJAK]],IF(KALINDO[[#This Row],[//PAJAK]]="","",INDEX(INDIRECT("PAJAK["&amp;KALINDO[#Headers]&amp;"]"),KALINDO[[#This Row],[//PAJAK]]-1)))</f>
        <v/>
      </c>
      <c r="D19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4" t="str">
        <f ca="1">IF(KALINDO[[#This Row],[//PAJAK]]="","",INDEX(INDIRECT("PAJAK["&amp;KALINDO[#Headers]&amp;"]"),KALINDO[[#This Row],[//PAJAK]]-1))</f>
        <v/>
      </c>
      <c r="H19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>
      <c r="A20" s="10" t="str">
        <f ca="1">HYPERLINK("[NOTA_.xlsx]NOTA!A"&amp;MATCH(KALINDO[[#This Row],[ID]],NOTA[ID],0)+2,IF(KALINDO[[#This Row],[//PAJAK]]="","",MATCH(KALINDO[[#This Row],[ID]],NOTA[ID],0)+2))</f>
        <v/>
      </c>
      <c r="B20" s="4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HYPERLINK("[NOTA_.xlsx]PAJAK!b"&amp;KALINDO[[#This Row],[//PAJAK]],IF(KALINDO[[#This Row],[//PAJAK]]="","",INDEX(INDIRECT("PAJAK["&amp;KALINDO[#Headers]&amp;"]"),KALINDO[[#This Row],[//PAJAK]]-1)))</f>
        <v/>
      </c>
      <c r="D20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4" t="str">
        <f ca="1">IF(KALINDO[[#This Row],[//PAJAK]]="","",INDEX(INDIRECT("PAJAK["&amp;KALINDO[#Headers]&amp;"]"),KALINDO[[#This Row],[//PAJAK]]-1))</f>
        <v/>
      </c>
      <c r="H20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>
      <c r="A21" s="10" t="str">
        <f ca="1">HYPERLINK("[NOTA_.xlsx]NOTA!A"&amp;MATCH(KALINDO[[#This Row],[ID]],NOTA[ID],0)+2,IF(KALINDO[[#This Row],[//PAJAK]]="","",MATCH(KALINDO[[#This Row],[ID]],NOTA[ID],0)+2))</f>
        <v/>
      </c>
      <c r="B21" s="4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HYPERLINK("[NOTA_.xlsx]PAJAK!b"&amp;KALINDO[[#This Row],[//PAJAK]],IF(KALINDO[[#This Row],[//PAJAK]]="","",INDEX(INDIRECT("PAJAK["&amp;KALINDO[#Headers]&amp;"]"),KALINDO[[#This Row],[//PAJAK]]-1)))</f>
        <v/>
      </c>
      <c r="D21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4" t="str">
        <f ca="1">IF(KALINDO[[#This Row],[//PAJAK]]="","",INDEX(INDIRECT("PAJAK["&amp;KALINDO[#Headers]&amp;"]"),KALINDO[[#This Row],[//PAJAK]]-1))</f>
        <v/>
      </c>
      <c r="H21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>
      <c r="A22" s="10" t="str">
        <f ca="1">HYPERLINK("[NOTA_.xlsx]NOTA!A"&amp;MATCH(KALINDO[[#This Row],[ID]],NOTA[ID],0)+2,IF(KALINDO[[#This Row],[//PAJAK]]="","",MATCH(KALINDO[[#This Row],[ID]],NOTA[ID],0)+2))</f>
        <v/>
      </c>
      <c r="B22" s="4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HYPERLINK("[NOTA_.xlsx]PAJAK!b"&amp;KALINDO[[#This Row],[//PAJAK]],IF(KALINDO[[#This Row],[//PAJAK]]="","",INDEX(INDIRECT("PAJAK["&amp;KALINDO[#Headers]&amp;"]"),KALINDO[[#This Row],[//PAJAK]]-1)))</f>
        <v/>
      </c>
      <c r="D22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4" t="str">
        <f ca="1">IF(KALINDO[[#This Row],[//PAJAK]]="","",INDEX(INDIRECT("PAJAK["&amp;KALINDO[#Headers]&amp;"]"),KALINDO[[#This Row],[//PAJAK]]-1))</f>
        <v/>
      </c>
      <c r="H22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>
      <c r="A23" s="10" t="str">
        <f ca="1">HYPERLINK("[NOTA_.xlsx]NOTA!A"&amp;MATCH(KALINDO[[#This Row],[ID]],NOTA[ID],0)+2,IF(KALINDO[[#This Row],[//PAJAK]]="","",MATCH(KALINDO[[#This Row],[ID]],NOTA[ID],0)+2))</f>
        <v/>
      </c>
      <c r="B23" s="4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HYPERLINK("[NOTA_.xlsx]PAJAK!b"&amp;KALINDO[[#This Row],[//PAJAK]],IF(KALINDO[[#This Row],[//PAJAK]]="","",INDEX(INDIRECT("PAJAK["&amp;KALINDO[#Headers]&amp;"]"),KALINDO[[#This Row],[//PAJAK]]-1)))</f>
        <v/>
      </c>
      <c r="D2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4" t="str">
        <f ca="1">IF(KALINDO[[#This Row],[//PAJAK]]="","",INDEX(INDIRECT("PAJAK["&amp;KALINDO[#Headers]&amp;"]"),KALINDO[[#This Row],[//PAJAK]]-1))</f>
        <v/>
      </c>
      <c r="H2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>
      <c r="A24" s="10" t="str">
        <f ca="1">HYPERLINK("[NOTA_.xlsx]NOTA!A"&amp;MATCH(KALINDO[[#This Row],[ID]],NOTA[ID],0)+2,IF(KALINDO[[#This Row],[//PAJAK]]="","",MATCH(KALINDO[[#This Row],[ID]],NOTA[ID],0)+2))</f>
        <v/>
      </c>
      <c r="B24" s="4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HYPERLINK("[NOTA_.xlsx]PAJAK!b"&amp;KALINDO[[#This Row],[//PAJAK]],IF(KALINDO[[#This Row],[//PAJAK]]="","",INDEX(INDIRECT("PAJAK["&amp;KALINDO[#Headers]&amp;"]"),KALINDO[[#This Row],[//PAJAK]]-1)))</f>
        <v/>
      </c>
      <c r="D24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4" t="str">
        <f ca="1">IF(KALINDO[[#This Row],[//PAJAK]]="","",INDEX(INDIRECT("PAJAK["&amp;KALINDO[#Headers]&amp;"]"),KALINDO[[#This Row],[//PAJAK]]-1))</f>
        <v/>
      </c>
      <c r="H24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>
      <c r="A25" s="10" t="str">
        <f ca="1">HYPERLINK("[NOTA_.xlsx]NOTA!A"&amp;MATCH(KALINDO[[#This Row],[ID]],NOTA[ID],0)+2,IF(KALINDO[[#This Row],[//PAJAK]]="","",MATCH(KALINDO[[#This Row],[ID]],NOTA[ID],0)+2))</f>
        <v/>
      </c>
      <c r="B25" s="4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HYPERLINK("[NOTA_.xlsx]PAJAK!b"&amp;KALINDO[[#This Row],[//PAJAK]],IF(KALINDO[[#This Row],[//PAJAK]]="","",INDEX(INDIRECT("PAJAK["&amp;KALINDO[#Headers]&amp;"]"),KALINDO[[#This Row],[//PAJAK]]-1)))</f>
        <v/>
      </c>
      <c r="D25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4" t="str">
        <f ca="1">IF(KALINDO[[#This Row],[//PAJAK]]="","",INDEX(INDIRECT("PAJAK["&amp;KALINDO[#Headers]&amp;"]"),KALINDO[[#This Row],[//PAJAK]]-1))</f>
        <v/>
      </c>
      <c r="H25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>
      <c r="A26" s="10" t="str">
        <f ca="1">HYPERLINK("[NOTA_.xlsx]NOTA!A"&amp;MATCH(KALINDO[[#This Row],[ID]],NOTA[ID],0)+2,IF(KALINDO[[#This Row],[//PAJAK]]="","",MATCH(KALINDO[[#This Row],[ID]],NOTA[ID],0)+2))</f>
        <v/>
      </c>
      <c r="B26" s="4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HYPERLINK("[NOTA_.xlsx]PAJAK!b"&amp;KALINDO[[#This Row],[//PAJAK]],IF(KALINDO[[#This Row],[//PAJAK]]="","",INDEX(INDIRECT("PAJAK["&amp;KALINDO[#Headers]&amp;"]"),KALINDO[[#This Row],[//PAJAK]]-1)))</f>
        <v/>
      </c>
      <c r="D26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4" t="str">
        <f ca="1">IF(KALINDO[[#This Row],[//PAJAK]]="","",INDEX(INDIRECT("PAJAK["&amp;KALINDO[#Headers]&amp;"]"),KALINDO[[#This Row],[//PAJAK]]-1))</f>
        <v/>
      </c>
      <c r="H26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>
      <c r="A27" s="10" t="str">
        <f ca="1">HYPERLINK("[NOTA_.xlsx]NOTA!A"&amp;MATCH(KALINDO[[#This Row],[ID]],NOTA[ID],0)+2,IF(KALINDO[[#This Row],[//PAJAK]]="","",MATCH(KALINDO[[#This Row],[ID]],NOTA[ID],0)+2))</f>
        <v/>
      </c>
      <c r="B27" s="4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HYPERLINK("[NOTA_.xlsx]PAJAK!b"&amp;KALINDO[[#This Row],[//PAJAK]],IF(KALINDO[[#This Row],[//PAJAK]]="","",INDEX(INDIRECT("PAJAK["&amp;KALINDO[#Headers]&amp;"]"),KALINDO[[#This Row],[//PAJAK]]-1)))</f>
        <v/>
      </c>
      <c r="D27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4" t="str">
        <f ca="1">IF(KALINDO[[#This Row],[//PAJAK]]="","",INDEX(INDIRECT("PAJAK["&amp;KALINDO[#Headers]&amp;"]"),KALINDO[[#This Row],[//PAJAK]]-1))</f>
        <v/>
      </c>
      <c r="H27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>
      <c r="A28" s="10" t="str">
        <f ca="1">HYPERLINK("[NOTA_.xlsx]NOTA!A"&amp;MATCH(KALINDO[[#This Row],[ID]],NOTA[ID],0)+2,IF(KALINDO[[#This Row],[//PAJAK]]="","",MATCH(KALINDO[[#This Row],[ID]],NOTA[ID],0)+2))</f>
        <v/>
      </c>
      <c r="B28" s="4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HYPERLINK("[NOTA_.xlsx]PAJAK!b"&amp;KALINDO[[#This Row],[//PAJAK]],IF(KALINDO[[#This Row],[//PAJAK]]="","",INDEX(INDIRECT("PAJAK["&amp;KALINDO[#Headers]&amp;"]"),KALINDO[[#This Row],[//PAJAK]]-1)))</f>
        <v/>
      </c>
      <c r="D28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4" t="str">
        <f ca="1">IF(KALINDO[[#This Row],[//PAJAK]]="","",INDEX(INDIRECT("PAJAK["&amp;KALINDO[#Headers]&amp;"]"),KALINDO[[#This Row],[//PAJAK]]-1))</f>
        <v/>
      </c>
      <c r="H28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>
      <c r="A29" s="10" t="str">
        <f ca="1">HYPERLINK("[NOTA_.xlsx]NOTA!A"&amp;MATCH(KALINDO[[#This Row],[ID]],NOTA[ID],0)+2,IF(KALINDO[[#This Row],[//PAJAK]]="","",MATCH(KALINDO[[#This Row],[ID]],NOTA[ID],0)+2))</f>
        <v/>
      </c>
      <c r="B29" s="4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HYPERLINK("[NOTA_.xlsx]PAJAK!b"&amp;KALINDO[[#This Row],[//PAJAK]],IF(KALINDO[[#This Row],[//PAJAK]]="","",INDEX(INDIRECT("PAJAK["&amp;KALINDO[#Headers]&amp;"]"),KALINDO[[#This Row],[//PAJAK]]-1)))</f>
        <v/>
      </c>
      <c r="D29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4" t="str">
        <f ca="1">IF(KALINDO[[#This Row],[//PAJAK]]="","",INDEX(INDIRECT("PAJAK["&amp;KALINDO[#Headers]&amp;"]"),KALINDO[[#This Row],[//PAJAK]]-1))</f>
        <v/>
      </c>
      <c r="H29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>
      <c r="A30" s="10" t="str">
        <f ca="1">HYPERLINK("[NOTA_.xlsx]NOTA!A"&amp;MATCH(KALINDO[[#This Row],[ID]],NOTA[ID],0)+2,IF(KALINDO[[#This Row],[//PAJAK]]="","",MATCH(KALINDO[[#This Row],[ID]],NOTA[ID],0)+2))</f>
        <v/>
      </c>
      <c r="B30" s="4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HYPERLINK("[NOTA_.xlsx]PAJAK!b"&amp;KALINDO[[#This Row],[//PAJAK]],IF(KALINDO[[#This Row],[//PAJAK]]="","",INDEX(INDIRECT("PAJAK["&amp;KALINDO[#Headers]&amp;"]"),KALINDO[[#This Row],[//PAJAK]]-1)))</f>
        <v/>
      </c>
      <c r="D30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4" t="str">
        <f ca="1">IF(KALINDO[[#This Row],[//PAJAK]]="","",INDEX(INDIRECT("PAJAK["&amp;KALINDO[#Headers]&amp;"]"),KALINDO[[#This Row],[//PAJAK]]-1))</f>
        <v/>
      </c>
      <c r="H30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>
      <c r="A31" s="10" t="str">
        <f ca="1">HYPERLINK("[NOTA_.xlsx]NOTA!A"&amp;MATCH(KALINDO[[#This Row],[ID]],NOTA[ID],0)+2,IF(KALINDO[[#This Row],[//PAJAK]]="","",MATCH(KALINDO[[#This Row],[ID]],NOTA[ID],0)+2))</f>
        <v/>
      </c>
      <c r="B31" s="4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HYPERLINK("[NOTA_.xlsx]PAJAK!b"&amp;KALINDO[[#This Row],[//PAJAK]],IF(KALINDO[[#This Row],[//PAJAK]]="","",INDEX(INDIRECT("PAJAK["&amp;KALINDO[#Headers]&amp;"]"),KALINDO[[#This Row],[//PAJAK]]-1)))</f>
        <v/>
      </c>
      <c r="D31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4" t="str">
        <f ca="1">IF(KALINDO[[#This Row],[//PAJAK]]="","",INDEX(INDIRECT("PAJAK["&amp;KALINDO[#Headers]&amp;"]"),KALINDO[[#This Row],[//PAJAK]]-1))</f>
        <v/>
      </c>
      <c r="H31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>
      <c r="A32" s="10" t="str">
        <f ca="1">HYPERLINK("[NOTA_.xlsx]NOTA!A"&amp;MATCH(KALINDO[[#This Row],[ID]],NOTA[ID],0)+2,IF(KALINDO[[#This Row],[//PAJAK]]="","",MATCH(KALINDO[[#This Row],[ID]],NOTA[ID],0)+2))</f>
        <v/>
      </c>
      <c r="B32" s="4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HYPERLINK("[NOTA_.xlsx]PAJAK!b"&amp;KALINDO[[#This Row],[//PAJAK]],IF(KALINDO[[#This Row],[//PAJAK]]="","",INDEX(INDIRECT("PAJAK["&amp;KALINDO[#Headers]&amp;"]"),KALINDO[[#This Row],[//PAJAK]]-1)))</f>
        <v/>
      </c>
      <c r="D32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4" t="str">
        <f ca="1">IF(KALINDO[[#This Row],[//PAJAK]]="","",INDEX(INDIRECT("PAJAK["&amp;KALINDO[#Headers]&amp;"]"),KALINDO[[#This Row],[//PAJAK]]-1))</f>
        <v/>
      </c>
      <c r="H32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  <row r="33" spans="1:13">
      <c r="A33" s="10" t="str">
        <f ca="1">HYPERLINK("[NOTA_.xlsx]NOTA!A"&amp;MATCH(KALINDO[[#This Row],[ID]],NOTA[ID],0)+2,IF(KALINDO[[#This Row],[//PAJAK]]="","",MATCH(KALINDO[[#This Row],[ID]],NOTA[ID],0)+2))</f>
        <v/>
      </c>
      <c r="B33" s="4" t="str">
        <f ca="1">IF(ROW()-3&lt;E$1,IF(INDIRECT(ADDRESS(ROW()-1,COLUMN(KALINDO[[#Headers],[//PAJAK]])))="//PAJAK",MATCH(D$1,PAJAK[SUPPLIER],0)+1,MATCH(D$1,INDIRECT("PAJAK!"&amp;ADDRESS(B32+1,COLUMN(PAJAK[SUPPLIER]))&amp;":"&amp;ADDRESS(MAX_ROW,COLUMN(PAJAK[SUPPLIER]))),0)+B32),"")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HYPERLINK("[NOTA_.xlsx]PAJAK!b"&amp;KALINDO[[#This Row],[//PAJAK]],IF(KALINDO[[#This Row],[//PAJAK]]="","",INDEX(INDIRECT("PAJAK["&amp;KALINDO[#Headers]&amp;"]"),KALINDO[[#This Row],[//PAJAK]]-1)))</f>
        <v/>
      </c>
      <c r="D33" t="str">
        <f ca="1">IF(KALINDO[[#This Row],[//PAJAK]]="","",INDEX(INDIRECT("PAJAK["&amp;KALINDO[#Headers]&amp;"]"),KALINDO[[#This Row],[//PAJAK]]-1))</f>
        <v/>
      </c>
      <c r="E33" s="2" t="str">
        <f ca="1">IF(KALINDO[[#This Row],[//PAJAK]]="","",INDEX(INDIRECT("PAJAK["&amp;KALINDO[#Headers]&amp;"]"),KALINDO[[#This Row],[//PAJAK]]-1))</f>
        <v/>
      </c>
      <c r="F33" s="2" t="str">
        <f ca="1">IF(KALINDO[[#This Row],[//PAJAK]]="","",INDEX(INDIRECT("PAJAK["&amp;KALINDO[#Headers]&amp;"]"),KALINDO[[#This Row],[//PAJAK]]-1))</f>
        <v/>
      </c>
      <c r="G33" s="4" t="str">
        <f ca="1">IF(KALINDO[[#This Row],[//PAJAK]]="","",INDEX(INDIRECT("PAJAK["&amp;KALINDO[#Headers]&amp;"]"),KALINDO[[#This Row],[//PAJAK]]-1))</f>
        <v/>
      </c>
      <c r="H33" t="str">
        <f ca="1">IF(KALINDO[[#This Row],[//PAJAK]]="","",INDEX(INDIRECT("PAJAK["&amp;KALINDO[#Headers]&amp;"]"),KALINDO[[#This Row],[//PAJAK]]-1))</f>
        <v/>
      </c>
      <c r="I33" s="1" t="str">
        <f ca="1">IF(KALINDO[[#This Row],[//PAJAK]]="","",INDEX(PAJAK[SUB T-DISC],KALINDO[[#This Row],[//PAJAK]]-1))</f>
        <v/>
      </c>
      <c r="J33" s="1" t="str">
        <f ca="1">IF(KALINDO[[#This Row],[//PAJAK]]="","",INDEX(PAJAK[DISC DLL],KALINDO[[#This Row],[//PAJAK]]-1))</f>
        <v/>
      </c>
      <c r="K33" s="1" t="e">
        <f ca="1">(KALINDO[[#This Row],[SUB TOTAL]]-KALINDO[[#This Row],[DISKON]])/1.11</f>
        <v>#VALUE!</v>
      </c>
      <c r="L33" s="1" t="e">
        <f ca="1">KALINDO[[#This Row],[DPP]]*11%</f>
        <v>#VALUE!</v>
      </c>
      <c r="M33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M50"/>
  <sheetViews>
    <sheetView zoomScale="85" zoomScaleNormal="85" workbookViewId="0">
      <selection activeCell="G13" sqref="A13:G13"/>
    </sheetView>
  </sheetViews>
  <sheetFormatPr defaultRowHeight="1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4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ATALI MAKMUR</v>
      </c>
      <c r="E1">
        <f ca="1">INDEX(CONV[JML],MATCH(D1,CONV[2],0))</f>
        <v>0</v>
      </c>
      <c r="F1" t="str">
        <f ca="1">MID(G1,FIND("]",G1)+1,LEN(G1)-FIND("]",G1))</f>
        <v>ATALI</v>
      </c>
      <c r="G1" s="3" t="str">
        <f ca="1">CELL("filename",G1)</f>
        <v>D:\kerja\BANK EXP\BARU\2024\06 JUNI\[NOTA 06 JUNI 2024.xlsx]ATALI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HYPERLINK("[NOTA_.xlsx]NOTA!A"&amp;MATCH(ATALI[[#This Row],[ID]],NOTA[ID],0)+2,IF(ATALI[[#This Row],[//PAJAK]]="","",MATCH(ATALI[[#This Row],[ID]],NOTA[ID],0)+2))</f>
        <v/>
      </c>
      <c r="B3" s="4" t="str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HYPERLINK("[NOTA_.xlsx]PAJAK!b"&amp;ATALI[[#This Row],[//PAJAK]],IF(ATALI[[#This Row],[//PAJAK]]="","",INDEX(INDIRECT("PAJAK["&amp;ATALI[#Headers]&amp;"]"),ATALI[[#This Row],[//PAJAK]]-1)))</f>
        <v/>
      </c>
      <c r="D3" t="str">
        <f ca="1">IF(ATALI[[#This Row],[//PAJAK]]="","",INDEX(INDIRECT("PAJAK["&amp;ATALI[#Headers]&amp;"]"),ATALI[[#This Row],[//PAJAK]]-1))</f>
        <v/>
      </c>
      <c r="E3" s="2" t="str">
        <f ca="1">IF(ATALI[[#This Row],[//PAJAK]]="","",INDEX(INDIRECT("PAJAK["&amp;ATALI[#Headers]&amp;"]"),ATALI[[#This Row],[//PAJAK]]-1))</f>
        <v/>
      </c>
      <c r="F3" s="2" t="str">
        <f ca="1">IF(ATALI[[#This Row],[//PAJAK]]="","",INDEX(INDIRECT("PAJAK["&amp;ATALI[#Headers]&amp;"]"),ATALI[[#This Row],[//PAJAK]]-1))</f>
        <v/>
      </c>
      <c r="G3" s="4" t="str">
        <f ca="1">IF(ATALI[[#This Row],[//PAJAK]]="","",INDEX(INDIRECT("PAJAK["&amp;ATALI[#Headers]&amp;"]"),ATALI[[#This Row],[//PAJAK]]-1))</f>
        <v/>
      </c>
      <c r="H3" t="str">
        <f ca="1">IF(ATALI[[#This Row],[//PAJAK]]="","",INDEX(INDIRECT("PAJAK["&amp;ATALI[#Headers]&amp;"]"),ATALI[[#This Row],[//PAJAK]]-1))</f>
        <v/>
      </c>
      <c r="I3" s="1" t="str">
        <f ca="1">IF(ATALI[[#This Row],[//PAJAK]]="","",INDEX(PAJAK[SUB T-DISC],ATALI[[#This Row],[//PAJAK]]-1))</f>
        <v/>
      </c>
      <c r="J3" s="1" t="str">
        <f ca="1">IF(ATALI[[#This Row],[//PAJAK]]="","",INDEX(PAJAK[DISC DLL],ATALI[[#This Row],[//PAJAK]]-1))</f>
        <v/>
      </c>
      <c r="K3" s="1" t="e">
        <f ca="1">(ATALI[[#This Row],[SUB TOTAL]]-ATALI[[#This Row],[DISKON]])/1.11</f>
        <v>#VALUE!</v>
      </c>
      <c r="L3" s="1" t="e">
        <f ca="1">ATALI[[#This Row],[DPP]]*11%</f>
        <v>#VALUE!</v>
      </c>
      <c r="M3" s="1" t="e">
        <f ca="1">ATALI[[#This Row],[DPP]]+ATALI[[#This Row],[PPN (11%)]]</f>
        <v>#VALUE!</v>
      </c>
    </row>
    <row r="4" spans="1:13">
      <c r="A4" s="10" t="str">
        <f ca="1">HYPERLINK("[NOTA_.xlsx]NOTA!A"&amp;MATCH(ATALI[[#This Row],[ID]],NOTA[ID],0)+2,IF(ATALI[[#This Row],[//PAJAK]]="","",MATCH(ATALI[[#This Row],[ID]],NOTA[ID],0)+2))</f>
        <v/>
      </c>
      <c r="B4" s="4" t="str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HYPERLINK("[NOTA_.xlsx]PAJAK!b"&amp;ATALI[[#This Row],[//PAJAK]],IF(ATALI[[#This Row],[//PAJAK]]="","",INDEX(INDIRECT("PAJAK["&amp;ATALI[#Headers]&amp;"]"),ATALI[[#This Row],[//PAJAK]]-1)))</f>
        <v/>
      </c>
      <c r="D4" t="str">
        <f ca="1">IF(ATALI[[#This Row],[//PAJAK]]="","",INDEX(INDIRECT("PAJAK["&amp;ATALI[#Headers]&amp;"]"),ATALI[[#This Row],[//PAJAK]]-1))</f>
        <v/>
      </c>
      <c r="E4" s="2" t="str">
        <f ca="1">IF(ATALI[[#This Row],[//PAJAK]]="","",INDEX(INDIRECT("PAJAK["&amp;ATALI[#Headers]&amp;"]"),ATALI[[#This Row],[//PAJAK]]-1))</f>
        <v/>
      </c>
      <c r="F4" s="2" t="str">
        <f ca="1">IF(ATALI[[#This Row],[//PAJAK]]="","",INDEX(INDIRECT("PAJAK["&amp;ATALI[#Headers]&amp;"]"),ATALI[[#This Row],[//PAJAK]]-1))</f>
        <v/>
      </c>
      <c r="G4" s="4" t="str">
        <f ca="1">IF(ATALI[[#This Row],[//PAJAK]]="","",INDEX(INDIRECT("PAJAK["&amp;ATALI[#Headers]&amp;"]"),ATALI[[#This Row],[//PAJAK]]-1))</f>
        <v/>
      </c>
      <c r="H4" t="str">
        <f ca="1">IF(ATALI[[#This Row],[//PAJAK]]="","",INDEX(INDIRECT("PAJAK["&amp;ATALI[#Headers]&amp;"]"),ATALI[[#This Row],[//PAJAK]]-1))</f>
        <v/>
      </c>
      <c r="I4" s="1" t="str">
        <f ca="1">IF(ATALI[[#This Row],[//PAJAK]]="","",INDEX(PAJAK[SUB T-DISC],ATALI[[#This Row],[//PAJAK]]-1))</f>
        <v/>
      </c>
      <c r="J4" s="1" t="str">
        <f ca="1">IF(ATALI[[#This Row],[//PAJAK]]="","",INDEX(PAJAK[DISC DLL],ATALI[[#This Row],[//PAJAK]]-1))</f>
        <v/>
      </c>
      <c r="K4" s="1" t="e">
        <f ca="1">(ATALI[[#This Row],[SUB TOTAL]]-ATALI[[#This Row],[DISKON]])/1.11</f>
        <v>#VALUE!</v>
      </c>
      <c r="L4" s="1" t="e">
        <f ca="1">ATALI[[#This Row],[DPP]]*11%</f>
        <v>#VALUE!</v>
      </c>
      <c r="M4" s="1" t="e">
        <f ca="1">ATALI[[#This Row],[DPP]]+ATALI[[#This Row],[PPN (11%)]]</f>
        <v>#VALUE!</v>
      </c>
    </row>
    <row r="5" spans="1:13">
      <c r="A5" s="10" t="str">
        <f ca="1">HYPERLINK("[NOTA_.xlsx]NOTA!A"&amp;MATCH(ATALI[[#This Row],[ID]],NOTA[ID],0)+2,IF(ATALI[[#This Row],[//PAJAK]]="","",MATCH(ATALI[[#This Row],[ID]],NOTA[ID],0)+2))</f>
        <v/>
      </c>
      <c r="B5" s="4" t="str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HYPERLINK("[NOTA_.xlsx]PAJAK!b"&amp;ATALI[[#This Row],[//PAJAK]],IF(ATALI[[#This Row],[//PAJAK]]="","",INDEX(INDIRECT("PAJAK["&amp;ATALI[#Headers]&amp;"]"),ATALI[[#This Row],[//PAJAK]]-1)))</f>
        <v/>
      </c>
      <c r="D5" t="str">
        <f ca="1">IF(ATALI[[#This Row],[//PAJAK]]="","",INDEX(INDIRECT("PAJAK["&amp;ATALI[#Headers]&amp;"]"),ATALI[[#This Row],[//PAJAK]]-1))</f>
        <v/>
      </c>
      <c r="E5" s="2" t="str">
        <f ca="1">IF(ATALI[[#This Row],[//PAJAK]]="","",INDEX(INDIRECT("PAJAK["&amp;ATALI[#Headers]&amp;"]"),ATALI[[#This Row],[//PAJAK]]-1))</f>
        <v/>
      </c>
      <c r="F5" s="2" t="str">
        <f ca="1">IF(ATALI[[#This Row],[//PAJAK]]="","",INDEX(INDIRECT("PAJAK["&amp;ATALI[#Headers]&amp;"]"),ATALI[[#This Row],[//PAJAK]]-1))</f>
        <v/>
      </c>
      <c r="G5" s="4" t="str">
        <f ca="1">IF(ATALI[[#This Row],[//PAJAK]]="","",INDEX(INDIRECT("PAJAK["&amp;ATALI[#Headers]&amp;"]"),ATALI[[#This Row],[//PAJAK]]-1))</f>
        <v/>
      </c>
      <c r="H5" t="str">
        <f ca="1">IF(ATALI[[#This Row],[//PAJAK]]="","",INDEX(INDIRECT("PAJAK["&amp;ATALI[#Headers]&amp;"]"),ATALI[[#This Row],[//PAJAK]]-1))</f>
        <v/>
      </c>
      <c r="I5" s="1" t="str">
        <f ca="1">IF(ATALI[[#This Row],[//PAJAK]]="","",INDEX(PAJAK[SUB T-DISC],ATALI[[#This Row],[//PAJAK]]-1))</f>
        <v/>
      </c>
      <c r="J5" s="1" t="str">
        <f ca="1">IF(ATALI[[#This Row],[//PAJAK]]="","",INDEX(PAJAK[DISC DLL],ATALI[[#This Row],[//PAJAK]]-1))</f>
        <v/>
      </c>
      <c r="K5" s="1" t="e">
        <f ca="1">(ATALI[[#This Row],[SUB TOTAL]]-ATALI[[#This Row],[DISKON]])/1.11</f>
        <v>#VALUE!</v>
      </c>
      <c r="L5" s="1" t="e">
        <f ca="1">ATALI[[#This Row],[DPP]]*11%</f>
        <v>#VALUE!</v>
      </c>
      <c r="M5" s="1" t="e">
        <f ca="1">ATALI[[#This Row],[DPP]]+ATALI[[#This Row],[PPN (11%)]]</f>
        <v>#VALUE!</v>
      </c>
    </row>
    <row r="6" spans="1:13">
      <c r="A6" s="10" t="str">
        <f ca="1">HYPERLINK("[NOTA_.xlsx]NOTA!A"&amp;MATCH(ATALI[[#This Row],[ID]],NOTA[ID],0)+2,IF(ATALI[[#This Row],[//PAJAK]]="","",MATCH(ATALI[[#This Row],[ID]],NOTA[ID],0)+2))</f>
        <v/>
      </c>
      <c r="B6" s="4" t="str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HYPERLINK("[NOTA_.xlsx]PAJAK!b"&amp;ATALI[[#This Row],[//PAJAK]],IF(ATALI[[#This Row],[//PAJAK]]="","",INDEX(INDIRECT("PAJAK["&amp;ATALI[#Headers]&amp;"]"),ATALI[[#This Row],[//PAJAK]]-1)))</f>
        <v/>
      </c>
      <c r="D6" t="str">
        <f ca="1">IF(ATALI[[#This Row],[//PAJAK]]="","",INDEX(INDIRECT("PAJAK["&amp;ATALI[#Headers]&amp;"]"),ATALI[[#This Row],[//PAJAK]]-1))</f>
        <v/>
      </c>
      <c r="E6" s="2" t="str">
        <f ca="1">IF(ATALI[[#This Row],[//PAJAK]]="","",INDEX(INDIRECT("PAJAK["&amp;ATALI[#Headers]&amp;"]"),ATALI[[#This Row],[//PAJAK]]-1))</f>
        <v/>
      </c>
      <c r="F6" s="2" t="str">
        <f ca="1">IF(ATALI[[#This Row],[//PAJAK]]="","",INDEX(INDIRECT("PAJAK["&amp;ATALI[#Headers]&amp;"]"),ATALI[[#This Row],[//PAJAK]]-1))</f>
        <v/>
      </c>
      <c r="G6" s="4" t="str">
        <f ca="1">IF(ATALI[[#This Row],[//PAJAK]]="","",INDEX(INDIRECT("PAJAK["&amp;ATALI[#Headers]&amp;"]"),ATALI[[#This Row],[//PAJAK]]-1))</f>
        <v/>
      </c>
      <c r="H6" t="str">
        <f ca="1">IF(ATALI[[#This Row],[//PAJAK]]="","",INDEX(INDIRECT("PAJAK["&amp;ATALI[#Headers]&amp;"]"),ATALI[[#This Row],[//PAJAK]]-1))</f>
        <v/>
      </c>
      <c r="I6" s="1" t="str">
        <f ca="1">IF(ATALI[[#This Row],[//PAJAK]]="","",INDEX(PAJAK[SUB T-DISC],ATALI[[#This Row],[//PAJAK]]-1))</f>
        <v/>
      </c>
      <c r="J6" s="1" t="str">
        <f ca="1">IF(ATALI[[#This Row],[//PAJAK]]="","",INDEX(PAJAK[DISC DLL],ATALI[[#This Row],[//PAJAK]]-1))</f>
        <v/>
      </c>
      <c r="K6" s="1" t="e">
        <f ca="1">(ATALI[[#This Row],[SUB TOTAL]]-ATALI[[#This Row],[DISKON]])/1.11</f>
        <v>#VALUE!</v>
      </c>
      <c r="L6" s="1" t="e">
        <f ca="1">ATALI[[#This Row],[DPP]]*11%</f>
        <v>#VALUE!</v>
      </c>
      <c r="M6" s="1" t="e">
        <f ca="1">ATALI[[#This Row],[DPP]]+ATALI[[#This Row],[PPN (11%)]]</f>
        <v>#VALUE!</v>
      </c>
    </row>
    <row r="7" spans="1:13">
      <c r="A7" s="10" t="str">
        <f ca="1">HYPERLINK("[NOTA_.xlsx]NOTA!A"&amp;MATCH(ATALI[[#This Row],[ID]],NOTA[ID],0)+2,IF(ATALI[[#This Row],[//PAJAK]]="","",MATCH(ATALI[[#This Row],[ID]],NOTA[ID],0)+2))</f>
        <v/>
      </c>
      <c r="B7" s="4" t="str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HYPERLINK("[NOTA_.xlsx]PAJAK!b"&amp;ATALI[[#This Row],[//PAJAK]],IF(ATALI[[#This Row],[//PAJAK]]="","",INDEX(INDIRECT("PAJAK["&amp;ATALI[#Headers]&amp;"]"),ATALI[[#This Row],[//PAJAK]]-1)))</f>
        <v/>
      </c>
      <c r="D7" t="str">
        <f ca="1">IF(ATALI[[#This Row],[//PAJAK]]="","",INDEX(INDIRECT("PAJAK["&amp;ATALI[#Headers]&amp;"]"),ATALI[[#This Row],[//PAJAK]]-1))</f>
        <v/>
      </c>
      <c r="E7" s="2" t="str">
        <f ca="1">IF(ATALI[[#This Row],[//PAJAK]]="","",INDEX(INDIRECT("PAJAK["&amp;ATALI[#Headers]&amp;"]"),ATALI[[#This Row],[//PAJAK]]-1))</f>
        <v/>
      </c>
      <c r="F7" s="2" t="str">
        <f ca="1">IF(ATALI[[#This Row],[//PAJAK]]="","",INDEX(INDIRECT("PAJAK["&amp;ATALI[#Headers]&amp;"]"),ATALI[[#This Row],[//PAJAK]]-1))</f>
        <v/>
      </c>
      <c r="G7" s="4" t="str">
        <f ca="1">IF(ATALI[[#This Row],[//PAJAK]]="","",INDEX(INDIRECT("PAJAK["&amp;ATALI[#Headers]&amp;"]"),ATALI[[#This Row],[//PAJAK]]-1))</f>
        <v/>
      </c>
      <c r="H7" t="str">
        <f ca="1">IF(ATALI[[#This Row],[//PAJAK]]="","",INDEX(INDIRECT("PAJAK["&amp;ATALI[#Headers]&amp;"]"),ATALI[[#This Row],[//PAJAK]]-1))</f>
        <v/>
      </c>
      <c r="I7" s="1" t="str">
        <f ca="1">IF(ATALI[[#This Row],[//PAJAK]]="","",INDEX(PAJAK[SUB T-DISC],ATALI[[#This Row],[//PAJAK]]-1))</f>
        <v/>
      </c>
      <c r="J7" s="1" t="str">
        <f ca="1">IF(ATALI[[#This Row],[//PAJAK]]="","",INDEX(PAJAK[DISC DLL],ATALI[[#This Row],[//PAJAK]]-1))</f>
        <v/>
      </c>
      <c r="K7" s="1" t="e">
        <f ca="1">(ATALI[[#This Row],[SUB TOTAL]]-ATALI[[#This Row],[DISKON]])/1.11</f>
        <v>#VALUE!</v>
      </c>
      <c r="L7" s="1" t="e">
        <f ca="1">ATALI[[#This Row],[DPP]]*11%</f>
        <v>#VALUE!</v>
      </c>
      <c r="M7" s="1" t="e">
        <f ca="1">ATALI[[#This Row],[DPP]]+ATALI[[#This Row],[PPN (11%)]]</f>
        <v>#VALUE!</v>
      </c>
    </row>
    <row r="8" spans="1:13">
      <c r="A8" s="10" t="str">
        <f ca="1">HYPERLINK("[NOTA_.xlsx]NOTA!A"&amp;MATCH(ATALI[[#This Row],[ID]],NOTA[ID],0)+2,IF(ATALI[[#This Row],[//PAJAK]]="","",MATCH(ATALI[[#This Row],[ID]],NOTA[ID],0)+2))</f>
        <v/>
      </c>
      <c r="B8" s="4" t="str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HYPERLINK("[NOTA_.xlsx]PAJAK!b"&amp;ATALI[[#This Row],[//PAJAK]],IF(ATALI[[#This Row],[//PAJAK]]="","",INDEX(INDIRECT("PAJAK["&amp;ATALI[#Headers]&amp;"]"),ATALI[[#This Row],[//PAJAK]]-1)))</f>
        <v/>
      </c>
      <c r="D8" t="str">
        <f ca="1">IF(ATALI[[#This Row],[//PAJAK]]="","",INDEX(INDIRECT("PAJAK["&amp;ATALI[#Headers]&amp;"]"),ATALI[[#This Row],[//PAJAK]]-1))</f>
        <v/>
      </c>
      <c r="E8" s="2" t="str">
        <f ca="1">IF(ATALI[[#This Row],[//PAJAK]]="","",INDEX(INDIRECT("PAJAK["&amp;ATALI[#Headers]&amp;"]"),ATALI[[#This Row],[//PAJAK]]-1))</f>
        <v/>
      </c>
      <c r="F8" s="2" t="str">
        <f ca="1">IF(ATALI[[#This Row],[//PAJAK]]="","",INDEX(INDIRECT("PAJAK["&amp;ATALI[#Headers]&amp;"]"),ATALI[[#This Row],[//PAJAK]]-1))</f>
        <v/>
      </c>
      <c r="G8" s="4" t="str">
        <f ca="1">IF(ATALI[[#This Row],[//PAJAK]]="","",INDEX(INDIRECT("PAJAK["&amp;ATALI[#Headers]&amp;"]"),ATALI[[#This Row],[//PAJAK]]-1))</f>
        <v/>
      </c>
      <c r="H8" t="str">
        <f ca="1">IF(ATALI[[#This Row],[//PAJAK]]="","",INDEX(INDIRECT("PAJAK["&amp;ATALI[#Headers]&amp;"]"),ATALI[[#This Row],[//PAJAK]]-1))</f>
        <v/>
      </c>
      <c r="I8" s="1" t="str">
        <f ca="1">IF(ATALI[[#This Row],[//PAJAK]]="","",INDEX(PAJAK[SUB T-DISC],ATALI[[#This Row],[//PAJAK]]-1))</f>
        <v/>
      </c>
      <c r="J8" s="1" t="str">
        <f ca="1">IF(ATALI[[#This Row],[//PAJAK]]="","",INDEX(PAJAK[DISC DLL],ATALI[[#This Row],[//PAJAK]]-1))</f>
        <v/>
      </c>
      <c r="K8" s="1" t="e">
        <f ca="1">(ATALI[[#This Row],[SUB TOTAL]]-ATALI[[#This Row],[DISKON]])/1.11</f>
        <v>#VALUE!</v>
      </c>
      <c r="L8" s="1" t="e">
        <f ca="1">ATALI[[#This Row],[DPP]]*11%</f>
        <v>#VALUE!</v>
      </c>
      <c r="M8" s="1" t="e">
        <f ca="1">ATALI[[#This Row],[DPP]]+ATALI[[#This Row],[PPN (11%)]]</f>
        <v>#VALUE!</v>
      </c>
    </row>
    <row r="9" spans="1:13">
      <c r="A9" s="10" t="str">
        <f ca="1">HYPERLINK("[NOTA_.xlsx]NOTA!A"&amp;MATCH(ATALI[[#This Row],[ID]],NOTA[ID],0)+2,IF(ATALI[[#This Row],[//PAJAK]]="","",MATCH(ATALI[[#This Row],[ID]],NOTA[ID],0)+2))</f>
        <v/>
      </c>
      <c r="B9" s="4" t="str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HYPERLINK("[NOTA_.xlsx]PAJAK!b"&amp;ATALI[[#This Row],[//PAJAK]],IF(ATALI[[#This Row],[//PAJAK]]="","",INDEX(INDIRECT("PAJAK["&amp;ATALI[#Headers]&amp;"]"),ATALI[[#This Row],[//PAJAK]]-1)))</f>
        <v/>
      </c>
      <c r="D9" t="str">
        <f ca="1">IF(ATALI[[#This Row],[//PAJAK]]="","",INDEX(INDIRECT("PAJAK["&amp;ATALI[#Headers]&amp;"]"),ATALI[[#This Row],[//PAJAK]]-1))</f>
        <v/>
      </c>
      <c r="E9" s="2" t="str">
        <f ca="1">IF(ATALI[[#This Row],[//PAJAK]]="","",INDEX(INDIRECT("PAJAK["&amp;ATALI[#Headers]&amp;"]"),ATALI[[#This Row],[//PAJAK]]-1))</f>
        <v/>
      </c>
      <c r="F9" s="2" t="str">
        <f ca="1">IF(ATALI[[#This Row],[//PAJAK]]="","",INDEX(INDIRECT("PAJAK["&amp;ATALI[#Headers]&amp;"]"),ATALI[[#This Row],[//PAJAK]]-1))</f>
        <v/>
      </c>
      <c r="G9" s="4" t="str">
        <f ca="1">IF(ATALI[[#This Row],[//PAJAK]]="","",INDEX(INDIRECT("PAJAK["&amp;ATALI[#Headers]&amp;"]"),ATALI[[#This Row],[//PAJAK]]-1))</f>
        <v/>
      </c>
      <c r="H9" t="str">
        <f ca="1">IF(ATALI[[#This Row],[//PAJAK]]="","",INDEX(INDIRECT("PAJAK["&amp;ATALI[#Headers]&amp;"]"),ATALI[[#This Row],[//PAJAK]]-1))</f>
        <v/>
      </c>
      <c r="I9" s="1" t="str">
        <f ca="1">IF(ATALI[[#This Row],[//PAJAK]]="","",INDEX(PAJAK[SUB T-DISC],ATALI[[#This Row],[//PAJAK]]-1))</f>
        <v/>
      </c>
      <c r="J9" s="1" t="str">
        <f ca="1">IF(ATALI[[#This Row],[//PAJAK]]="","",INDEX(PAJAK[DISC DLL],ATALI[[#This Row],[//PAJAK]]-1))</f>
        <v/>
      </c>
      <c r="K9" s="1" t="e">
        <f ca="1">(ATALI[[#This Row],[SUB TOTAL]]-ATALI[[#This Row],[DISKON]])/1.11</f>
        <v>#VALUE!</v>
      </c>
      <c r="L9" s="1" t="e">
        <f ca="1">ATALI[[#This Row],[DPP]]*11%</f>
        <v>#VALUE!</v>
      </c>
      <c r="M9" s="1" t="e">
        <f ca="1">ATALI[[#This Row],[DPP]]+ATALI[[#This Row],[PPN (11%)]]</f>
        <v>#VALUE!</v>
      </c>
    </row>
    <row r="10" spans="1:13">
      <c r="A10" s="10" t="str">
        <f ca="1">HYPERLINK("[NOTA_.xlsx]NOTA!A"&amp;MATCH(ATALI[[#This Row],[ID]],NOTA[ID],0)+2,IF(ATALI[[#This Row],[//PAJAK]]="","",MATCH(ATALI[[#This Row],[ID]],NOTA[ID],0)+2))</f>
        <v/>
      </c>
      <c r="B10" s="4" t="str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HYPERLINK("[NOTA_.xlsx]PAJAK!b"&amp;ATALI[[#This Row],[//PAJAK]],IF(ATALI[[#This Row],[//PAJAK]]="","",INDEX(INDIRECT("PAJAK["&amp;ATALI[#Headers]&amp;"]"),ATALI[[#This Row],[//PAJAK]]-1)))</f>
        <v/>
      </c>
      <c r="D10" t="str">
        <f ca="1">IF(ATALI[[#This Row],[//PAJAK]]="","",INDEX(INDIRECT("PAJAK["&amp;ATALI[#Headers]&amp;"]"),ATALI[[#This Row],[//PAJAK]]-1))</f>
        <v/>
      </c>
      <c r="E10" s="2" t="str">
        <f ca="1">IF(ATALI[[#This Row],[//PAJAK]]="","",INDEX(INDIRECT("PAJAK["&amp;ATALI[#Headers]&amp;"]"),ATALI[[#This Row],[//PAJAK]]-1))</f>
        <v/>
      </c>
      <c r="F10" s="2" t="str">
        <f ca="1">IF(ATALI[[#This Row],[//PAJAK]]="","",INDEX(INDIRECT("PAJAK["&amp;ATALI[#Headers]&amp;"]"),ATALI[[#This Row],[//PAJAK]]-1))</f>
        <v/>
      </c>
      <c r="G10" s="4" t="str">
        <f ca="1">IF(ATALI[[#This Row],[//PAJAK]]="","",INDEX(INDIRECT("PAJAK["&amp;ATALI[#Headers]&amp;"]"),ATALI[[#This Row],[//PAJAK]]-1))</f>
        <v/>
      </c>
      <c r="H10" t="str">
        <f ca="1">IF(ATALI[[#This Row],[//PAJAK]]="","",INDEX(INDIRECT("PAJAK["&amp;ATALI[#Headers]&amp;"]"),ATALI[[#This Row],[//PAJAK]]-1))</f>
        <v/>
      </c>
      <c r="I10" s="1" t="str">
        <f ca="1">IF(ATALI[[#This Row],[//PAJAK]]="","",INDEX(PAJAK[SUB T-DISC],ATALI[[#This Row],[//PAJAK]]-1))</f>
        <v/>
      </c>
      <c r="J10" s="1" t="str">
        <f ca="1">IF(ATALI[[#This Row],[//PAJAK]]="","",INDEX(PAJAK[DISC DLL],ATALI[[#This Row],[//PAJAK]]-1))</f>
        <v/>
      </c>
      <c r="K10" s="1" t="e">
        <f ca="1">(ATALI[[#This Row],[SUB TOTAL]]-ATALI[[#This Row],[DISKON]])/1.11</f>
        <v>#VALUE!</v>
      </c>
      <c r="L10" s="1" t="e">
        <f ca="1">ATALI[[#This Row],[DPP]]*11%</f>
        <v>#VALUE!</v>
      </c>
      <c r="M10" s="1" t="e">
        <f ca="1">ATALI[[#This Row],[DPP]]+ATALI[[#This Row],[PPN (11%)]]</f>
        <v>#VALUE!</v>
      </c>
    </row>
    <row r="11" spans="1:13">
      <c r="A11" s="10" t="str">
        <f ca="1">HYPERLINK("[NOTA_.xlsx]NOTA!A"&amp;MATCH(ATALI[[#This Row],[ID]],NOTA[ID],0)+2,IF(ATALI[[#This Row],[//PAJAK]]="","",MATCH(ATALI[[#This Row],[ID]],NOTA[ID],0)+2))</f>
        <v/>
      </c>
      <c r="B11" s="4" t="str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HYPERLINK("[NOTA_.xlsx]PAJAK!b"&amp;ATALI[[#This Row],[//PAJAK]],IF(ATALI[[#This Row],[//PAJAK]]="","",INDEX(INDIRECT("PAJAK["&amp;ATALI[#Headers]&amp;"]"),ATALI[[#This Row],[//PAJAK]]-1)))</f>
        <v/>
      </c>
      <c r="D11" t="str">
        <f ca="1">IF(ATALI[[#This Row],[//PAJAK]]="","",INDEX(INDIRECT("PAJAK["&amp;ATALI[#Headers]&amp;"]"),ATALI[[#This Row],[//PAJAK]]-1))</f>
        <v/>
      </c>
      <c r="E11" s="2" t="str">
        <f ca="1">IF(ATALI[[#This Row],[//PAJAK]]="","",INDEX(INDIRECT("PAJAK["&amp;ATALI[#Headers]&amp;"]"),ATALI[[#This Row],[//PAJAK]]-1))</f>
        <v/>
      </c>
      <c r="F11" s="2" t="str">
        <f ca="1">IF(ATALI[[#This Row],[//PAJAK]]="","",INDEX(INDIRECT("PAJAK["&amp;ATALI[#Headers]&amp;"]"),ATALI[[#This Row],[//PAJAK]]-1))</f>
        <v/>
      </c>
      <c r="G11" s="4" t="str">
        <f ca="1">IF(ATALI[[#This Row],[//PAJAK]]="","",INDEX(INDIRECT("PAJAK["&amp;ATALI[#Headers]&amp;"]"),ATALI[[#This Row],[//PAJAK]]-1))</f>
        <v/>
      </c>
      <c r="H11" t="str">
        <f ca="1">IF(ATALI[[#This Row],[//PAJAK]]="","",INDEX(INDIRECT("PAJAK["&amp;ATALI[#Headers]&amp;"]"),ATALI[[#This Row],[//PAJAK]]-1))</f>
        <v/>
      </c>
      <c r="I11" s="1" t="str">
        <f ca="1">IF(ATALI[[#This Row],[//PAJAK]]="","",INDEX(PAJAK[SUB T-DISC],ATALI[[#This Row],[//PAJAK]]-1))</f>
        <v/>
      </c>
      <c r="J11" s="1" t="str">
        <f ca="1">IF(ATALI[[#This Row],[//PAJAK]]="","",INDEX(PAJAK[DISC DLL],ATALI[[#This Row],[//PAJAK]]-1))</f>
        <v/>
      </c>
      <c r="K11" s="1" t="e">
        <f ca="1">(ATALI[[#This Row],[SUB TOTAL]]-ATALI[[#This Row],[DISKON]])/1.11</f>
        <v>#VALUE!</v>
      </c>
      <c r="L11" s="1" t="e">
        <f ca="1">ATALI[[#This Row],[DPP]]*11%</f>
        <v>#VALUE!</v>
      </c>
      <c r="M11" s="1" t="e">
        <f ca="1">ATALI[[#This Row],[DPP]]+ATALI[[#This Row],[PPN (11%)]]</f>
        <v>#VALUE!</v>
      </c>
    </row>
    <row r="12" spans="1:13">
      <c r="A12" s="10" t="str">
        <f ca="1">HYPERLINK("[NOTA_.xlsx]NOTA!A"&amp;MATCH(ATALI[[#This Row],[ID]],NOTA[ID],0)+2,IF(ATALI[[#This Row],[//PAJAK]]="","",MATCH(ATALI[[#This Row],[ID]],NOTA[ID],0)+2))</f>
        <v/>
      </c>
      <c r="B12" s="4" t="str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HYPERLINK("[NOTA_.xlsx]PAJAK!b"&amp;ATALI[[#This Row],[//PAJAK]],IF(ATALI[[#This Row],[//PAJAK]]="","",INDEX(INDIRECT("PAJAK["&amp;ATALI[#Headers]&amp;"]"),ATALI[[#This Row],[//PAJAK]]-1)))</f>
        <v/>
      </c>
      <c r="D12" t="str">
        <f ca="1">IF(ATALI[[#This Row],[//PAJAK]]="","",INDEX(INDIRECT("PAJAK["&amp;ATALI[#Headers]&amp;"]"),ATALI[[#This Row],[//PAJAK]]-1))</f>
        <v/>
      </c>
      <c r="E12" s="2" t="str">
        <f ca="1">IF(ATALI[[#This Row],[//PAJAK]]="","",INDEX(INDIRECT("PAJAK["&amp;ATALI[#Headers]&amp;"]"),ATALI[[#This Row],[//PAJAK]]-1))</f>
        <v/>
      </c>
      <c r="F12" s="2" t="str">
        <f ca="1">IF(ATALI[[#This Row],[//PAJAK]]="","",INDEX(INDIRECT("PAJAK["&amp;ATALI[#Headers]&amp;"]"),ATALI[[#This Row],[//PAJAK]]-1))</f>
        <v/>
      </c>
      <c r="G12" s="4" t="str">
        <f ca="1">IF(ATALI[[#This Row],[//PAJAK]]="","",INDEX(INDIRECT("PAJAK["&amp;ATALI[#Headers]&amp;"]"),ATALI[[#This Row],[//PAJAK]]-1))</f>
        <v/>
      </c>
      <c r="H12" t="str">
        <f ca="1">IF(ATALI[[#This Row],[//PAJAK]]="","",INDEX(INDIRECT("PAJAK["&amp;ATALI[#Headers]&amp;"]"),ATALI[[#This Row],[//PAJAK]]-1))</f>
        <v/>
      </c>
      <c r="I12" s="1" t="str">
        <f ca="1">IF(ATALI[[#This Row],[//PAJAK]]="","",INDEX(PAJAK[SUB T-DISC],ATALI[[#This Row],[//PAJAK]]-1))</f>
        <v/>
      </c>
      <c r="J12" s="1" t="str">
        <f ca="1">IF(ATALI[[#This Row],[//PAJAK]]="","",INDEX(PAJAK[DISC DLL],ATALI[[#This Row],[//PAJAK]]-1))</f>
        <v/>
      </c>
      <c r="K12" s="1" t="e">
        <f ca="1">(ATALI[[#This Row],[SUB TOTAL]]-ATALI[[#This Row],[DISKON]])/1.11</f>
        <v>#VALUE!</v>
      </c>
      <c r="L12" s="1" t="e">
        <f ca="1">ATALI[[#This Row],[DPP]]*11%</f>
        <v>#VALUE!</v>
      </c>
      <c r="M12" s="1" t="e">
        <f ca="1">ATALI[[#This Row],[DPP]]+ATALI[[#This Row],[PPN (11%)]]</f>
        <v>#VALUE!</v>
      </c>
    </row>
    <row r="13" spans="1:13">
      <c r="A13" s="10" t="str">
        <f ca="1">HYPERLINK("[NOTA_.xlsx]NOTA!A"&amp;MATCH(ATALI[[#This Row],[ID]],NOTA[ID],0)+2,IF(ATALI[[#This Row],[//PAJAK]]="","",MATCH(ATALI[[#This Row],[ID]],NOTA[ID],0)+2))</f>
        <v/>
      </c>
      <c r="B13" s="4" t="str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HYPERLINK("[NOTA_.xlsx]PAJAK!b"&amp;ATALI[[#This Row],[//PAJAK]],IF(ATALI[[#This Row],[//PAJAK]]="","",INDEX(INDIRECT("PAJAK["&amp;ATALI[#Headers]&amp;"]"),ATALI[[#This Row],[//PAJAK]]-1)))</f>
        <v/>
      </c>
      <c r="D13" t="str">
        <f ca="1">IF(ATALI[[#This Row],[//PAJAK]]="","",INDEX(INDIRECT("PAJAK["&amp;ATALI[#Headers]&amp;"]"),ATALI[[#This Row],[//PAJAK]]-1))</f>
        <v/>
      </c>
      <c r="E13" s="2" t="str">
        <f ca="1">IF(ATALI[[#This Row],[//PAJAK]]="","",INDEX(INDIRECT("PAJAK["&amp;ATALI[#Headers]&amp;"]"),ATALI[[#This Row],[//PAJAK]]-1))</f>
        <v/>
      </c>
      <c r="F13" s="2" t="str">
        <f ca="1">IF(ATALI[[#This Row],[//PAJAK]]="","",INDEX(INDIRECT("PAJAK["&amp;ATALI[#Headers]&amp;"]"),ATALI[[#This Row],[//PAJAK]]-1))</f>
        <v/>
      </c>
      <c r="G13" s="4" t="str">
        <f ca="1">IF(ATALI[[#This Row],[//PAJAK]]="","",INDEX(INDIRECT("PAJAK["&amp;ATALI[#Headers]&amp;"]"),ATALI[[#This Row],[//PAJAK]]-1))</f>
        <v/>
      </c>
      <c r="H13" t="str">
        <f ca="1">IF(ATALI[[#This Row],[//PAJAK]]="","",INDEX(INDIRECT("PAJAK["&amp;ATALI[#Headers]&amp;"]"),ATALI[[#This Row],[//PAJAK]]-1))</f>
        <v/>
      </c>
      <c r="I13" s="1" t="str">
        <f ca="1">IF(ATALI[[#This Row],[//PAJAK]]="","",INDEX(PAJAK[SUB T-DISC],ATALI[[#This Row],[//PAJAK]]-1))</f>
        <v/>
      </c>
      <c r="J13" s="1" t="str">
        <f ca="1">IF(ATALI[[#This Row],[//PAJAK]]="","",INDEX(PAJAK[DISC DLL],ATALI[[#This Row],[//PAJAK]]-1))</f>
        <v/>
      </c>
      <c r="K13" s="1" t="e">
        <f ca="1">(ATALI[[#This Row],[SUB TOTAL]]-ATALI[[#This Row],[DISKON]])/1.11</f>
        <v>#VALUE!</v>
      </c>
      <c r="L13" s="1" t="e">
        <f ca="1">ATALI[[#This Row],[DPP]]*11%</f>
        <v>#VALUE!</v>
      </c>
      <c r="M13" s="1" t="e">
        <f ca="1">ATALI[[#This Row],[DPP]]+ATALI[[#This Row],[PPN (11%)]]</f>
        <v>#VALUE!</v>
      </c>
    </row>
    <row r="14" spans="1:13">
      <c r="A14" s="10" t="str">
        <f ca="1">HYPERLINK("[NOTA_.xlsx]NOTA!A"&amp;MATCH(ATALI[[#This Row],[ID]],NOTA[ID],0)+2,IF(ATALI[[#This Row],[//PAJAK]]="","",MATCH(ATALI[[#This Row],[ID]],NOTA[ID],0)+2))</f>
        <v/>
      </c>
      <c r="B14" s="4" t="str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HYPERLINK("[NOTA_.xlsx]PAJAK!b"&amp;ATALI[[#This Row],[//PAJAK]],IF(ATALI[[#This Row],[//PAJAK]]="","",INDEX(INDIRECT("PAJAK["&amp;ATALI[#Headers]&amp;"]"),ATALI[[#This Row],[//PAJAK]]-1)))</f>
        <v/>
      </c>
      <c r="D14" t="str">
        <f ca="1">IF(ATALI[[#This Row],[//PAJAK]]="","",INDEX(INDIRECT("PAJAK["&amp;ATALI[#Headers]&amp;"]"),ATALI[[#This Row],[//PAJAK]]-1))</f>
        <v/>
      </c>
      <c r="E14" s="2" t="str">
        <f ca="1">IF(ATALI[[#This Row],[//PAJAK]]="","",INDEX(INDIRECT("PAJAK["&amp;ATALI[#Headers]&amp;"]"),ATALI[[#This Row],[//PAJAK]]-1))</f>
        <v/>
      </c>
      <c r="F14" s="2" t="str">
        <f ca="1">IF(ATALI[[#This Row],[//PAJAK]]="","",INDEX(INDIRECT("PAJAK["&amp;ATALI[#Headers]&amp;"]"),ATALI[[#This Row],[//PAJAK]]-1))</f>
        <v/>
      </c>
      <c r="G14" s="4" t="str">
        <f ca="1">IF(ATALI[[#This Row],[//PAJAK]]="","",INDEX(INDIRECT("PAJAK["&amp;ATALI[#Headers]&amp;"]"),ATALI[[#This Row],[//PAJAK]]-1))</f>
        <v/>
      </c>
      <c r="H14" t="str">
        <f ca="1">IF(ATALI[[#This Row],[//PAJAK]]="","",INDEX(INDIRECT("PAJAK["&amp;ATALI[#Headers]&amp;"]"),ATALI[[#This Row],[//PAJAK]]-1))</f>
        <v/>
      </c>
      <c r="I14" s="1" t="str">
        <f ca="1">IF(ATALI[[#This Row],[//PAJAK]]="","",INDEX(PAJAK[SUB T-DISC],ATALI[[#This Row],[//PAJAK]]-1))</f>
        <v/>
      </c>
      <c r="J14" s="1" t="str">
        <f ca="1">IF(ATALI[[#This Row],[//PAJAK]]="","",INDEX(PAJAK[DISC DLL],ATALI[[#This Row],[//PAJAK]]-1))</f>
        <v/>
      </c>
      <c r="K14" s="1" t="e">
        <f ca="1">(ATALI[[#This Row],[SUB TOTAL]]-ATALI[[#This Row],[DISKON]])/1.11</f>
        <v>#VALUE!</v>
      </c>
      <c r="L14" s="1" t="e">
        <f ca="1">ATALI[[#This Row],[DPP]]*11%</f>
        <v>#VALUE!</v>
      </c>
      <c r="M14" s="1" t="e">
        <f ca="1">ATALI[[#This Row],[DPP]]+ATALI[[#This Row],[PPN (11%)]]</f>
        <v>#VALUE!</v>
      </c>
    </row>
    <row r="15" spans="1:13">
      <c r="A15" s="10" t="str">
        <f ca="1">HYPERLINK("[NOTA_.xlsx]NOTA!A"&amp;MATCH(ATALI[[#This Row],[ID]],NOTA[ID],0)+2,IF(ATALI[[#This Row],[//PAJAK]]="","",MATCH(ATALI[[#This Row],[ID]],NOTA[ID],0)+2))</f>
        <v/>
      </c>
      <c r="B15" s="4" t="str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HYPERLINK("[NOTA_.xlsx]PAJAK!b"&amp;ATALI[[#This Row],[//PAJAK]],IF(ATALI[[#This Row],[//PAJAK]]="","",INDEX(INDIRECT("PAJAK["&amp;ATALI[#Headers]&amp;"]"),ATALI[[#This Row],[//PAJAK]]-1)))</f>
        <v/>
      </c>
      <c r="D15" t="str">
        <f ca="1">IF(ATALI[[#This Row],[//PAJAK]]="","",INDEX(INDIRECT("PAJAK["&amp;ATALI[#Headers]&amp;"]"),ATALI[[#This Row],[//PAJAK]]-1))</f>
        <v/>
      </c>
      <c r="E15" s="2" t="str">
        <f ca="1">IF(ATALI[[#This Row],[//PAJAK]]="","",INDEX(INDIRECT("PAJAK["&amp;ATALI[#Headers]&amp;"]"),ATALI[[#This Row],[//PAJAK]]-1))</f>
        <v/>
      </c>
      <c r="F15" s="2" t="str">
        <f ca="1">IF(ATALI[[#This Row],[//PAJAK]]="","",INDEX(INDIRECT("PAJAK["&amp;ATALI[#Headers]&amp;"]"),ATALI[[#This Row],[//PAJAK]]-1))</f>
        <v/>
      </c>
      <c r="G15" s="4" t="str">
        <f ca="1">IF(ATALI[[#This Row],[//PAJAK]]="","",INDEX(INDIRECT("PAJAK["&amp;ATALI[#Headers]&amp;"]"),ATALI[[#This Row],[//PAJAK]]-1))</f>
        <v/>
      </c>
      <c r="H15" t="str">
        <f ca="1">IF(ATALI[[#This Row],[//PAJAK]]="","",INDEX(INDIRECT("PAJAK["&amp;ATALI[#Headers]&amp;"]"),ATALI[[#This Row],[//PAJAK]]-1))</f>
        <v/>
      </c>
      <c r="I15" s="1" t="str">
        <f ca="1">IF(ATALI[[#This Row],[//PAJAK]]="","",INDEX(PAJAK[SUB T-DISC],ATALI[[#This Row],[//PAJAK]]-1))</f>
        <v/>
      </c>
      <c r="J15" s="1" t="str">
        <f ca="1">IF(ATALI[[#This Row],[//PAJAK]]="","",INDEX(PAJAK[DISC DLL],ATALI[[#This Row],[//PAJAK]]-1))</f>
        <v/>
      </c>
      <c r="K15" s="1" t="e">
        <f ca="1">(ATALI[[#This Row],[SUB TOTAL]]-ATALI[[#This Row],[DISKON]])/1.11</f>
        <v>#VALUE!</v>
      </c>
      <c r="L15" s="1" t="e">
        <f ca="1">ATALI[[#This Row],[DPP]]*11%</f>
        <v>#VALUE!</v>
      </c>
      <c r="M15" s="1" t="e">
        <f ca="1">ATALI[[#This Row],[DPP]]+ATALI[[#This Row],[PPN (11%)]]</f>
        <v>#VALUE!</v>
      </c>
    </row>
    <row r="16" spans="1:13">
      <c r="A16" s="10" t="str">
        <f ca="1">HYPERLINK("[NOTA_.xlsx]NOTA!A"&amp;MATCH(ATALI[[#This Row],[ID]],NOTA[ID],0)+2,IF(ATALI[[#This Row],[//PAJAK]]="","",MATCH(ATALI[[#This Row],[ID]],NOTA[ID],0)+2))</f>
        <v/>
      </c>
      <c r="B16" s="4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HYPERLINK("[NOTA_.xlsx]PAJAK!b"&amp;ATALI[[#This Row],[//PAJAK]],IF(ATALI[[#This Row],[//PAJAK]]="","",INDEX(INDIRECT("PAJAK["&amp;ATALI[#Headers]&amp;"]"),ATALI[[#This Row],[//PAJAK]]-1)))</f>
        <v/>
      </c>
      <c r="D16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4" t="str">
        <f ca="1">IF(ATALI[[#This Row],[//PAJAK]]="","",INDEX(INDIRECT("PAJAK["&amp;ATALI[#Headers]&amp;"]"),ATALI[[#This Row],[//PAJAK]]-1))</f>
        <v/>
      </c>
      <c r="H16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>
      <c r="A17" s="10" t="str">
        <f ca="1">HYPERLINK("[NOTA_.xlsx]NOTA!A"&amp;MATCH(ATALI[[#This Row],[ID]],NOTA[ID],0)+2,IF(ATALI[[#This Row],[//PAJAK]]="","",MATCH(ATALI[[#This Row],[ID]],NOTA[ID],0)+2))</f>
        <v/>
      </c>
      <c r="B17" s="4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HYPERLINK("[NOTA_.xlsx]PAJAK!b"&amp;ATALI[[#This Row],[//PAJAK]],IF(ATALI[[#This Row],[//PAJAK]]="","",INDEX(INDIRECT("PAJAK["&amp;ATALI[#Headers]&amp;"]"),ATALI[[#This Row],[//PAJAK]]-1)))</f>
        <v/>
      </c>
      <c r="D17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4" t="str">
        <f ca="1">IF(ATALI[[#This Row],[//PAJAK]]="","",INDEX(INDIRECT("PAJAK["&amp;ATALI[#Headers]&amp;"]"),ATALI[[#This Row],[//PAJAK]]-1))</f>
        <v/>
      </c>
      <c r="H17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>
      <c r="A18" s="10" t="str">
        <f ca="1">HYPERLINK("[NOTA_.xlsx]NOTA!A"&amp;MATCH(ATALI[[#This Row],[ID]],NOTA[ID],0)+2,IF(ATALI[[#This Row],[//PAJAK]]="","",MATCH(ATALI[[#This Row],[ID]],NOTA[ID],0)+2))</f>
        <v/>
      </c>
      <c r="B18" s="4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HYPERLINK("[NOTA_.xlsx]PAJAK!b"&amp;ATALI[[#This Row],[//PAJAK]],IF(ATALI[[#This Row],[//PAJAK]]="","",INDEX(INDIRECT("PAJAK["&amp;ATALI[#Headers]&amp;"]"),ATALI[[#This Row],[//PAJAK]]-1)))</f>
        <v/>
      </c>
      <c r="D18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4" t="str">
        <f ca="1">IF(ATALI[[#This Row],[//PAJAK]]="","",INDEX(INDIRECT("PAJAK["&amp;ATALI[#Headers]&amp;"]"),ATALI[[#This Row],[//PAJAK]]-1))</f>
        <v/>
      </c>
      <c r="H18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>
      <c r="A19" s="10" t="str">
        <f ca="1">HYPERLINK("[NOTA_.xlsx]NOTA!A"&amp;MATCH(ATALI[[#This Row],[ID]],NOTA[ID],0)+2,IF(ATALI[[#This Row],[//PAJAK]]="","",MATCH(ATALI[[#This Row],[ID]],NOTA[ID],0)+2))</f>
        <v/>
      </c>
      <c r="B19" s="4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HYPERLINK("[NOTA_.xlsx]PAJAK!b"&amp;ATALI[[#This Row],[//PAJAK]],IF(ATALI[[#This Row],[//PAJAK]]="","",INDEX(INDIRECT("PAJAK["&amp;ATALI[#Headers]&amp;"]"),ATALI[[#This Row],[//PAJAK]]-1)))</f>
        <v/>
      </c>
      <c r="D19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4" t="str">
        <f ca="1">IF(ATALI[[#This Row],[//PAJAK]]="","",INDEX(INDIRECT("PAJAK["&amp;ATALI[#Headers]&amp;"]"),ATALI[[#This Row],[//PAJAK]]-1))</f>
        <v/>
      </c>
      <c r="H19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>
      <c r="A20" s="10" t="str">
        <f ca="1">HYPERLINK("[NOTA_.xlsx]NOTA!A"&amp;MATCH(ATALI[[#This Row],[ID]],NOTA[ID],0)+2,IF(ATALI[[#This Row],[//PAJAK]]="","",MATCH(ATALI[[#This Row],[ID]],NOTA[ID],0)+2))</f>
        <v/>
      </c>
      <c r="B20" s="4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HYPERLINK("[NOTA_.xlsx]PAJAK!b"&amp;ATALI[[#This Row],[//PAJAK]],IF(ATALI[[#This Row],[//PAJAK]]="","",INDEX(INDIRECT("PAJAK["&amp;ATALI[#Headers]&amp;"]"),ATALI[[#This Row],[//PAJAK]]-1)))</f>
        <v/>
      </c>
      <c r="D20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4" t="str">
        <f ca="1">IF(ATALI[[#This Row],[//PAJAK]]="","",INDEX(INDIRECT("PAJAK["&amp;ATALI[#Headers]&amp;"]"),ATALI[[#This Row],[//PAJAK]]-1))</f>
        <v/>
      </c>
      <c r="H20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>
      <c r="A21" s="10" t="str">
        <f ca="1">HYPERLINK("[NOTA_.xlsx]NOTA!A"&amp;MATCH(ATALI[[#This Row],[ID]],NOTA[ID],0)+2,IF(ATALI[[#This Row],[//PAJAK]]="","",MATCH(ATALI[[#This Row],[ID]],NOTA[ID],0)+2))</f>
        <v/>
      </c>
      <c r="B21" s="4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HYPERLINK("[NOTA_.xlsx]PAJAK!b"&amp;ATALI[[#This Row],[//PAJAK]],IF(ATALI[[#This Row],[//PAJAK]]="","",INDEX(INDIRECT("PAJAK["&amp;ATALI[#Headers]&amp;"]"),ATALI[[#This Row],[//PAJAK]]-1)))</f>
        <v/>
      </c>
      <c r="D21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4" t="str">
        <f ca="1">IF(ATALI[[#This Row],[//PAJAK]]="","",INDEX(INDIRECT("PAJAK["&amp;ATALI[#Headers]&amp;"]"),ATALI[[#This Row],[//PAJAK]]-1))</f>
        <v/>
      </c>
      <c r="H21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>
      <c r="A22" s="10" t="str">
        <f ca="1">HYPERLINK("[NOTA_.xlsx]NOTA!A"&amp;MATCH(ATALI[[#This Row],[ID]],NOTA[ID],0)+2,IF(ATALI[[#This Row],[//PAJAK]]="","",MATCH(ATALI[[#This Row],[ID]],NOTA[ID],0)+2))</f>
        <v/>
      </c>
      <c r="B22" s="4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HYPERLINK("[NOTA_.xlsx]PAJAK!b"&amp;ATALI[[#This Row],[//PAJAK]],IF(ATALI[[#This Row],[//PAJAK]]="","",INDEX(INDIRECT("PAJAK["&amp;ATALI[#Headers]&amp;"]"),ATALI[[#This Row],[//PAJAK]]-1)))</f>
        <v/>
      </c>
      <c r="D22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4" t="str">
        <f ca="1">IF(ATALI[[#This Row],[//PAJAK]]="","",INDEX(INDIRECT("PAJAK["&amp;ATALI[#Headers]&amp;"]"),ATALI[[#This Row],[//PAJAK]]-1))</f>
        <v/>
      </c>
      <c r="H22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>
      <c r="A23" s="10" t="str">
        <f ca="1">HYPERLINK("[NOTA_.xlsx]NOTA!A"&amp;MATCH(ATALI[[#This Row],[ID]],NOTA[ID],0)+2,IF(ATALI[[#This Row],[//PAJAK]]="","",MATCH(ATALI[[#This Row],[ID]],NOTA[ID],0)+2))</f>
        <v/>
      </c>
      <c r="B23" s="4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HYPERLINK("[NOTA_.xlsx]PAJAK!b"&amp;ATALI[[#This Row],[//PAJAK]],IF(ATALI[[#This Row],[//PAJAK]]="","",INDEX(INDIRECT("PAJAK["&amp;ATALI[#Headers]&amp;"]"),ATALI[[#This Row],[//PAJAK]]-1)))</f>
        <v/>
      </c>
      <c r="D2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4" t="str">
        <f ca="1">IF(ATALI[[#This Row],[//PAJAK]]="","",INDEX(INDIRECT("PAJAK["&amp;ATALI[#Headers]&amp;"]"),ATALI[[#This Row],[//PAJAK]]-1))</f>
        <v/>
      </c>
      <c r="H2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>
      <c r="A24" s="10" t="str">
        <f ca="1">HYPERLINK("[NOTA_.xlsx]NOTA!A"&amp;MATCH(ATALI[[#This Row],[ID]],NOTA[ID],0)+2,IF(ATALI[[#This Row],[//PAJAK]]="","",MATCH(ATALI[[#This Row],[ID]],NOTA[ID],0)+2))</f>
        <v/>
      </c>
      <c r="B24" s="4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HYPERLINK("[NOTA_.xlsx]PAJAK!b"&amp;ATALI[[#This Row],[//PAJAK]],IF(ATALI[[#This Row],[//PAJAK]]="","",INDEX(INDIRECT("PAJAK["&amp;ATALI[#Headers]&amp;"]"),ATALI[[#This Row],[//PAJAK]]-1)))</f>
        <v/>
      </c>
      <c r="D24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4" t="str">
        <f ca="1">IF(ATALI[[#This Row],[//PAJAK]]="","",INDEX(INDIRECT("PAJAK["&amp;ATALI[#Headers]&amp;"]"),ATALI[[#This Row],[//PAJAK]]-1))</f>
        <v/>
      </c>
      <c r="H24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>
      <c r="A25" s="10" t="str">
        <f ca="1">HYPERLINK("[NOTA_.xlsx]NOTA!A"&amp;MATCH(ATALI[[#This Row],[ID]],NOTA[ID],0)+2,IF(ATALI[[#This Row],[//PAJAK]]="","",MATCH(ATALI[[#This Row],[ID]],NOTA[ID],0)+2))</f>
        <v/>
      </c>
      <c r="B25" s="4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HYPERLINK("[NOTA_.xlsx]PAJAK!b"&amp;ATALI[[#This Row],[//PAJAK]],IF(ATALI[[#This Row],[//PAJAK]]="","",INDEX(INDIRECT("PAJAK["&amp;ATALI[#Headers]&amp;"]"),ATALI[[#This Row],[//PAJAK]]-1)))</f>
        <v/>
      </c>
      <c r="D25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4" t="str">
        <f ca="1">IF(ATALI[[#This Row],[//PAJAK]]="","",INDEX(INDIRECT("PAJAK["&amp;ATALI[#Headers]&amp;"]"),ATALI[[#This Row],[//PAJAK]]-1))</f>
        <v/>
      </c>
      <c r="H25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>
      <c r="A26" s="10" t="str">
        <f ca="1">HYPERLINK("[NOTA_.xlsx]NOTA!A"&amp;MATCH(ATALI[[#This Row],[ID]],NOTA[ID],0)+2,IF(ATALI[[#This Row],[//PAJAK]]="","",MATCH(ATALI[[#This Row],[ID]],NOTA[ID],0)+2))</f>
        <v/>
      </c>
      <c r="B26" s="4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HYPERLINK("[NOTA_.xlsx]PAJAK!b"&amp;ATALI[[#This Row],[//PAJAK]],IF(ATALI[[#This Row],[//PAJAK]]="","",INDEX(INDIRECT("PAJAK["&amp;ATALI[#Headers]&amp;"]"),ATALI[[#This Row],[//PAJAK]]-1)))</f>
        <v/>
      </c>
      <c r="D26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4" t="str">
        <f ca="1">IF(ATALI[[#This Row],[//PAJAK]]="","",INDEX(INDIRECT("PAJAK["&amp;ATALI[#Headers]&amp;"]"),ATALI[[#This Row],[//PAJAK]]-1))</f>
        <v/>
      </c>
      <c r="H26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>
      <c r="A27" s="10" t="str">
        <f ca="1">HYPERLINK("[NOTA_.xlsx]NOTA!A"&amp;MATCH(ATALI[[#This Row],[ID]],NOTA[ID],0)+2,IF(ATALI[[#This Row],[//PAJAK]]="","",MATCH(ATALI[[#This Row],[ID]],NOTA[ID],0)+2))</f>
        <v/>
      </c>
      <c r="B27" s="4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HYPERLINK("[NOTA_.xlsx]PAJAK!b"&amp;ATALI[[#This Row],[//PAJAK]],IF(ATALI[[#This Row],[//PAJAK]]="","",INDEX(INDIRECT("PAJAK["&amp;ATALI[#Headers]&amp;"]"),ATALI[[#This Row],[//PAJAK]]-1)))</f>
        <v/>
      </c>
      <c r="D27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4" t="str">
        <f ca="1">IF(ATALI[[#This Row],[//PAJAK]]="","",INDEX(INDIRECT("PAJAK["&amp;ATALI[#Headers]&amp;"]"),ATALI[[#This Row],[//PAJAK]]-1))</f>
        <v/>
      </c>
      <c r="H27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>
      <c r="A28" s="10" t="str">
        <f ca="1">HYPERLINK("[NOTA_.xlsx]NOTA!A"&amp;MATCH(ATALI[[#This Row],[ID]],NOTA[ID],0)+2,IF(ATALI[[#This Row],[//PAJAK]]="","",MATCH(ATALI[[#This Row],[ID]],NOTA[ID],0)+2))</f>
        <v/>
      </c>
      <c r="B28" s="4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HYPERLINK("[NOTA_.xlsx]PAJAK!b"&amp;ATALI[[#This Row],[//PAJAK]],IF(ATALI[[#This Row],[//PAJAK]]="","",INDEX(INDIRECT("PAJAK["&amp;ATALI[#Headers]&amp;"]"),ATALI[[#This Row],[//PAJAK]]-1)))</f>
        <v/>
      </c>
      <c r="D28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4" t="str">
        <f ca="1">IF(ATALI[[#This Row],[//PAJAK]]="","",INDEX(INDIRECT("PAJAK["&amp;ATALI[#Headers]&amp;"]"),ATALI[[#This Row],[//PAJAK]]-1))</f>
        <v/>
      </c>
      <c r="H28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>
      <c r="A29" s="10" t="str">
        <f ca="1">HYPERLINK("[NOTA_.xlsx]NOTA!A"&amp;MATCH(ATALI[[#This Row],[ID]],NOTA[ID],0)+2,IF(ATALI[[#This Row],[//PAJAK]]="","",MATCH(ATALI[[#This Row],[ID]],NOTA[ID],0)+2))</f>
        <v/>
      </c>
      <c r="B29" s="4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HYPERLINK("[NOTA_.xlsx]PAJAK!b"&amp;ATALI[[#This Row],[//PAJAK]],IF(ATALI[[#This Row],[//PAJAK]]="","",INDEX(INDIRECT("PAJAK["&amp;ATALI[#Headers]&amp;"]"),ATALI[[#This Row],[//PAJAK]]-1)))</f>
        <v/>
      </c>
      <c r="D29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4" t="str">
        <f ca="1">IF(ATALI[[#This Row],[//PAJAK]]="","",INDEX(INDIRECT("PAJAK["&amp;ATALI[#Headers]&amp;"]"),ATALI[[#This Row],[//PAJAK]]-1))</f>
        <v/>
      </c>
      <c r="H29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>
      <c r="A30" s="10" t="str">
        <f ca="1">HYPERLINK("[NOTA_.xlsx]NOTA!A"&amp;MATCH(ATALI[[#This Row],[ID]],NOTA[ID],0)+2,IF(ATALI[[#This Row],[//PAJAK]]="","",MATCH(ATALI[[#This Row],[ID]],NOTA[ID],0)+2))</f>
        <v/>
      </c>
      <c r="B30" s="4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HYPERLINK("[NOTA_.xlsx]PAJAK!b"&amp;ATALI[[#This Row],[//PAJAK]],IF(ATALI[[#This Row],[//PAJAK]]="","",INDEX(INDIRECT("PAJAK["&amp;ATALI[#Headers]&amp;"]"),ATALI[[#This Row],[//PAJAK]]-1)))</f>
        <v/>
      </c>
      <c r="D30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4" t="str">
        <f ca="1">IF(ATALI[[#This Row],[//PAJAK]]="","",INDEX(INDIRECT("PAJAK["&amp;ATALI[#Headers]&amp;"]"),ATALI[[#This Row],[//PAJAK]]-1))</f>
        <v/>
      </c>
      <c r="H30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>
      <c r="A31" s="10" t="str">
        <f ca="1">HYPERLINK("[NOTA_.xlsx]NOTA!A"&amp;MATCH(ATALI[[#This Row],[ID]],NOTA[ID],0)+2,IF(ATALI[[#This Row],[//PAJAK]]="","",MATCH(ATALI[[#This Row],[ID]],NOTA[ID],0)+2))</f>
        <v/>
      </c>
      <c r="B31" s="4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HYPERLINK("[NOTA_.xlsx]PAJAK!b"&amp;ATALI[[#This Row],[//PAJAK]],IF(ATALI[[#This Row],[//PAJAK]]="","",INDEX(INDIRECT("PAJAK["&amp;ATALI[#Headers]&amp;"]"),ATALI[[#This Row],[//PAJAK]]-1)))</f>
        <v/>
      </c>
      <c r="D31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4" t="str">
        <f ca="1">IF(ATALI[[#This Row],[//PAJAK]]="","",INDEX(INDIRECT("PAJAK["&amp;ATALI[#Headers]&amp;"]"),ATALI[[#This Row],[//PAJAK]]-1))</f>
        <v/>
      </c>
      <c r="H31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>
      <c r="A32" s="10" t="str">
        <f ca="1">HYPERLINK("[NOTA_.xlsx]NOTA!A"&amp;MATCH(ATALI[[#This Row],[ID]],NOTA[ID],0)+2,IF(ATALI[[#This Row],[//PAJAK]]="","",MATCH(ATALI[[#This Row],[ID]],NOTA[ID],0)+2))</f>
        <v/>
      </c>
      <c r="B32" s="4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HYPERLINK("[NOTA_.xlsx]PAJAK!b"&amp;ATALI[[#This Row],[//PAJAK]],IF(ATALI[[#This Row],[//PAJAK]]="","",INDEX(INDIRECT("PAJAK["&amp;ATALI[#Headers]&amp;"]"),ATALI[[#This Row],[//PAJAK]]-1)))</f>
        <v/>
      </c>
      <c r="D32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4" t="str">
        <f ca="1">IF(ATALI[[#This Row],[//PAJAK]]="","",INDEX(INDIRECT("PAJAK["&amp;ATALI[#Headers]&amp;"]"),ATALI[[#This Row],[//PAJAK]]-1))</f>
        <v/>
      </c>
      <c r="H32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>
      <c r="A33" s="10" t="str">
        <f ca="1">HYPERLINK("[NOTA_.xlsx]NOTA!A"&amp;MATCH(ATALI[[#This Row],[ID]],NOTA[ID],0)+2,IF(ATALI[[#This Row],[//PAJAK]]="","",MATCH(ATALI[[#This Row],[ID]],NOTA[ID],0)+2))</f>
        <v/>
      </c>
      <c r="B33" s="4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HYPERLINK("[NOTA_.xlsx]PAJAK!b"&amp;ATALI[[#This Row],[//PAJAK]],IF(ATALI[[#This Row],[//PAJAK]]="","",INDEX(INDIRECT("PAJAK["&amp;ATALI[#Headers]&amp;"]"),ATALI[[#This Row],[//PAJAK]]-1)))</f>
        <v/>
      </c>
      <c r="D3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4" t="str">
        <f ca="1">IF(ATALI[[#This Row],[//PAJAK]]="","",INDEX(INDIRECT("PAJAK["&amp;ATALI[#Headers]&amp;"]"),ATALI[[#This Row],[//PAJAK]]-1))</f>
        <v/>
      </c>
      <c r="H3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>
      <c r="A34" s="10" t="str">
        <f ca="1">HYPERLINK("[NOTA_.xlsx]NOTA!A"&amp;MATCH(ATALI[[#This Row],[ID]],NOTA[ID],0)+2,IF(ATALI[[#This Row],[//PAJAK]]="","",MATCH(ATALI[[#This Row],[ID]],NOTA[ID],0)+2))</f>
        <v/>
      </c>
      <c r="B34" s="4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9" t="str">
        <f ca="1">HYPERLINK("[NOTA_.xlsx]PAJAK!b"&amp;ATALI[[#This Row],[//PAJAK]],IF(ATALI[[#This Row],[//PAJAK]]="","",INDEX(INDIRECT("PAJAK["&amp;ATALI[#Headers]&amp;"]"),ATALI[[#This Row],[//PAJAK]]-1)))</f>
        <v/>
      </c>
      <c r="D34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4" t="str">
        <f ca="1">IF(ATALI[[#This Row],[//PAJAK]]="","",INDEX(INDIRECT("PAJAK["&amp;ATALI[#Headers]&amp;"]"),ATALI[[#This Row],[//PAJAK]]-1))</f>
        <v/>
      </c>
      <c r="H34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>
      <c r="A35" s="10" t="str">
        <f ca="1">HYPERLINK("[NOTA_.xlsx]NOTA!A"&amp;MATCH(ATALI[[#This Row],[ID]],NOTA[ID],0)+2,IF(ATALI[[#This Row],[//PAJAK]]="","",MATCH(ATALI[[#This Row],[ID]],NOTA[ID],0)+2))</f>
        <v/>
      </c>
      <c r="B35" s="4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9" t="str">
        <f ca="1">HYPERLINK("[NOTA_.xlsx]PAJAK!b"&amp;ATALI[[#This Row],[//PAJAK]],IF(ATALI[[#This Row],[//PAJAK]]="","",INDEX(INDIRECT("PAJAK["&amp;ATALI[#Headers]&amp;"]"),ATALI[[#This Row],[//PAJAK]]-1)))</f>
        <v/>
      </c>
      <c r="D35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4" t="str">
        <f ca="1">IF(ATALI[[#This Row],[//PAJAK]]="","",INDEX(INDIRECT("PAJAK["&amp;ATALI[#Headers]&amp;"]"),ATALI[[#This Row],[//PAJAK]]-1))</f>
        <v/>
      </c>
      <c r="H35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>
      <c r="A36" s="10" t="str">
        <f ca="1">HYPERLINK("[NOTA_.xlsx]NOTA!A"&amp;MATCH(ATALI[[#This Row],[ID]],NOTA[ID],0)+2,IF(ATALI[[#This Row],[//PAJAK]]="","",MATCH(ATALI[[#This Row],[ID]],NOTA[ID],0)+2))</f>
        <v/>
      </c>
      <c r="B36" s="4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9" t="str">
        <f ca="1">HYPERLINK("[NOTA_.xlsx]PAJAK!b"&amp;ATALI[[#This Row],[//PAJAK]],IF(ATALI[[#This Row],[//PAJAK]]="","",INDEX(INDIRECT("PAJAK["&amp;ATALI[#Headers]&amp;"]"),ATALI[[#This Row],[//PAJAK]]-1)))</f>
        <v/>
      </c>
      <c r="D36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4" t="str">
        <f ca="1">IF(ATALI[[#This Row],[//PAJAK]]="","",INDEX(INDIRECT("PAJAK["&amp;ATALI[#Headers]&amp;"]"),ATALI[[#This Row],[//PAJAK]]-1))</f>
        <v/>
      </c>
      <c r="H36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>
      <c r="A37" s="10" t="str">
        <f ca="1">HYPERLINK("[NOTA_.xlsx]NOTA!A"&amp;MATCH(ATALI[[#This Row],[ID]],NOTA[ID],0)+2,IF(ATALI[[#This Row],[//PAJAK]]="","",MATCH(ATALI[[#This Row],[ID]],NOTA[ID],0)+2))</f>
        <v/>
      </c>
      <c r="B37" s="4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9" t="str">
        <f ca="1">HYPERLINK("[NOTA_.xlsx]PAJAK!b"&amp;ATALI[[#This Row],[//PAJAK]],IF(ATALI[[#This Row],[//PAJAK]]="","",INDEX(INDIRECT("PAJAK["&amp;ATALI[#Headers]&amp;"]"),ATALI[[#This Row],[//PAJAK]]-1)))</f>
        <v/>
      </c>
      <c r="D37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4" t="str">
        <f ca="1">IF(ATALI[[#This Row],[//PAJAK]]="","",INDEX(INDIRECT("PAJAK["&amp;ATALI[#Headers]&amp;"]"),ATALI[[#This Row],[//PAJAK]]-1))</f>
        <v/>
      </c>
      <c r="H37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>
      <c r="A38" s="10" t="str">
        <f ca="1">HYPERLINK("[NOTA_.xlsx]NOTA!A"&amp;MATCH(ATALI[[#This Row],[ID]],NOTA[ID],0)+2,IF(ATALI[[#This Row],[//PAJAK]]="","",MATCH(ATALI[[#This Row],[ID]],NOTA[ID],0)+2))</f>
        <v/>
      </c>
      <c r="B38" s="4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HYPERLINK("[NOTA_.xlsx]PAJAK!b"&amp;ATALI[[#This Row],[//PAJAK]],IF(ATALI[[#This Row],[//PAJAK]]="","",INDEX(INDIRECT("PAJAK["&amp;ATALI[#Headers]&amp;"]"),ATALI[[#This Row],[//PAJAK]]-1)))</f>
        <v/>
      </c>
      <c r="D38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4" t="str">
        <f ca="1">IF(ATALI[[#This Row],[//PAJAK]]="","",INDEX(INDIRECT("PAJAK["&amp;ATALI[#Headers]&amp;"]"),ATALI[[#This Row],[//PAJAK]]-1))</f>
        <v/>
      </c>
      <c r="H38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>
      <c r="A39" s="10" t="str">
        <f ca="1">HYPERLINK("[NOTA_.xlsx]NOTA!A"&amp;MATCH(ATALI[[#This Row],[ID]],NOTA[ID],0)+2,IF(ATALI[[#This Row],[//PAJAK]]="","",MATCH(ATALI[[#This Row],[ID]],NOTA[ID],0)+2))</f>
        <v/>
      </c>
      <c r="B39" s="4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HYPERLINK("[NOTA_.xlsx]PAJAK!b"&amp;ATALI[[#This Row],[//PAJAK]],IF(ATALI[[#This Row],[//PAJAK]]="","",INDEX(INDIRECT("PAJAK["&amp;ATALI[#Headers]&amp;"]"),ATALI[[#This Row],[//PAJAK]]-1)))</f>
        <v/>
      </c>
      <c r="D39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4" t="str">
        <f ca="1">IF(ATALI[[#This Row],[//PAJAK]]="","",INDEX(INDIRECT("PAJAK["&amp;ATALI[#Headers]&amp;"]"),ATALI[[#This Row],[//PAJAK]]-1))</f>
        <v/>
      </c>
      <c r="H39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>
      <c r="A40" s="10" t="str">
        <f ca="1">HYPERLINK("[NOTA_.xlsx]NOTA!A"&amp;MATCH(ATALI[[#This Row],[ID]],NOTA[ID],0)+2,IF(ATALI[[#This Row],[//PAJAK]]="","",MATCH(ATALI[[#This Row],[ID]],NOTA[ID],0)+2))</f>
        <v/>
      </c>
      <c r="B40" s="4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HYPERLINK("[NOTA_.xlsx]PAJAK!b"&amp;ATALI[[#This Row],[//PAJAK]],IF(ATALI[[#This Row],[//PAJAK]]="","",INDEX(INDIRECT("PAJAK["&amp;ATALI[#Headers]&amp;"]"),ATALI[[#This Row],[//PAJAK]]-1)))</f>
        <v/>
      </c>
      <c r="D40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4" t="str">
        <f ca="1">IF(ATALI[[#This Row],[//PAJAK]]="","",INDEX(INDIRECT("PAJAK["&amp;ATALI[#Headers]&amp;"]"),ATALI[[#This Row],[//PAJAK]]-1))</f>
        <v/>
      </c>
      <c r="H40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>
      <c r="A41" s="10" t="str">
        <f ca="1">HYPERLINK("[NOTA_.xlsx]NOTA!A"&amp;MATCH(ATALI[[#This Row],[ID]],NOTA[ID],0)+2,IF(ATALI[[#This Row],[//PAJAK]]="","",MATCH(ATALI[[#This Row],[ID]],NOTA[ID],0)+2))</f>
        <v/>
      </c>
      <c r="B41" s="4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HYPERLINK("[NOTA_.xlsx]PAJAK!b"&amp;ATALI[[#This Row],[//PAJAK]],IF(ATALI[[#This Row],[//PAJAK]]="","",INDEX(INDIRECT("PAJAK["&amp;ATALI[#Headers]&amp;"]"),ATALI[[#This Row],[//PAJAK]]-1)))</f>
        <v/>
      </c>
      <c r="D41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4" t="str">
        <f ca="1">IF(ATALI[[#This Row],[//PAJAK]]="","",INDEX(INDIRECT("PAJAK["&amp;ATALI[#Headers]&amp;"]"),ATALI[[#This Row],[//PAJAK]]-1))</f>
        <v/>
      </c>
      <c r="H41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>
      <c r="A42" s="10" t="str">
        <f ca="1">HYPERLINK("[NOTA_.xlsx]NOTA!A"&amp;MATCH(ATALI[[#This Row],[ID]],NOTA[ID],0)+2,IF(ATALI[[#This Row],[//PAJAK]]="","",MATCH(ATALI[[#This Row],[ID]],NOTA[ID],0)+2))</f>
        <v/>
      </c>
      <c r="B42" s="4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9" t="str">
        <f ca="1">HYPERLINK("[NOTA_.xlsx]PAJAK!b"&amp;ATALI[[#This Row],[//PAJAK]],IF(ATALI[[#This Row],[//PAJAK]]="","",INDEX(INDIRECT("PAJAK["&amp;ATALI[#Headers]&amp;"]"),ATALI[[#This Row],[//PAJAK]]-1)))</f>
        <v/>
      </c>
      <c r="D42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4" t="str">
        <f ca="1">IF(ATALI[[#This Row],[//PAJAK]]="","",INDEX(INDIRECT("PAJAK["&amp;ATALI[#Headers]&amp;"]"),ATALI[[#This Row],[//PAJAK]]-1))</f>
        <v/>
      </c>
      <c r="H42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>
      <c r="A43" s="10" t="str">
        <f ca="1">HYPERLINK("[NOTA_.xlsx]NOTA!A"&amp;MATCH(ATALI[[#This Row],[ID]],NOTA[ID],0)+2,IF(ATALI[[#This Row],[//PAJAK]]="","",MATCH(ATALI[[#This Row],[ID]],NOTA[ID],0)+2))</f>
        <v/>
      </c>
      <c r="B43" s="4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9" t="str">
        <f ca="1">HYPERLINK("[NOTA_.xlsx]PAJAK!b"&amp;ATALI[[#This Row],[//PAJAK]],IF(ATALI[[#This Row],[//PAJAK]]="","",INDEX(INDIRECT("PAJAK["&amp;ATALI[#Headers]&amp;"]"),ATALI[[#This Row],[//PAJAK]]-1)))</f>
        <v/>
      </c>
      <c r="D4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4" t="str">
        <f ca="1">IF(ATALI[[#This Row],[//PAJAK]]="","",INDEX(INDIRECT("PAJAK["&amp;ATALI[#Headers]&amp;"]"),ATALI[[#This Row],[//PAJAK]]-1))</f>
        <v/>
      </c>
      <c r="H4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>
      <c r="A44" s="10" t="str">
        <f ca="1">HYPERLINK("[NOTA_.xlsx]NOTA!A"&amp;MATCH(ATALI[[#This Row],[ID]],NOTA[ID],0)+2,IF(ATALI[[#This Row],[//PAJAK]]="","",MATCH(ATALI[[#This Row],[ID]],NOTA[ID],0)+2))</f>
        <v/>
      </c>
      <c r="B44" s="4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9" t="str">
        <f ca="1">HYPERLINK("[NOTA_.xlsx]PAJAK!b"&amp;ATALI[[#This Row],[//PAJAK]],IF(ATALI[[#This Row],[//PAJAK]]="","",INDEX(INDIRECT("PAJAK["&amp;ATALI[#Headers]&amp;"]"),ATALI[[#This Row],[//PAJAK]]-1)))</f>
        <v/>
      </c>
      <c r="D44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4" t="str">
        <f ca="1">IF(ATALI[[#This Row],[//PAJAK]]="","",INDEX(INDIRECT("PAJAK["&amp;ATALI[#Headers]&amp;"]"),ATALI[[#This Row],[//PAJAK]]-1))</f>
        <v/>
      </c>
      <c r="H44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>
      <c r="A45" s="10" t="str">
        <f ca="1">HYPERLINK("[NOTA_.xlsx]NOTA!A"&amp;MATCH(ATALI[[#This Row],[ID]],NOTA[ID],0)+2,IF(ATALI[[#This Row],[//PAJAK]]="","",MATCH(ATALI[[#This Row],[ID]],NOTA[ID],0)+2))</f>
        <v/>
      </c>
      <c r="B45" s="4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9" t="str">
        <f ca="1">HYPERLINK("[NOTA_.xlsx]PAJAK!b"&amp;ATALI[[#This Row],[//PAJAK]],IF(ATALI[[#This Row],[//PAJAK]]="","",INDEX(INDIRECT("PAJAK["&amp;ATALI[#Headers]&amp;"]"),ATALI[[#This Row],[//PAJAK]]-1)))</f>
        <v/>
      </c>
      <c r="D45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4" t="str">
        <f ca="1">IF(ATALI[[#This Row],[//PAJAK]]="","",INDEX(INDIRECT("PAJAK["&amp;ATALI[#Headers]&amp;"]"),ATALI[[#This Row],[//PAJAK]]-1))</f>
        <v/>
      </c>
      <c r="H45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>
      <c r="A46" s="10" t="str">
        <f ca="1">HYPERLINK("[NOTA_.xlsx]NOTA!A"&amp;MATCH(ATALI[[#This Row],[ID]],NOTA[ID],0)+2,IF(ATALI[[#This Row],[//PAJAK]]="","",MATCH(ATALI[[#This Row],[ID]],NOTA[ID],0)+2))</f>
        <v/>
      </c>
      <c r="B46" s="4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9" t="str">
        <f ca="1">HYPERLINK("[NOTA_.xlsx]PAJAK!b"&amp;ATALI[[#This Row],[//PAJAK]],IF(ATALI[[#This Row],[//PAJAK]]="","",INDEX(INDIRECT("PAJAK["&amp;ATALI[#Headers]&amp;"]"),ATALI[[#This Row],[//PAJAK]]-1)))</f>
        <v/>
      </c>
      <c r="D46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4" t="str">
        <f ca="1">IF(ATALI[[#This Row],[//PAJAK]]="","",INDEX(INDIRECT("PAJAK["&amp;ATALI[#Headers]&amp;"]"),ATALI[[#This Row],[//PAJAK]]-1))</f>
        <v/>
      </c>
      <c r="H46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>
      <c r="A47" s="10" t="str">
        <f ca="1">HYPERLINK("[NOTA_.xlsx]NOTA!A"&amp;MATCH(ATALI[[#This Row],[ID]],NOTA[ID],0)+2,IF(ATALI[[#This Row],[//PAJAK]]="","",MATCH(ATALI[[#This Row],[ID]],NOTA[ID],0)+2))</f>
        <v/>
      </c>
      <c r="B47" s="4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9" t="str">
        <f ca="1">HYPERLINK("[NOTA_.xlsx]PAJAK!b"&amp;ATALI[[#This Row],[//PAJAK]],IF(ATALI[[#This Row],[//PAJAK]]="","",INDEX(INDIRECT("PAJAK["&amp;ATALI[#Headers]&amp;"]"),ATALI[[#This Row],[//PAJAK]]-1)))</f>
        <v/>
      </c>
      <c r="D47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4" t="str">
        <f ca="1">IF(ATALI[[#This Row],[//PAJAK]]="","",INDEX(INDIRECT("PAJAK["&amp;ATALI[#Headers]&amp;"]"),ATALI[[#This Row],[//PAJAK]]-1))</f>
        <v/>
      </c>
      <c r="H47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>
      <c r="A48" s="10" t="str">
        <f ca="1">HYPERLINK("[NOTA_.xlsx]NOTA!A"&amp;MATCH(ATALI[[#This Row],[ID]],NOTA[ID],0)+2,IF(ATALI[[#This Row],[//PAJAK]]="","",MATCH(ATALI[[#This Row],[ID]],NOTA[ID],0)+2))</f>
        <v/>
      </c>
      <c r="B48" s="4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9" t="str">
        <f ca="1">HYPERLINK("[NOTA_.xlsx]PAJAK!b"&amp;ATALI[[#This Row],[//PAJAK]],IF(ATALI[[#This Row],[//PAJAK]]="","",INDEX(INDIRECT("PAJAK["&amp;ATALI[#Headers]&amp;"]"),ATALI[[#This Row],[//PAJAK]]-1)))</f>
        <v/>
      </c>
      <c r="D48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4" t="str">
        <f ca="1">IF(ATALI[[#This Row],[//PAJAK]]="","",INDEX(INDIRECT("PAJAK["&amp;ATALI[#Headers]&amp;"]"),ATALI[[#This Row],[//PAJAK]]-1))</f>
        <v/>
      </c>
      <c r="H48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>
      <c r="A49" s="10" t="str">
        <f ca="1">HYPERLINK("[NOTA_.xlsx]NOTA!A"&amp;MATCH(ATALI[[#This Row],[ID]],NOTA[ID],0)+2,IF(ATALI[[#This Row],[//PAJAK]]="","",MATCH(ATALI[[#This Row],[ID]],NOTA[ID],0)+2))</f>
        <v/>
      </c>
      <c r="B49" s="4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9" t="str">
        <f ca="1">HYPERLINK("[NOTA_.xlsx]PAJAK!b"&amp;ATALI[[#This Row],[//PAJAK]],IF(ATALI[[#This Row],[//PAJAK]]="","",INDEX(INDIRECT("PAJAK["&amp;ATALI[#Headers]&amp;"]"),ATALI[[#This Row],[//PAJAK]]-1)))</f>
        <v/>
      </c>
      <c r="D49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4" t="str">
        <f ca="1">IF(ATALI[[#This Row],[//PAJAK]]="","",INDEX(INDIRECT("PAJAK["&amp;ATALI[#Headers]&amp;"]"),ATALI[[#This Row],[//PAJAK]]-1))</f>
        <v/>
      </c>
      <c r="H49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>
      <c r="A50" s="10" t="str">
        <f ca="1">HYPERLINK("[NOTA_.xlsx]NOTA!A"&amp;MATCH(ATALI[[#This Row],[ID]],NOTA[ID],0)+2,IF(ATALI[[#This Row],[//PAJAK]]="","",MATCH(ATALI[[#This Row],[ID]],NOTA[ID],0)+2))</f>
        <v/>
      </c>
      <c r="B50" s="4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9" t="str">
        <f ca="1">HYPERLINK("[NOTA_.xlsx]PAJAK!b"&amp;ATALI[[#This Row],[//PAJAK]],IF(ATALI[[#This Row],[//PAJAK]]="","",INDEX(INDIRECT("PAJAK["&amp;ATALI[#Headers]&amp;"]"),ATALI[[#This Row],[//PAJAK]]-1)))</f>
        <v/>
      </c>
      <c r="D50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4" t="str">
        <f ca="1">IF(ATALI[[#This Row],[//PAJAK]]="","",INDEX(INDIRECT("PAJAK["&amp;ATALI[#Headers]&amp;"]"),ATALI[[#This Row],[//PAJAK]]-1))</f>
        <v/>
      </c>
      <c r="H50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M22"/>
  <sheetViews>
    <sheetView workbookViewId="0">
      <selection activeCell="A3" sqref="A3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SEMBILAN-SEMBILAN JAYA UTAMA</v>
      </c>
      <c r="E1">
        <f ca="1">INDEX(CONV[JML],MATCH(D1,CONV[2],0))</f>
        <v>0</v>
      </c>
      <c r="G1" s="3" t="str">
        <f ca="1">CELL("filename",G1)</f>
        <v>D:\kerja\BANK EXP\BARU\2024\06 JUNI\[NOTA 06 JUNI 2024.xlsx]99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HYPERLINK("[NOTA_.xlsx]NOTA!A"&amp;MATCH(J_UTAMA[[#This Row],[ID]],NOTA[ID],0)+2,IF(J_UTAMA[[#This Row],[//PAJAK]]="","",MATCH(J_UTAMA[[#This Row],[ID]],NOTA[ID],0)+2))</f>
        <v/>
      </c>
      <c r="B3" s="4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HYPERLINK("[NOTA_.xlsx]PAJAK!b"&amp;J_UTAMA[[#This Row],[//PAJAK]],IF(J_UTAMA[[#This Row],[//PAJAK]]="","",INDEX(INDIRECT("PAJAK["&amp;J_UTAMA[#Headers]&amp;"]"),J_UTAMA[[#This Row],[//PAJAK]]-1)))</f>
        <v/>
      </c>
      <c r="D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3" t="str">
        <f ca="1">IF(J_UTAMA[[#This Row],[//PAJAK]]="","",INDEX(INDIRECT("PAJAK["&amp;J_UTAMA[#Headers]&amp;"]"),J_UTAMA[[#This Row],[//PAJAK]]-1))</f>
        <v/>
      </c>
      <c r="H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>
      <c r="A4" s="10" t="str">
        <f ca="1">HYPERLINK("[NOTA_.xlsx]NOTA!A"&amp;MATCH(J_UTAMA[[#This Row],[ID]],NOTA[ID],0)+2,IF(J_UTAMA[[#This Row],[//PAJAK]]="","",MATCH(J_UTAMA[[#This Row],[ID]],NOTA[ID],0)+2))</f>
        <v/>
      </c>
      <c r="B4" s="4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>
      <c r="A5" s="10" t="str">
        <f ca="1">HYPERLINK("[NOTA_.xlsx]NOTA!A"&amp;MATCH(J_UTAMA[[#This Row],[ID]],NOTA[ID],0)+2,IF(J_UTAMA[[#This Row],[//PAJAK]]="","",MATCH(J_UTAMA[[#This Row],[ID]],NOTA[ID],0)+2))</f>
        <v/>
      </c>
      <c r="B5" s="4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HYPERLINK("[NOTA_.xlsx]PAJAK!b"&amp;J_UTAMA[[#This Row],[//PAJAK]],IF(J_UTAMA[[#This Row],[//PAJAK]]="","",INDEX(INDIRECT("PAJAK["&amp;J_UTAMA[#Headers]&amp;"]"),J_UTAMA[[#This Row],[//PAJAK]]-1)))</f>
        <v/>
      </c>
      <c r="D5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t="str">
        <f ca="1">IF(J_UTAMA[[#This Row],[//PAJAK]]="","",INDEX(INDIRECT("PAJAK["&amp;J_UTAMA[#Headers]&amp;"]"),J_UTAMA[[#This Row],[//PAJAK]]-1))</f>
        <v/>
      </c>
      <c r="H5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>
      <c r="A6" s="10" t="str">
        <f ca="1">HYPERLINK("[NOTA_.xlsx]NOTA!A"&amp;MATCH(J_UTAMA[[#This Row],[ID]],NOTA[ID],0)+2,IF(J_UTAMA[[#This Row],[//PAJAK]]="","",MATCH(J_UTAMA[[#This Row],[ID]],NOTA[ID],0)+2))</f>
        <v/>
      </c>
      <c r="B6" s="4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HYPERLINK("[NOTA_.xlsx]PAJAK!b"&amp;J_UTAMA[[#This Row],[//PAJAK]],IF(J_UTAMA[[#This Row],[//PAJAK]]="","",INDEX(INDIRECT("PAJAK["&amp;J_UTAMA[#Headers]&amp;"]"),J_UTAMA[[#This Row],[//PAJAK]]-1)))</f>
        <v/>
      </c>
      <c r="D6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t="str">
        <f ca="1">IF(J_UTAMA[[#This Row],[//PAJAK]]="","",INDEX(INDIRECT("PAJAK["&amp;J_UTAMA[#Headers]&amp;"]"),J_UTAMA[[#This Row],[//PAJAK]]-1))</f>
        <v/>
      </c>
      <c r="H6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>
      <c r="A7" s="10" t="str">
        <f ca="1">HYPERLINK("[NOTA_.xlsx]NOTA!A"&amp;MATCH(J_UTAMA[[#This Row],[ID]],NOTA[ID],0)+2,IF(J_UTAMA[[#This Row],[//PAJAK]]="","",MATCH(J_UTAMA[[#This Row],[ID]],NOTA[ID],0)+2))</f>
        <v/>
      </c>
      <c r="B7" s="4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HYPERLINK("[NOTA_.xlsx]PAJAK!b"&amp;J_UTAMA[[#This Row],[//PAJAK]],IF(J_UTAMA[[#This Row],[//PAJAK]]="","",INDEX(INDIRECT("PAJAK["&amp;J_UTAMA[#Headers]&amp;"]"),J_UTAMA[[#This Row],[//PAJAK]]-1)))</f>
        <v/>
      </c>
      <c r="D7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t="str">
        <f ca="1">IF(J_UTAMA[[#This Row],[//PAJAK]]="","",INDEX(INDIRECT("PAJAK["&amp;J_UTAMA[#Headers]&amp;"]"),J_UTAMA[[#This Row],[//PAJAK]]-1))</f>
        <v/>
      </c>
      <c r="H7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>
      <c r="A8" s="10" t="str">
        <f ca="1">HYPERLINK("[NOTA_.xlsx]NOTA!A"&amp;MATCH(J_UTAMA[[#This Row],[ID]],NOTA[ID],0)+2,IF(J_UTAMA[[#This Row],[//PAJAK]]="","",MATCH(J_UTAMA[[#This Row],[ID]],NOTA[ID],0)+2))</f>
        <v/>
      </c>
      <c r="B8" s="4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HYPERLINK("[NOTA_.xlsx]PAJAK!b"&amp;J_UTAMA[[#This Row],[//PAJAK]],IF(J_UTAMA[[#This Row],[//PAJAK]]="","",INDEX(INDIRECT("PAJAK["&amp;J_UTAMA[#Headers]&amp;"]"),J_UTAMA[[#This Row],[//PAJAK]]-1)))</f>
        <v/>
      </c>
      <c r="D8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t="str">
        <f ca="1">IF(J_UTAMA[[#This Row],[//PAJAK]]="","",INDEX(INDIRECT("PAJAK["&amp;J_UTAMA[#Headers]&amp;"]"),J_UTAMA[[#This Row],[//PAJAK]]-1))</f>
        <v/>
      </c>
      <c r="H8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>
      <c r="A9" s="10" t="str">
        <f ca="1">HYPERLINK("[NOTA_.xlsx]NOTA!A"&amp;MATCH(J_UTAMA[[#This Row],[ID]],NOTA[ID],0)+2,IF(J_UTAMA[[#This Row],[//PAJAK]]="","",MATCH(J_UTAMA[[#This Row],[ID]],NOTA[ID],0)+2))</f>
        <v/>
      </c>
      <c r="B9" s="4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HYPERLINK("[NOTA_.xlsx]PAJAK!b"&amp;J_UTAMA[[#This Row],[//PAJAK]],IF(J_UTAMA[[#This Row],[//PAJAK]]="","",INDEX(INDIRECT("PAJAK["&amp;J_UTAMA[#Headers]&amp;"]"),J_UTAMA[[#This Row],[//PAJAK]]-1)))</f>
        <v/>
      </c>
      <c r="D9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t="str">
        <f ca="1">IF(J_UTAMA[[#This Row],[//PAJAK]]="","",INDEX(INDIRECT("PAJAK["&amp;J_UTAMA[#Headers]&amp;"]"),J_UTAMA[[#This Row],[//PAJAK]]-1))</f>
        <v/>
      </c>
      <c r="H9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>
      <c r="A10" s="10" t="str">
        <f ca="1">HYPERLINK("[NOTA_.xlsx]NOTA!A"&amp;MATCH(J_UTAMA[[#This Row],[ID]],NOTA[ID],0)+2,IF(J_UTAMA[[#This Row],[//PAJAK]]="","",MATCH(J_UTAMA[[#This Row],[ID]],NOTA[ID],0)+2))</f>
        <v/>
      </c>
      <c r="B10" s="4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HYPERLINK("[NOTA_.xlsx]PAJAK!b"&amp;J_UTAMA[[#This Row],[//PAJAK]],IF(J_UTAMA[[#This Row],[//PAJAK]]="","",INDEX(INDIRECT("PAJAK["&amp;J_UTAMA[#Headers]&amp;"]"),J_UTAMA[[#This Row],[//PAJAK]]-1)))</f>
        <v/>
      </c>
      <c r="D10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t="str">
        <f ca="1">IF(J_UTAMA[[#This Row],[//PAJAK]]="","",INDEX(INDIRECT("PAJAK["&amp;J_UTAMA[#Headers]&amp;"]"),J_UTAMA[[#This Row],[//PAJAK]]-1))</f>
        <v/>
      </c>
      <c r="H10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>
      <c r="A11" s="10" t="str">
        <f ca="1">HYPERLINK("[NOTA_.xlsx]NOTA!A"&amp;MATCH(J_UTAMA[[#This Row],[ID]],NOTA[ID],0)+2,IF(J_UTAMA[[#This Row],[//PAJAK]]="","",MATCH(J_UTAMA[[#This Row],[ID]],NOTA[ID],0)+2))</f>
        <v/>
      </c>
      <c r="B11" s="4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HYPERLINK("[NOTA_.xlsx]PAJAK!b"&amp;J_UTAMA[[#This Row],[//PAJAK]],IF(J_UTAMA[[#This Row],[//PAJAK]]="","",INDEX(INDIRECT("PAJAK["&amp;J_UTAMA[#Headers]&amp;"]"),J_UTAMA[[#This Row],[//PAJAK]]-1)))</f>
        <v/>
      </c>
      <c r="D11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t="str">
        <f ca="1">IF(J_UTAMA[[#This Row],[//PAJAK]]="","",INDEX(INDIRECT("PAJAK["&amp;J_UTAMA[#Headers]&amp;"]"),J_UTAMA[[#This Row],[//PAJAK]]-1))</f>
        <v/>
      </c>
      <c r="H11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>
      <c r="A12" s="10" t="str">
        <f ca="1">HYPERLINK("[NOTA_.xlsx]NOTA!A"&amp;MATCH(J_UTAMA[[#This Row],[ID]],NOTA[ID],0)+2,IF(J_UTAMA[[#This Row],[//PAJAK]]="","",MATCH(J_UTAMA[[#This Row],[ID]],NOTA[ID],0)+2))</f>
        <v/>
      </c>
      <c r="B12" s="4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HYPERLINK("[NOTA_.xlsx]PAJAK!b"&amp;J_UTAMA[[#This Row],[//PAJAK]],IF(J_UTAMA[[#This Row],[//PAJAK]]="","",INDEX(INDIRECT("PAJAK["&amp;J_UTAMA[#Headers]&amp;"]"),J_UTAMA[[#This Row],[//PAJAK]]-1)))</f>
        <v/>
      </c>
      <c r="D12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t="str">
        <f ca="1">IF(J_UTAMA[[#This Row],[//PAJAK]]="","",INDEX(INDIRECT("PAJAK["&amp;J_UTAMA[#Headers]&amp;"]"),J_UTAMA[[#This Row],[//PAJAK]]-1))</f>
        <v/>
      </c>
      <c r="H12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>
      <c r="A13" s="10" t="str">
        <f ca="1">HYPERLINK("[NOTA_.xlsx]NOTA!A"&amp;MATCH(J_UTAMA[[#This Row],[ID]],NOTA[ID],0)+2,IF(J_UTAMA[[#This Row],[//PAJAK]]="","",MATCH(J_UTAMA[[#This Row],[ID]],NOTA[ID],0)+2))</f>
        <v/>
      </c>
      <c r="B13" s="4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HYPERLINK("[NOTA_.xlsx]PAJAK!b"&amp;J_UTAMA[[#This Row],[//PAJAK]],IF(J_UTAMA[[#This Row],[//PAJAK]]="","",INDEX(INDIRECT("PAJAK["&amp;J_UTAMA[#Headers]&amp;"]"),J_UTAMA[[#This Row],[//PAJAK]]-1)))</f>
        <v/>
      </c>
      <c r="D1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t="str">
        <f ca="1">IF(J_UTAMA[[#This Row],[//PAJAK]]="","",INDEX(INDIRECT("PAJAK["&amp;J_UTAMA[#Headers]&amp;"]"),J_UTAMA[[#This Row],[//PAJAK]]-1))</f>
        <v/>
      </c>
      <c r="H1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>
      <c r="A14" s="10" t="str">
        <f ca="1">HYPERLINK("[NOTA_.xlsx]NOTA!A"&amp;MATCH(J_UTAMA[[#This Row],[ID]],NOTA[ID],0)+2,IF(J_UTAMA[[#This Row],[//PAJAK]]="","",MATCH(J_UTAMA[[#This Row],[ID]],NOTA[ID],0)+2))</f>
        <v/>
      </c>
      <c r="B14" s="4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HYPERLINK("[NOTA_.xlsx]PAJAK!b"&amp;J_UTAMA[[#This Row],[//PAJAK]],IF(J_UTAMA[[#This Row],[//PAJAK]]="","",INDEX(INDIRECT("PAJAK["&amp;J_UTAMA[#Headers]&amp;"]"),J_UTAMA[[#This Row],[//PAJAK]]-1)))</f>
        <v/>
      </c>
      <c r="D14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t="str">
        <f ca="1">IF(J_UTAMA[[#This Row],[//PAJAK]]="","",INDEX(INDIRECT("PAJAK["&amp;J_UTAMA[#Headers]&amp;"]"),J_UTAMA[[#This Row],[//PAJAK]]-1))</f>
        <v/>
      </c>
      <c r="H14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>
      <c r="A15" s="10" t="str">
        <f ca="1">HYPERLINK("[NOTA_.xlsx]NOTA!A"&amp;MATCH(J_UTAMA[[#This Row],[ID]],NOTA[ID],0)+2,IF(J_UTAMA[[#This Row],[//PAJAK]]="","",MATCH(J_UTAMA[[#This Row],[ID]],NOTA[ID],0)+2))</f>
        <v/>
      </c>
      <c r="B15" s="4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HYPERLINK("[NOTA_.xlsx]PAJAK!b"&amp;J_UTAMA[[#This Row],[//PAJAK]],IF(J_UTAMA[[#This Row],[//PAJAK]]="","",INDEX(INDIRECT("PAJAK["&amp;J_UTAMA[#Headers]&amp;"]"),J_UTAMA[[#This Row],[//PAJAK]]-1)))</f>
        <v/>
      </c>
      <c r="D15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t="str">
        <f ca="1">IF(J_UTAMA[[#This Row],[//PAJAK]]="","",INDEX(INDIRECT("PAJAK["&amp;J_UTAMA[#Headers]&amp;"]"),J_UTAMA[[#This Row],[//PAJAK]]-1))</f>
        <v/>
      </c>
      <c r="H15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>
      <c r="A16" s="10" t="str">
        <f ca="1">HYPERLINK("[NOTA_.xlsx]NOTA!A"&amp;MATCH(J_UTAMA[[#This Row],[ID]],NOTA[ID],0)+2,IF(J_UTAMA[[#This Row],[//PAJAK]]="","",MATCH(J_UTAMA[[#This Row],[ID]],NOTA[ID],0)+2))</f>
        <v/>
      </c>
      <c r="B16" s="4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HYPERLINK("[NOTA_.xlsx]PAJAK!b"&amp;J_UTAMA[[#This Row],[//PAJAK]],IF(J_UTAMA[[#This Row],[//PAJAK]]="","",INDEX(INDIRECT("PAJAK["&amp;J_UTAMA[#Headers]&amp;"]"),J_UTAMA[[#This Row],[//PAJAK]]-1)))</f>
        <v/>
      </c>
      <c r="D16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t="str">
        <f ca="1">IF(J_UTAMA[[#This Row],[//PAJAK]]="","",INDEX(INDIRECT("PAJAK["&amp;J_UTAMA[#Headers]&amp;"]"),J_UTAMA[[#This Row],[//PAJAK]]-1))</f>
        <v/>
      </c>
      <c r="H16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>
      <c r="A17" s="10" t="str">
        <f ca="1">HYPERLINK("[NOTA_.xlsx]NOTA!A"&amp;MATCH(J_UTAMA[[#This Row],[ID]],NOTA[ID],0)+2,IF(J_UTAMA[[#This Row],[//PAJAK]]="","",MATCH(J_UTAMA[[#This Row],[ID]],NOTA[ID],0)+2))</f>
        <v/>
      </c>
      <c r="B17" s="4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HYPERLINK("[NOTA_.xlsx]PAJAK!b"&amp;J_UTAMA[[#This Row],[//PAJAK]],IF(J_UTAMA[[#This Row],[//PAJAK]]="","",INDEX(INDIRECT("PAJAK["&amp;J_UTAMA[#Headers]&amp;"]"),J_UTAMA[[#This Row],[//PAJAK]]-1)))</f>
        <v/>
      </c>
      <c r="D17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t="str">
        <f ca="1">IF(J_UTAMA[[#This Row],[//PAJAK]]="","",INDEX(INDIRECT("PAJAK["&amp;J_UTAMA[#Headers]&amp;"]"),J_UTAMA[[#This Row],[//PAJAK]]-1))</f>
        <v/>
      </c>
      <c r="H17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>
      <c r="A18" s="10" t="str">
        <f ca="1">HYPERLINK("[NOTA_.xlsx]NOTA!A"&amp;MATCH(J_UTAMA[[#This Row],[ID]],NOTA[ID],0)+2,IF(J_UTAMA[[#This Row],[//PAJAK]]="","",MATCH(J_UTAMA[[#This Row],[ID]],NOTA[ID],0)+2))</f>
        <v/>
      </c>
      <c r="B18" s="4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HYPERLINK("[NOTA_.xlsx]PAJAK!b"&amp;J_UTAMA[[#This Row],[//PAJAK]],IF(J_UTAMA[[#This Row],[//PAJAK]]="","",INDEX(INDIRECT("PAJAK["&amp;J_UTAMA[#Headers]&amp;"]"),J_UTAMA[[#This Row],[//PAJAK]]-1)))</f>
        <v/>
      </c>
      <c r="D18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t="str">
        <f ca="1">IF(J_UTAMA[[#This Row],[//PAJAK]]="","",INDEX(INDIRECT("PAJAK["&amp;J_UTAMA[#Headers]&amp;"]"),J_UTAMA[[#This Row],[//PAJAK]]-1))</f>
        <v/>
      </c>
      <c r="H18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>
      <c r="A19" s="10" t="str">
        <f ca="1">HYPERLINK("[NOTA_.xlsx]NOTA!A"&amp;MATCH(J_UTAMA[[#This Row],[ID]],NOTA[ID],0)+2,IF(J_UTAMA[[#This Row],[//PAJAK]]="","",MATCH(J_UTAMA[[#This Row],[ID]],NOTA[ID],0)+2))</f>
        <v/>
      </c>
      <c r="B19" s="4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HYPERLINK("[NOTA_.xlsx]PAJAK!b"&amp;J_UTAMA[[#This Row],[//PAJAK]],IF(J_UTAMA[[#This Row],[//PAJAK]]="","",INDEX(INDIRECT("PAJAK["&amp;J_UTAMA[#Headers]&amp;"]"),J_UTAMA[[#This Row],[//PAJAK]]-1)))</f>
        <v/>
      </c>
      <c r="D19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t="str">
        <f ca="1">IF(J_UTAMA[[#This Row],[//PAJAK]]="","",INDEX(INDIRECT("PAJAK["&amp;J_UTAMA[#Headers]&amp;"]"),J_UTAMA[[#This Row],[//PAJAK]]-1))</f>
        <v/>
      </c>
      <c r="H19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>
      <c r="A20" s="10" t="str">
        <f ca="1">HYPERLINK("[NOTA_.xlsx]NOTA!A"&amp;MATCH(J_UTAMA[[#This Row],[ID]],NOTA[ID],0)+2,IF(J_UTAMA[[#This Row],[//PAJAK]]="","",MATCH(J_UTAMA[[#This Row],[ID]],NOTA[ID],0)+2))</f>
        <v/>
      </c>
      <c r="B20" s="4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HYPERLINK("[NOTA_.xlsx]PAJAK!b"&amp;J_UTAMA[[#This Row],[//PAJAK]],IF(J_UTAMA[[#This Row],[//PAJAK]]="","",INDEX(INDIRECT("PAJAK["&amp;J_UTAMA[#Headers]&amp;"]"),J_UTAMA[[#This Row],[//PAJAK]]-1)))</f>
        <v/>
      </c>
      <c r="D20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t="str">
        <f ca="1">IF(J_UTAMA[[#This Row],[//PAJAK]]="","",INDEX(INDIRECT("PAJAK["&amp;J_UTAMA[#Headers]&amp;"]"),J_UTAMA[[#This Row],[//PAJAK]]-1))</f>
        <v/>
      </c>
      <c r="H20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>
      <c r="A21" s="10" t="str">
        <f ca="1">HYPERLINK("[NOTA_.xlsx]NOTA!A"&amp;MATCH(J_UTAMA[[#This Row],[ID]],NOTA[ID],0)+2,IF(J_UTAMA[[#This Row],[//PAJAK]]="","",MATCH(J_UTAMA[[#This Row],[ID]],NOTA[ID],0)+2))</f>
        <v/>
      </c>
      <c r="B21" s="4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HYPERLINK("[NOTA_.xlsx]PAJAK!b"&amp;J_UTAMA[[#This Row],[//PAJAK]],IF(J_UTAMA[[#This Row],[//PAJAK]]="","",INDEX(INDIRECT("PAJAK["&amp;J_UTAMA[#Headers]&amp;"]"),J_UTAMA[[#This Row],[//PAJAK]]-1)))</f>
        <v/>
      </c>
      <c r="D21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t="str">
        <f ca="1">IF(J_UTAMA[[#This Row],[//PAJAK]]="","",INDEX(INDIRECT("PAJAK["&amp;J_UTAMA[#Headers]&amp;"]"),J_UTAMA[[#This Row],[//PAJAK]]-1))</f>
        <v/>
      </c>
      <c r="H21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>
      <c r="A22" s="10" t="str">
        <f ca="1">HYPERLINK("[NOTA_.xlsx]NOTA!A"&amp;MATCH(J_UTAMA[[#This Row],[ID]],NOTA[ID],0)+2,IF(J_UTAMA[[#This Row],[//PAJAK]]="","",MATCH(J_UTAMA[[#This Row],[ID]],NOTA[ID],0)+2))</f>
        <v/>
      </c>
      <c r="B22" s="4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HYPERLINK("[NOTA_.xlsx]PAJAK!b"&amp;J_UTAMA[[#This Row],[//PAJAK]],IF(J_UTAMA[[#This Row],[//PAJAK]]="","",INDEX(INDIRECT("PAJAK["&amp;J_UTAMA[#Headers]&amp;"]"),J_UTAMA[[#This Row],[//PAJAK]]-1)))</f>
        <v/>
      </c>
      <c r="D22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t="str">
        <f ca="1">IF(J_UTAMA[[#This Row],[//PAJAK]]="","",INDEX(INDIRECT("PAJAK["&amp;J_UTAMA[#Headers]&amp;"]"),J_UTAMA[[#This Row],[//PAJAK]]-1))</f>
        <v/>
      </c>
      <c r="H22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N11"/>
  <sheetViews>
    <sheetView workbookViewId="0">
      <selection activeCell="H4" sqref="H4"/>
    </sheetView>
  </sheetViews>
  <sheetFormatPr defaultRowHeight="1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5" bestFit="1" customWidth="1"/>
    <col min="9" max="9" width="14" style="15" bestFit="1" customWidth="1"/>
    <col min="10" max="10" width="15.28515625" style="15" bestFit="1" customWidth="1"/>
    <col min="11" max="11" width="16.28515625" style="15" bestFit="1" customWidth="1"/>
    <col min="12" max="12" width="15.28515625" style="15" bestFit="1" customWidth="1"/>
    <col min="13" max="14" width="13.7109375" bestFit="1" customWidth="1"/>
  </cols>
  <sheetData>
    <row r="1" spans="1:14">
      <c r="A1" s="4"/>
      <c r="B1" s="4"/>
      <c r="C1" t="str">
        <f ca="1">INDEX(CONV[2],MATCH(MID(F1,FIND("]",F1)+1,LEN(F1)-FIND("]",F1)),CONV[3],0))</f>
        <v>PT DWI TUNGGAL INDAH JAYA</v>
      </c>
      <c r="D1">
        <f ca="1">INDEX(CONV[JML],MATCH(C1,CONV[2],0))</f>
        <v>0</v>
      </c>
      <c r="F1" s="3" t="str">
        <f ca="1">CELL("filename",F1)</f>
        <v>D:\kerja\BANK EXP\BARU\2024\06 JUNI\[NOTA 06 JUNI 2024.xlsx]SDI</v>
      </c>
      <c r="K1" s="15" t="e">
        <f ca="1">(400881.99*(100/11))*1.11+I3</f>
        <v>#VALUE!</v>
      </c>
    </row>
    <row r="2" spans="1:14">
      <c r="A2" s="4" t="s">
        <v>47</v>
      </c>
      <c r="B2" s="4" t="s">
        <v>0</v>
      </c>
      <c r="C2" s="4" t="s">
        <v>2</v>
      </c>
      <c r="D2" s="7" t="s">
        <v>45</v>
      </c>
      <c r="E2" s="7" t="s">
        <v>6</v>
      </c>
      <c r="F2" s="4" t="s">
        <v>4</v>
      </c>
      <c r="G2" s="4" t="s">
        <v>5</v>
      </c>
      <c r="H2" s="16" t="s">
        <v>38</v>
      </c>
      <c r="I2" s="16" t="s">
        <v>39</v>
      </c>
      <c r="J2" s="16" t="s">
        <v>41</v>
      </c>
      <c r="K2" s="16" t="s">
        <v>44</v>
      </c>
      <c r="L2" s="16" t="s">
        <v>21</v>
      </c>
      <c r="M2" s="8" t="s">
        <v>89</v>
      </c>
      <c r="N2" s="8" t="s">
        <v>90</v>
      </c>
    </row>
    <row r="3" spans="1:14">
      <c r="A3" s="4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9" t="str">
        <f ca="1">HYPERLINK("[NOTA_.xlsx]PAJAK!b"&amp;SDI[[#This Row],[//PAJAK]],IF(SDI[[#This Row],[//PAJAK]]="","",INDEX(INDIRECT("PAJAK["&amp;SDI[#Headers]&amp;"]"),SDI[[#This Row],[//PAJAK]]-1)))</f>
        <v/>
      </c>
      <c r="C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3" t="str">
        <f ca="1">IF(SDI[[#This Row],[//PAJAK]]="","",INDEX(INDIRECT("PAJAK["&amp;SDI[#Headers]&amp;"]"),SDI[[#This Row],[//PAJAK]]-1))</f>
        <v/>
      </c>
      <c r="G3" t="str">
        <f ca="1">IF(SDI[[#This Row],[//PAJAK]]="","",INDEX(INDIRECT("PAJAK["&amp;SDI[#Headers]&amp;"]"),SDI[[#This Row],[//PAJAK]]-1))</f>
        <v/>
      </c>
      <c r="H3" s="14" t="e">
        <f ca="1">IF(SDI[[#This Row],[//PAJAK]]="","",(INDEX(INDIRECT("PAJAK["&amp;SDI[#Headers]&amp;"]"),SDI[[#This Row],[//PAJAK]]-1))-SDI[[#This Row],[H_DISKON]])*1.11</f>
        <v>#VALUE!</v>
      </c>
      <c r="I3" s="14" t="str">
        <f ca="1">IF(SDI[[#This Row],[//PAJAK]]="","",SDI[[#This Row],[H_DISC DLL]])</f>
        <v/>
      </c>
      <c r="J3" s="14" t="e">
        <f ca="1">(SDI[[#This Row],[SUB TOTAL]])/1.11</f>
        <v>#VALUE!</v>
      </c>
      <c r="K3" s="14" t="e">
        <f ca="1">SDI[[#This Row],[DPP]]*11%</f>
        <v>#VALUE!</v>
      </c>
      <c r="L3" s="14" t="e">
        <f ca="1">SDI[[#This Row],[DPP]]+SDI[[#This Row],[PPN (11%)]]</f>
        <v>#VALUE!</v>
      </c>
      <c r="M3" s="14" t="str">
        <f ca="1">IF(SDI[[#This Row],[//PAJAK]]="","",INDEX(PAJAK[DISKON],SDI[[#This Row],[//PAJAK]]-1))</f>
        <v/>
      </c>
      <c r="N3" s="14" t="str">
        <f ca="1">IF(SDI[[#This Row],[//PAJAK]]="","",INDEX(PAJAK[DISC DLL],SDI[[#This Row],[//PAJAK]]-1))</f>
        <v/>
      </c>
    </row>
    <row r="4" spans="1:14">
      <c r="A4" s="4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9" t="str">
        <f ca="1">HYPERLINK("[NOTA_.xlsx]PAJAK!b"&amp;SDI[[#This Row],[//PAJAK]],IF(SDI[[#This Row],[//PAJAK]]="","",INDEX(INDIRECT("PAJAK["&amp;SDI[#Headers]&amp;"]"),SDI[[#This Row],[//PAJAK]]-1)))</f>
        <v/>
      </c>
      <c r="C4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3" t="str">
        <f ca="1">IF(SDI[[#This Row],[//PAJAK]]="","",INDEX(INDIRECT("PAJAK["&amp;SDI[#Headers]&amp;"]"),SDI[[#This Row],[//PAJAK]]-1))</f>
        <v/>
      </c>
      <c r="G4" t="str">
        <f ca="1">IF(SDI[[#This Row],[//PAJAK]]="","",INDEX(INDIRECT("PAJAK["&amp;SDI[#Headers]&amp;"]"),SDI[[#This Row],[//PAJAK]]-1))</f>
        <v/>
      </c>
      <c r="H4" s="15" t="str">
        <f ca="1">IF(SDI[[#This Row],[//PAJAK]]="","",(INDEX(INDIRECT("PAJAK["&amp;SDI[#Headers]&amp;"]"),SDI[[#This Row],[//PAJAK]]-1))-SDI[[#This Row],[H_DISKON]])</f>
        <v/>
      </c>
      <c r="I4" s="15" t="str">
        <f ca="1">IF(SDI[[#This Row],[//PAJAK]]="","",SDI[[#This Row],[H_DISC DLL]])</f>
        <v/>
      </c>
      <c r="J4" s="15" t="e">
        <f ca="1">(SDI[[#This Row],[SUB TOTAL]])/1.11</f>
        <v>#VALUE!</v>
      </c>
      <c r="K4" s="15" t="e">
        <f ca="1">SDI[[#This Row],[DPP]]*11%</f>
        <v>#VALUE!</v>
      </c>
      <c r="L4" s="15" t="e">
        <f ca="1">SDI[[#This Row],[DPP]]+SDI[[#This Row],[PPN (11%)]]</f>
        <v>#VALUE!</v>
      </c>
      <c r="M4" s="15" t="str">
        <f ca="1">IF(SDI[[#This Row],[//PAJAK]]="","",INDEX(PAJAK[DISKON],SDI[[#This Row],[//PAJAK]]-1))</f>
        <v/>
      </c>
      <c r="N4" s="15" t="str">
        <f ca="1">IF(SDI[[#This Row],[//PAJAK]]="","",INDEX(PAJAK[DISC DLL],SDI[[#This Row],[//PAJAK]]-1))</f>
        <v/>
      </c>
    </row>
    <row r="5" spans="1:14">
      <c r="A5" s="4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9" t="str">
        <f ca="1">HYPERLINK("[NOTA_.xlsx]PAJAK!b"&amp;SDI[[#This Row],[//PAJAK]],IF(SDI[[#This Row],[//PAJAK]]="","",INDEX(INDIRECT("PAJAK["&amp;SDI[#Headers]&amp;"]"),SDI[[#This Row],[//PAJAK]]-1)))</f>
        <v/>
      </c>
      <c r="C5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3" t="str">
        <f ca="1">IF(SDI[[#This Row],[//PAJAK]]="","",INDEX(INDIRECT("PAJAK["&amp;SDI[#Headers]&amp;"]"),SDI[[#This Row],[//PAJAK]]-1))</f>
        <v/>
      </c>
      <c r="G5" t="str">
        <f ca="1">IF(SDI[[#This Row],[//PAJAK]]="","",INDEX(INDIRECT("PAJAK["&amp;SDI[#Headers]&amp;"]"),SDI[[#This Row],[//PAJAK]]-1))</f>
        <v/>
      </c>
      <c r="H5" s="15" t="str">
        <f ca="1">IF(SDI[[#This Row],[//PAJAK]]="","",(INDEX(INDIRECT("PAJAK["&amp;SDI[#Headers]&amp;"]"),SDI[[#This Row],[//PAJAK]]-1))-SDI[[#This Row],[H_DISKON]])</f>
        <v/>
      </c>
      <c r="I5" s="15" t="str">
        <f ca="1">IF(SDI[[#This Row],[//PAJAK]]="","",SDI[[#This Row],[H_DISC DLL]])</f>
        <v/>
      </c>
      <c r="J5" s="15" t="e">
        <f ca="1">(SDI[[#This Row],[SUB TOTAL]])/1.11</f>
        <v>#VALUE!</v>
      </c>
      <c r="K5" s="15" t="e">
        <f ca="1">SDI[[#This Row],[DPP]]*11%</f>
        <v>#VALUE!</v>
      </c>
      <c r="L5" s="15" t="e">
        <f ca="1">SDI[[#This Row],[DPP]]+SDI[[#This Row],[PPN (11%)]]</f>
        <v>#VALUE!</v>
      </c>
      <c r="M5" s="15" t="str">
        <f ca="1">IF(SDI[[#This Row],[//PAJAK]]="","",INDEX(PAJAK[DISKON],SDI[[#This Row],[//PAJAK]]-1))</f>
        <v/>
      </c>
      <c r="N5" s="15" t="str">
        <f ca="1">IF(SDI[[#This Row],[//PAJAK]]="","",INDEX(PAJAK[DISC DLL],SDI[[#This Row],[//PAJAK]]-1))</f>
        <v/>
      </c>
    </row>
    <row r="6" spans="1:14">
      <c r="A6" s="4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9" t="str">
        <f ca="1">HYPERLINK("[NOTA_.xlsx]PAJAK!b"&amp;SDI[[#This Row],[//PAJAK]],IF(SDI[[#This Row],[//PAJAK]]="","",INDEX(INDIRECT("PAJAK["&amp;SDI[#Headers]&amp;"]"),SDI[[#This Row],[//PAJAK]]-1)))</f>
        <v/>
      </c>
      <c r="C6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3" t="str">
        <f ca="1">IF(SDI[[#This Row],[//PAJAK]]="","",INDEX(INDIRECT("PAJAK["&amp;SDI[#Headers]&amp;"]"),SDI[[#This Row],[//PAJAK]]-1))</f>
        <v/>
      </c>
      <c r="G6" t="str">
        <f ca="1">IF(SDI[[#This Row],[//PAJAK]]="","",INDEX(INDIRECT("PAJAK["&amp;SDI[#Headers]&amp;"]"),SDI[[#This Row],[//PAJAK]]-1))</f>
        <v/>
      </c>
      <c r="H6" s="15" t="str">
        <f ca="1">IF(SDI[[#This Row],[//PAJAK]]="","",(INDEX(INDIRECT("PAJAK["&amp;SDI[#Headers]&amp;"]"),SDI[[#This Row],[//PAJAK]]-1))-SDI[[#This Row],[H_DISKON]])</f>
        <v/>
      </c>
      <c r="I6" s="15" t="str">
        <f ca="1">IF(SDI[[#This Row],[//PAJAK]]="","",SDI[[#This Row],[H_DISC DLL]])</f>
        <v/>
      </c>
      <c r="J6" s="15" t="e">
        <f ca="1">(SDI[[#This Row],[SUB TOTAL]])/1.11</f>
        <v>#VALUE!</v>
      </c>
      <c r="K6" s="15" t="e">
        <f ca="1">SDI[[#This Row],[DPP]]*11%</f>
        <v>#VALUE!</v>
      </c>
      <c r="L6" s="15" t="e">
        <f ca="1">SDI[[#This Row],[DPP]]+SDI[[#This Row],[PPN (11%)]]</f>
        <v>#VALUE!</v>
      </c>
      <c r="M6" s="15" t="str">
        <f ca="1">IF(SDI[[#This Row],[//PAJAK]]="","",INDEX(PAJAK[DISKON],SDI[[#This Row],[//PAJAK]]-1))</f>
        <v/>
      </c>
      <c r="N6" s="15" t="str">
        <f ca="1">IF(SDI[[#This Row],[//PAJAK]]="","",INDEX(PAJAK[DISC DLL],SDI[[#This Row],[//PAJAK]]-1))</f>
        <v/>
      </c>
    </row>
    <row r="7" spans="1:14">
      <c r="A7" s="4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9" t="str">
        <f ca="1">HYPERLINK("[NOTA_.xlsx]PAJAK!b"&amp;SDI[[#This Row],[//PAJAK]],IF(SDI[[#This Row],[//PAJAK]]="","",INDEX(INDIRECT("PAJAK["&amp;SDI[#Headers]&amp;"]"),SDI[[#This Row],[//PAJAK]]-1)))</f>
        <v/>
      </c>
      <c r="C7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3" t="str">
        <f ca="1">IF(SDI[[#This Row],[//PAJAK]]="","",INDEX(INDIRECT("PAJAK["&amp;SDI[#Headers]&amp;"]"),SDI[[#This Row],[//PAJAK]]-1))</f>
        <v/>
      </c>
      <c r="G7" t="str">
        <f ca="1">IF(SDI[[#This Row],[//PAJAK]]="","",INDEX(INDIRECT("PAJAK["&amp;SDI[#Headers]&amp;"]"),SDI[[#This Row],[//PAJAK]]-1))</f>
        <v/>
      </c>
      <c r="H7" s="15" t="str">
        <f ca="1">IF(SDI[[#This Row],[//PAJAK]]="","",(INDEX(INDIRECT("PAJAK["&amp;SDI[#Headers]&amp;"]"),SDI[[#This Row],[//PAJAK]]-1))-SDI[[#This Row],[H_DISKON]])</f>
        <v/>
      </c>
      <c r="I7" s="15" t="str">
        <f ca="1">IF(SDI[[#This Row],[//PAJAK]]="","",SDI[[#This Row],[H_DISC DLL]])</f>
        <v/>
      </c>
      <c r="J7" s="15" t="e">
        <f ca="1">(SDI[[#This Row],[SUB TOTAL]])/1.11</f>
        <v>#VALUE!</v>
      </c>
      <c r="K7" s="15" t="e">
        <f ca="1">SDI[[#This Row],[DPP]]*11%</f>
        <v>#VALUE!</v>
      </c>
      <c r="L7" s="15" t="e">
        <f ca="1">SDI[[#This Row],[DPP]]+SDI[[#This Row],[PPN (11%)]]</f>
        <v>#VALUE!</v>
      </c>
      <c r="M7" s="15" t="str">
        <f ca="1">IF(SDI[[#This Row],[//PAJAK]]="","",INDEX(PAJAK[DISKON],SDI[[#This Row],[//PAJAK]]-1))</f>
        <v/>
      </c>
      <c r="N7" s="15" t="str">
        <f ca="1">IF(SDI[[#This Row],[//PAJAK]]="","",INDEX(PAJAK[DISC DLL],SDI[[#This Row],[//PAJAK]]-1))</f>
        <v/>
      </c>
    </row>
    <row r="8" spans="1:14">
      <c r="A8" s="4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9" t="str">
        <f ca="1">HYPERLINK("[NOTA_.xlsx]PAJAK!b"&amp;SDI[[#This Row],[//PAJAK]],IF(SDI[[#This Row],[//PAJAK]]="","",INDEX(INDIRECT("PAJAK["&amp;SDI[#Headers]&amp;"]"),SDI[[#This Row],[//PAJAK]]-1)))</f>
        <v/>
      </c>
      <c r="C8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3" t="str">
        <f ca="1">IF(SDI[[#This Row],[//PAJAK]]="","",INDEX(INDIRECT("PAJAK["&amp;SDI[#Headers]&amp;"]"),SDI[[#This Row],[//PAJAK]]-1))</f>
        <v/>
      </c>
      <c r="G8" t="str">
        <f ca="1">IF(SDI[[#This Row],[//PAJAK]]="","",INDEX(INDIRECT("PAJAK["&amp;SDI[#Headers]&amp;"]"),SDI[[#This Row],[//PAJAK]]-1))</f>
        <v/>
      </c>
      <c r="H8" s="15" t="str">
        <f ca="1">IF(SDI[[#This Row],[//PAJAK]]="","",(INDEX(INDIRECT("PAJAK["&amp;SDI[#Headers]&amp;"]"),SDI[[#This Row],[//PAJAK]]-1))-SDI[[#This Row],[H_DISKON]])</f>
        <v/>
      </c>
      <c r="I8" s="15" t="str">
        <f ca="1">IF(SDI[[#This Row],[//PAJAK]]="","",SDI[[#This Row],[H_DISC DLL]])</f>
        <v/>
      </c>
      <c r="J8" s="15" t="e">
        <f ca="1">(SDI[[#This Row],[SUB TOTAL]])/1.11</f>
        <v>#VALUE!</v>
      </c>
      <c r="K8" s="15" t="e">
        <f ca="1">SDI[[#This Row],[DPP]]*11%</f>
        <v>#VALUE!</v>
      </c>
      <c r="L8" s="15" t="e">
        <f ca="1">SDI[[#This Row],[DPP]]+SDI[[#This Row],[PPN (11%)]]</f>
        <v>#VALUE!</v>
      </c>
      <c r="M8" s="15" t="str">
        <f ca="1">IF(SDI[[#This Row],[//PAJAK]]="","",INDEX(PAJAK[DISKON],SDI[[#This Row],[//PAJAK]]-1))</f>
        <v/>
      </c>
      <c r="N8" s="15" t="str">
        <f ca="1">IF(SDI[[#This Row],[//PAJAK]]="","",INDEX(PAJAK[DISC DLL],SDI[[#This Row],[//PAJAK]]-1))</f>
        <v/>
      </c>
    </row>
    <row r="9" spans="1:14">
      <c r="A9" s="4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9" t="str">
        <f ca="1">HYPERLINK("[NOTA_.xlsx]PAJAK!b"&amp;SDI[[#This Row],[//PAJAK]],IF(SDI[[#This Row],[//PAJAK]]="","",INDEX(INDIRECT("PAJAK["&amp;SDI[#Headers]&amp;"]"),SDI[[#This Row],[//PAJAK]]-1)))</f>
        <v/>
      </c>
      <c r="C9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3" t="str">
        <f ca="1">IF(SDI[[#This Row],[//PAJAK]]="","",INDEX(INDIRECT("PAJAK["&amp;SDI[#Headers]&amp;"]"),SDI[[#This Row],[//PAJAK]]-1))</f>
        <v/>
      </c>
      <c r="G9" t="str">
        <f ca="1">IF(SDI[[#This Row],[//PAJAK]]="","",INDEX(INDIRECT("PAJAK["&amp;SDI[#Headers]&amp;"]"),SDI[[#This Row],[//PAJAK]]-1))</f>
        <v/>
      </c>
      <c r="H9" s="15" t="str">
        <f ca="1">IF(SDI[[#This Row],[//PAJAK]]="","",(INDEX(INDIRECT("PAJAK["&amp;SDI[#Headers]&amp;"]"),SDI[[#This Row],[//PAJAK]]-1))-SDI[[#This Row],[H_DISKON]])</f>
        <v/>
      </c>
      <c r="I9" s="15" t="str">
        <f ca="1">IF(SDI[[#This Row],[//PAJAK]]="","",SDI[[#This Row],[H_DISC DLL]])</f>
        <v/>
      </c>
      <c r="J9" s="15" t="e">
        <f ca="1">(SDI[[#This Row],[SUB TOTAL]])/1.11</f>
        <v>#VALUE!</v>
      </c>
      <c r="K9" s="15" t="e">
        <f ca="1">SDI[[#This Row],[DPP]]*11%</f>
        <v>#VALUE!</v>
      </c>
      <c r="L9" s="15" t="e">
        <f ca="1">SDI[[#This Row],[DPP]]+SDI[[#This Row],[PPN (11%)]]</f>
        <v>#VALUE!</v>
      </c>
      <c r="M9" s="15" t="str">
        <f ca="1">IF(SDI[[#This Row],[//PAJAK]]="","",INDEX(PAJAK[DISKON],SDI[[#This Row],[//PAJAK]]-1))</f>
        <v/>
      </c>
      <c r="N9" s="15" t="str">
        <f ca="1">IF(SDI[[#This Row],[//PAJAK]]="","",INDEX(PAJAK[DISC DLL],SDI[[#This Row],[//PAJAK]]-1))</f>
        <v/>
      </c>
    </row>
    <row r="10" spans="1:14">
      <c r="A10" s="4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9" t="str">
        <f ca="1">HYPERLINK("[NOTA_.xlsx]PAJAK!b"&amp;SDI[[#This Row],[//PAJAK]],IF(SDI[[#This Row],[//PAJAK]]="","",INDEX(INDIRECT("PAJAK["&amp;SDI[#Headers]&amp;"]"),SDI[[#This Row],[//PAJAK]]-1)))</f>
        <v/>
      </c>
      <c r="C10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3" t="str">
        <f ca="1">IF(SDI[[#This Row],[//PAJAK]]="","",INDEX(INDIRECT("PAJAK["&amp;SDI[#Headers]&amp;"]"),SDI[[#This Row],[//PAJAK]]-1))</f>
        <v/>
      </c>
      <c r="G10" t="str">
        <f ca="1">IF(SDI[[#This Row],[//PAJAK]]="","",INDEX(INDIRECT("PAJAK["&amp;SDI[#Headers]&amp;"]"),SDI[[#This Row],[//PAJAK]]-1))</f>
        <v/>
      </c>
      <c r="H10" s="15" t="str">
        <f ca="1">IF(SDI[[#This Row],[//PAJAK]]="","",(INDEX(INDIRECT("PAJAK["&amp;SDI[#Headers]&amp;"]"),SDI[[#This Row],[//PAJAK]]-1))-SDI[[#This Row],[H_DISKON]])</f>
        <v/>
      </c>
      <c r="I10" s="15" t="str">
        <f ca="1">IF(SDI[[#This Row],[//PAJAK]]="","",SDI[[#This Row],[H_DISC DLL]])</f>
        <v/>
      </c>
      <c r="J10" s="15" t="e">
        <f ca="1">(SDI[[#This Row],[SUB TOTAL]])/1.11</f>
        <v>#VALUE!</v>
      </c>
      <c r="K10" s="15" t="e">
        <f ca="1">SDI[[#This Row],[DPP]]*11%</f>
        <v>#VALUE!</v>
      </c>
      <c r="L10" s="15" t="e">
        <f ca="1">SDI[[#This Row],[DPP]]+SDI[[#This Row],[PPN (11%)]]</f>
        <v>#VALUE!</v>
      </c>
      <c r="M10" s="15" t="str">
        <f ca="1">IF(SDI[[#This Row],[//PAJAK]]="","",INDEX(PAJAK[DISKON],SDI[[#This Row],[//PAJAK]]-1))</f>
        <v/>
      </c>
      <c r="N10" s="15" t="str">
        <f ca="1">IF(SDI[[#This Row],[//PAJAK]]="","",INDEX(PAJAK[DISC DLL],SDI[[#This Row],[//PAJAK]]-1))</f>
        <v/>
      </c>
    </row>
    <row r="11" spans="1:14">
      <c r="A11" s="4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9" t="str">
        <f ca="1">HYPERLINK("[NOTA_.xlsx]PAJAK!b"&amp;SDI[[#This Row],[//PAJAK]],IF(SDI[[#This Row],[//PAJAK]]="","",INDEX(INDIRECT("PAJAK["&amp;SDI[#Headers]&amp;"]"),SDI[[#This Row],[//PAJAK]]-1)))</f>
        <v/>
      </c>
      <c r="C11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3" t="str">
        <f ca="1">IF(SDI[[#This Row],[//PAJAK]]="","",INDEX(INDIRECT("PAJAK["&amp;SDI[#Headers]&amp;"]"),SDI[[#This Row],[//PAJAK]]-1))</f>
        <v/>
      </c>
      <c r="G11" t="str">
        <f ca="1">IF(SDI[[#This Row],[//PAJAK]]="","",INDEX(INDIRECT("PAJAK["&amp;SDI[#Headers]&amp;"]"),SDI[[#This Row],[//PAJAK]]-1))</f>
        <v/>
      </c>
      <c r="H11" s="15" t="str">
        <f ca="1">IF(SDI[[#This Row],[//PAJAK]]="","",(INDEX(INDIRECT("PAJAK["&amp;SDI[#Headers]&amp;"]"),SDI[[#This Row],[//PAJAK]]-1))-SDI[[#This Row],[H_DISKON]])</f>
        <v/>
      </c>
      <c r="I11" s="15" t="str">
        <f ca="1">IF(SDI[[#This Row],[//PAJAK]]="","",SDI[[#This Row],[H_DISC DLL]])</f>
        <v/>
      </c>
      <c r="J11" s="15" t="e">
        <f ca="1">(SDI[[#This Row],[SUB TOTAL]])/1.11</f>
        <v>#VALUE!</v>
      </c>
      <c r="K11" s="15" t="e">
        <f ca="1">SDI[[#This Row],[DPP]]*11%</f>
        <v>#VALUE!</v>
      </c>
      <c r="L11" s="15" t="e">
        <f ca="1">SDI[[#This Row],[DPP]]+SDI[[#This Row],[PPN (11%)]]</f>
        <v>#VALUE!</v>
      </c>
      <c r="M11" s="15" t="str">
        <f ca="1">IF(SDI[[#This Row],[//PAJAK]]="","",INDEX(PAJAK[DISKON],SDI[[#This Row],[//PAJAK]]-1))</f>
        <v/>
      </c>
      <c r="N11" s="15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M25"/>
  <sheetViews>
    <sheetView topLeftCell="B1" workbookViewId="0">
      <selection activeCell="G1" sqref="G1"/>
    </sheetView>
  </sheetViews>
  <sheetFormatPr defaultRowHeight="1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CV SAMUDERA ANGKASA JAYA</v>
      </c>
      <c r="E1">
        <f ca="1">INDEX(CONV[JML],MATCH(D1,CONV[2],0))</f>
        <v>0</v>
      </c>
      <c r="G1" s="3" t="str">
        <f ca="1">CELL("filename",G1)</f>
        <v>D:\kerja\BANK EXP\BARU\2024\06 JUNI\[NOTA 06 JUNI 2024.xlsx]SAJ</v>
      </c>
      <c r="I1" s="1"/>
      <c r="J1" s="1"/>
      <c r="K1" s="1"/>
      <c r="L1" s="1"/>
      <c r="M1" s="1"/>
    </row>
    <row r="2" spans="1:13">
      <c r="A2" s="4" t="s">
        <v>76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HYPERLINK("[NOTA_.xlsx]NOTA!A"&amp;MATCH(SAJ[[#This Row],[ID]],NOTA[ID],0)+2,IF(SAJ[[#This Row],[//PAJAK]]="","",MATCH(SAJ[[#This Row],[ID]],NOTA[ID],0)+2))</f>
        <v/>
      </c>
      <c r="B3" s="4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HYPERLINK("[NOTA_.xlsx]PAJAK!b"&amp;SAJ[[#This Row],[//PAJAK]],IF(SAJ[[#This Row],[//PAJAK]]="","",INDEX(INDIRECT("PAJAK["&amp;SAJ[#Headers]&amp;"]"),SAJ[[#This Row],[//PAJAK]]-1)))</f>
        <v/>
      </c>
      <c r="D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3" t="str">
        <f ca="1">IF(SAJ[[#This Row],[//PAJAK]]="","",INDEX(INDIRECT("PAJAK["&amp;SAJ[#Headers]&amp;"]"),SAJ[[#This Row],[//PAJAK]]-1))</f>
        <v/>
      </c>
      <c r="H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>
      <c r="A4" s="10" t="str">
        <f ca="1">HYPERLINK("[NOTA_.xlsx]NOTA!A"&amp;MATCH(SAJ[[#This Row],[ID]],NOTA[ID],0)+2,IF(SAJ[[#This Row],[//PAJAK]]="","",MATCH(SAJ[[#This Row],[ID]],NOTA[ID],0)+2))</f>
        <v/>
      </c>
      <c r="B4" s="4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>
      <c r="A5" s="10" t="str">
        <f ca="1">HYPERLINK("[NOTA_.xlsx]NOTA!A"&amp;MATCH(SAJ[[#This Row],[ID]],NOTA[ID],0)+2,IF(SAJ[[#This Row],[//PAJAK]]="","",MATCH(SAJ[[#This Row],[ID]],NOTA[ID],0)+2))</f>
        <v/>
      </c>
      <c r="B5" s="4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HYPERLINK("[NOTA_.xlsx]PAJAK!b"&amp;SAJ[[#This Row],[//PAJAK]],IF(SAJ[[#This Row],[//PAJAK]]="","",INDEX(INDIRECT("PAJAK["&amp;SAJ[#Headers]&amp;"]"),SAJ[[#This Row],[//PAJAK]]-1)))</f>
        <v/>
      </c>
      <c r="D5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t="str">
        <f ca="1">IF(SAJ[[#This Row],[//PAJAK]]="","",INDEX(INDIRECT("PAJAK["&amp;SAJ[#Headers]&amp;"]"),SAJ[[#This Row],[//PAJAK]]-1))</f>
        <v/>
      </c>
      <c r="H5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>
      <c r="A6" s="10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>
      <c r="A7" s="10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>
      <c r="A8" s="10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>
      <c r="A9" s="10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>
      <c r="A10" s="10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>
      <c r="A11" s="10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>
      <c r="A12" s="10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>
      <c r="A13" s="10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>
      <c r="A14" s="10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>
      <c r="A15" s="10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>
      <c r="A16" s="10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>
      <c r="A17" s="10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>
      <c r="A18" s="10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>
      <c r="A19" s="10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>
      <c r="A20" s="10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>
      <c r="A21" s="10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>
      <c r="A22" s="10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>
      <c r="A23" s="10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>
      <c r="A24" s="10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>
      <c r="A25" s="10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M25"/>
  <sheetViews>
    <sheetView workbookViewId="0">
      <selection activeCell="D4" sqref="D4"/>
    </sheetView>
  </sheetViews>
  <sheetFormatPr defaultRowHeight="1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>
      <c r="D1" t="str">
        <f ca="1">INDEX(CONV[2],MATCH(MID(G1,FIND("]",G1)+1,LEN(G1)-FIND("]",G1)),CONV[3],0))</f>
        <v>PT MITRA GLOBAL NIAGA</v>
      </c>
      <c r="E1">
        <f ca="1">INDEX(CONV[JML],MATCH(D1,CONV[2],0))</f>
        <v>0</v>
      </c>
      <c r="G1" s="3" t="str">
        <f ca="1">CELL("filename",G1)</f>
        <v>D:\kerja\BANK EXP\BARU\2024\06 JUNI\[NOTA 06 JUNI 2024.xlsx]MGN</v>
      </c>
    </row>
    <row r="2" spans="1:13">
      <c r="A2" s="4" t="s">
        <v>76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HYPERLINK("[NOTA_.xlsx]NOTA!A"&amp;MATCH(MGN[[#This Row],[ID]],NOTA[ID],0)+2,IF(MGN[[#This Row],[//PAJAK]]="","",MATCH(MGN[[#This Row],[ID]],NOTA[ID],0)+2))</f>
        <v/>
      </c>
      <c r="B3" s="4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HYPERLINK("[NOTA_.xlsx]PAJAK!b"&amp;MGN[[#This Row],[//PAJAK]],IF(MGN[[#This Row],[//PAJAK]]="","",INDEX(INDIRECT("PAJAK["&amp;MGN[#Headers]&amp;"]"),MGN[[#This Row],[//PAJAK]]-1)))</f>
        <v/>
      </c>
      <c r="D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3" t="str">
        <f ca="1">IF(MGN[[#This Row],[//PAJAK]]="","",INDEX(INDIRECT("PAJAK["&amp;MGN[#Headers]&amp;"]"),MGN[[#This Row],[//PAJAK]]-1))</f>
        <v/>
      </c>
      <c r="H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>
      <c r="A4" s="10" t="str">
        <f ca="1">HYPERLINK("[NOTA_.xlsx]NOTA!A"&amp;MATCH(MGN[[#This Row],[ID]],NOTA[ID],0)+2,IF(MGN[[#This Row],[//PAJAK]]="","",MATCH(MGN[[#This Row],[ID]],NOTA[ID],0)+2))</f>
        <v/>
      </c>
      <c r="B4" s="4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>
      <c r="A5" s="10" t="str">
        <f ca="1">HYPERLINK("[NOTA_.xlsx]NOTA!A"&amp;MATCH(MGN[[#This Row],[ID]],NOTA[ID],0)+2,IF(MGN[[#This Row],[//PAJAK]]="","",MATCH(MGN[[#This Row],[ID]],NOTA[ID],0)+2))</f>
        <v/>
      </c>
      <c r="B5" s="4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HYPERLINK("[NOTA_.xlsx]PAJAK!b"&amp;MGN[[#This Row],[//PAJAK]],IF(MGN[[#This Row],[//PAJAK]]="","",INDEX(INDIRECT("PAJAK["&amp;MGN[#Headers]&amp;"]"),MGN[[#This Row],[//PAJAK]]-1)))</f>
        <v/>
      </c>
      <c r="D5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t="str">
        <f ca="1">IF(MGN[[#This Row],[//PAJAK]]="","",INDEX(INDIRECT("PAJAK["&amp;MGN[#Headers]&amp;"]"),MGN[[#This Row],[//PAJAK]]-1))</f>
        <v/>
      </c>
      <c r="H5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>
      <c r="A6" s="10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>
      <c r="A7" s="10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>
      <c r="A8" s="10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>
      <c r="A9" s="10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>
      <c r="A10" s="10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>
      <c r="A11" s="10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>
      <c r="A12" s="10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>
      <c r="A13" s="10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>
      <c r="A14" s="10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>
      <c r="A15" s="10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>
      <c r="A16" s="10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>
      <c r="A17" s="10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>
      <c r="A18" s="10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>
      <c r="A19" s="10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>
      <c r="A20" s="10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>
      <c r="A21" s="10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>
      <c r="A22" s="10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>
      <c r="A23" s="10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>
      <c r="A24" s="10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>
      <c r="A25" s="10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M6"/>
  <sheetViews>
    <sheetView workbookViewId="0">
      <selection activeCell="I3" sqref="I3"/>
    </sheetView>
  </sheetViews>
  <sheetFormatPr defaultRowHeight="1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LIE ARMAND</v>
      </c>
      <c r="E1">
        <f ca="1">INDEX(CONV[JML],MATCH(D1,CONV[2],0))</f>
        <v>0</v>
      </c>
      <c r="G1" s="3" t="str">
        <f ca="1">CELL("filename",G1)</f>
        <v>D:\kerja\BANK EXP\BARU\2024\06 JUNI\[NOTA 06 JUNI 2024.xlsx]LIE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HYPERLINK("[NOTA_.xlsx]NOTA!A"&amp;MATCH(LIE[[#This Row],[ID]],NOTA[ID],0)+2,IF(LIE[[#This Row],[//PAJAK]]="","",MATCH(LIE[[#This Row],[ID]],NOTA[ID],0)+2))</f>
        <v/>
      </c>
      <c r="B3" s="4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HYPERLINK("[NOTA_.xlsx]PAJAK!b"&amp;LIE[[#This Row],[//PAJAK]],IF(LIE[[#This Row],[//PAJAK]]="","",INDEX(INDIRECT("PAJAK["&amp;LIE[#Headers]&amp;"]"),LIE[[#This Row],[//PAJAK]]-1)))</f>
        <v/>
      </c>
      <c r="D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3" t="str">
        <f ca="1">IF(LIE[[#This Row],[//PAJAK]]="","",INDEX(INDIRECT("PAJAK["&amp;LIE[#Headers]&amp;"]"),LIE[[#This Row],[//PAJAK]]-1))</f>
        <v/>
      </c>
      <c r="H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>
      <c r="A4" s="10" t="str">
        <f ca="1">HYPERLINK("[NOTA_.xlsx]NOTA!A"&amp;MATCH(LIE[[#This Row],[ID]],NOTA[ID],0)+2,IF(LIE[[#This Row],[//PAJAK]]="","",MATCH(LIE[[#This Row],[ID]],NOTA[ID],0)+2))</f>
        <v/>
      </c>
      <c r="B4" s="4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HYPERLINK("[NOTA_.xlsx]PAJAK!b"&amp;LIE[[#This Row],[//PAJAK]],IF(LIE[[#This Row],[//PAJAK]]="","",INDEX(INDIRECT("PAJAK["&amp;LIE[#Headers]&amp;"]"),LIE[[#This Row],[//PAJAK]]-1)))</f>
        <v/>
      </c>
      <c r="D4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3" t="str">
        <f ca="1">IF(LIE[[#This Row],[//PAJAK]]="","",INDEX(INDIRECT("PAJAK["&amp;LIE[#Headers]&amp;"]"),LIE[[#This Row],[//PAJAK]]-1))</f>
        <v/>
      </c>
      <c r="H4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>
      <c r="A5" s="10" t="str">
        <f ca="1">HYPERLINK("[NOTA_.xlsx]NOTA!A"&amp;MATCH(LIE[[#This Row],[ID]],NOTA[ID],0)+2,IF(LIE[[#This Row],[//PAJAK]]="","",MATCH(LIE[[#This Row],[ID]],NOTA[ID],0)+2))</f>
        <v/>
      </c>
      <c r="B5" s="4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HYPERLINK("[NOTA_.xlsx]PAJAK!b"&amp;LIE[[#This Row],[//PAJAK]],IF(LIE[[#This Row],[//PAJAK]]="","",INDEX(INDIRECT("PAJAK["&amp;LIE[#Headers]&amp;"]"),LIE[[#This Row],[//PAJAK]]-1)))</f>
        <v/>
      </c>
      <c r="D5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3" t="str">
        <f ca="1">IF(LIE[[#This Row],[//PAJAK]]="","",INDEX(INDIRECT("PAJAK["&amp;LIE[#Headers]&amp;"]"),LIE[[#This Row],[//PAJAK]]-1))</f>
        <v/>
      </c>
      <c r="H5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>
      <c r="A6" s="10" t="str">
        <f ca="1">HYPERLINK("[NOTA_.xlsx]NOTA!A"&amp;MATCH(LIE[[#This Row],[ID]],NOTA[ID],0)+2,IF(LIE[[#This Row],[//PAJAK]]="","",MATCH(LIE[[#This Row],[ID]],NOTA[ID],0)+2))</f>
        <v/>
      </c>
      <c r="B6" s="4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HYPERLINK("[NOTA_.xlsx]PAJAK!b"&amp;LIE[[#This Row],[//PAJAK]],IF(LIE[[#This Row],[//PAJAK]]="","",INDEX(INDIRECT("PAJAK["&amp;LIE[#Headers]&amp;"]"),LIE[[#This Row],[//PAJAK]]-1)))</f>
        <v/>
      </c>
      <c r="D6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3" t="str">
        <f ca="1">IF(LIE[[#This Row],[//PAJAK]]="","",INDEX(INDIRECT("PAJAK["&amp;LIE[#Headers]&amp;"]"),LIE[[#This Row],[//PAJAK]]-1))</f>
        <v/>
      </c>
      <c r="H6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M8"/>
  <sheetViews>
    <sheetView workbookViewId="0">
      <selection activeCell="M3" sqref="M3"/>
    </sheetView>
  </sheetViews>
  <sheetFormatPr defaultRowHeight="1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LAUTAN MAS ASIA</v>
      </c>
      <c r="E1">
        <f ca="1">INDEX(CONV[JML],MATCH(D1,CONV[2],0))</f>
        <v>0</v>
      </c>
      <c r="F1" t="str">
        <f ca="1">MID(G1,FIND("]",G1)+1,LEN(G1)-FIND("]",G1))</f>
        <v>LMA</v>
      </c>
      <c r="G1" s="3" t="str">
        <f ca="1">CELL("filename",G1)</f>
        <v>D:\kerja\BANK EXP\BARU\2024\06 JUNI\[NOTA 06 JUNI 2024.xlsx]LMA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HYPERLINK("[NOTA_.xlsx]NOTA!A"&amp;MATCH(LMA[[#This Row],[ID]],NOTA[ID],0)+2,IF(LMA[[#This Row],[//PAJAK]]="","",MATCH(LMA[[#This Row],[ID]],NOTA[ID],0)+2))</f>
        <v/>
      </c>
      <c r="B3" s="4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HYPERLINK("[NOTA_.xlsx]PAJAK!b"&amp;LMA[[#This Row],[//PAJAK]],IF(LMA[[#This Row],[//PAJAK]]="","",INDEX(INDIRECT("PAJAK["&amp;LMA[#Headers]&amp;"]"),LMA[[#This Row],[//PAJAK]]-1)))</f>
        <v/>
      </c>
      <c r="D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4" t="str">
        <f ca="1">IF(LMA[[#This Row],[//PAJAK]]="","",INDEX(INDIRECT("PAJAK["&amp;LMA[#Headers]&amp;"]"),LMA[[#This Row],[//PAJAK]]-1))</f>
        <v/>
      </c>
      <c r="H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>
      <c r="A4" s="10" t="str">
        <f ca="1">HYPERLINK("[NOTA_.xlsx]NOTA!A"&amp;MATCH(LMA[[#This Row],[ID]],NOTA[ID],0)+2,IF(LMA[[#This Row],[//PAJAK]]="","",MATCH(LMA[[#This Row],[ID]],NOTA[ID],0)+2))</f>
        <v/>
      </c>
      <c r="B4" s="4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HYPERLINK("[NOTA_.xlsx]PAJAK!b"&amp;LMA[[#This Row],[//PAJAK]],IF(LMA[[#This Row],[//PAJAK]]="","",INDEX(INDIRECT("PAJAK["&amp;LMA[#Headers]&amp;"]"),LMA[[#This Row],[//PAJAK]]-1)))</f>
        <v/>
      </c>
      <c r="D4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4" t="str">
        <f ca="1">IF(LMA[[#This Row],[//PAJAK]]="","",INDEX(INDIRECT("PAJAK["&amp;LMA[#Headers]&amp;"]"),LMA[[#This Row],[//PAJAK]]-1))</f>
        <v/>
      </c>
      <c r="H4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>
      <c r="A5" s="10" t="str">
        <f ca="1">HYPERLINK("[NOTA_.xlsx]NOTA!A"&amp;MATCH(LMA[[#This Row],[ID]],NOTA[ID],0)+2,IF(LMA[[#This Row],[//PAJAK]]="","",MATCH(LMA[[#This Row],[ID]],NOTA[ID],0)+2))</f>
        <v/>
      </c>
      <c r="B5" s="4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HYPERLINK("[NOTA_.xlsx]PAJAK!b"&amp;LMA[[#This Row],[//PAJAK]],IF(LMA[[#This Row],[//PAJAK]]="","",INDEX(INDIRECT("PAJAK["&amp;LMA[#Headers]&amp;"]"),LMA[[#This Row],[//PAJAK]]-1)))</f>
        <v/>
      </c>
      <c r="D5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4" t="str">
        <f ca="1">IF(LMA[[#This Row],[//PAJAK]]="","",INDEX(INDIRECT("PAJAK["&amp;LMA[#Headers]&amp;"]"),LMA[[#This Row],[//PAJAK]]-1))</f>
        <v/>
      </c>
      <c r="H5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>
      <c r="A6" s="10" t="str">
        <f ca="1">HYPERLINK("[NOTA_.xlsx]NOTA!A"&amp;MATCH(LMA[[#This Row],[ID]],NOTA[ID],0)+2,IF(LMA[[#This Row],[//PAJAK]]="","",MATCH(LMA[[#This Row],[ID]],NOTA[ID],0)+2))</f>
        <v/>
      </c>
      <c r="B6" s="4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HYPERLINK("[NOTA_.xlsx]PAJAK!b"&amp;LMA[[#This Row],[//PAJAK]],IF(LMA[[#This Row],[//PAJAK]]="","",INDEX(INDIRECT("PAJAK["&amp;LMA[#Headers]&amp;"]"),LMA[[#This Row],[//PAJAK]]-1)))</f>
        <v/>
      </c>
      <c r="D6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4" t="str">
        <f ca="1">IF(LMA[[#This Row],[//PAJAK]]="","",INDEX(INDIRECT("PAJAK["&amp;LMA[#Headers]&amp;"]"),LMA[[#This Row],[//PAJAK]]-1))</f>
        <v/>
      </c>
      <c r="H6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>
      <c r="A7" s="10" t="str">
        <f ca="1">HYPERLINK("[NOTA_.xlsx]NOTA!A"&amp;MATCH(LMA[[#This Row],[ID]],NOTA[ID],0)+2,IF(LMA[[#This Row],[//PAJAK]]="","",MATCH(LMA[[#This Row],[ID]],NOTA[ID],0)+2))</f>
        <v/>
      </c>
      <c r="B7" s="4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HYPERLINK("[NOTA_.xlsx]PAJAK!b"&amp;LMA[[#This Row],[//PAJAK]],IF(LMA[[#This Row],[//PAJAK]]="","",INDEX(INDIRECT("PAJAK["&amp;LMA[#Headers]&amp;"]"),LMA[[#This Row],[//PAJAK]]-1)))</f>
        <v/>
      </c>
      <c r="D7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4" t="str">
        <f ca="1">IF(LMA[[#This Row],[//PAJAK]]="","",INDEX(INDIRECT("PAJAK["&amp;LMA[#Headers]&amp;"]"),LMA[[#This Row],[//PAJAK]]-1))</f>
        <v/>
      </c>
      <c r="H7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>
      <c r="A8" s="10" t="str">
        <f ca="1">HYPERLINK("[NOTA_.xlsx]NOTA!A"&amp;MATCH(LMA[[#This Row],[ID]],NOTA[ID],0)+2,IF(LMA[[#This Row],[//PAJAK]]="","",MATCH(LMA[[#This Row],[ID]],NOTA[ID],0)+2))</f>
        <v/>
      </c>
      <c r="B8" s="4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HYPERLINK("[NOTA_.xlsx]PAJAK!b"&amp;LMA[[#This Row],[//PAJAK]],IF(LMA[[#This Row],[//PAJAK]]="","",INDEX(INDIRECT("PAJAK["&amp;LMA[#Headers]&amp;"]"),LMA[[#This Row],[//PAJAK]]-1)))</f>
        <v/>
      </c>
      <c r="D8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4" t="str">
        <f ca="1">IF(LMA[[#This Row],[//PAJAK]]="","",INDEX(INDIRECT("PAJAK["&amp;LMA[#Headers]&amp;"]"),LMA[[#This Row],[//PAJAK]]-1))</f>
        <v/>
      </c>
      <c r="H8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N50"/>
  <sheetViews>
    <sheetView zoomScale="85" zoomScaleNormal="85" workbookViewId="0">
      <selection activeCell="A46" sqref="A46"/>
    </sheetView>
  </sheetViews>
  <sheetFormatPr defaultRowHeight="1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4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>
      <c r="A1" s="4"/>
      <c r="B1" s="4"/>
      <c r="C1" s="4"/>
      <c r="D1" t="str">
        <f ca="1">INDEX(CONV[2],MATCH(MID(G1,FIND("]",G1)+1,LEN(G1)-FIND("]",G1)),CONV[3],0))</f>
        <v>CV PARAMA CREATIVINDO</v>
      </c>
      <c r="E1">
        <f ca="1">INDEX(CONV[JML],MATCH(D1,CONV[2],0))</f>
        <v>0</v>
      </c>
      <c r="F1" t="str">
        <f ca="1">MID(G1,FIND("]",G1)+1,LEN(G1)-FIND("]",G1))</f>
        <v>PARAMA</v>
      </c>
      <c r="G1" s="3" t="str">
        <f ca="1">CELL("filename",G1)</f>
        <v>D:\kerja\BANK EXP\BARU\2024\06 JUNI\[NOTA 06 JUNI 2024.xlsx]PARAMA</v>
      </c>
      <c r="I1" s="1"/>
      <c r="J1" s="1"/>
      <c r="K1" s="1"/>
      <c r="L1" s="1"/>
      <c r="M1" s="1"/>
      <c r="N1" s="1"/>
    </row>
    <row r="2" spans="1:14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102</v>
      </c>
      <c r="K2" s="8" t="s">
        <v>39</v>
      </c>
      <c r="L2" s="8" t="s">
        <v>41</v>
      </c>
      <c r="M2" s="8" t="s">
        <v>44</v>
      </c>
      <c r="N2" s="8" t="s">
        <v>21</v>
      </c>
    </row>
    <row r="3" spans="1:14">
      <c r="A3" s="10" t="str">
        <f ca="1">HYPERLINK("[NOTA_.xlsx]NOTA!A"&amp;MATCH(PARAMA[[#This Row],[ID]],NOTA[ID],0)+2,IF(PARAMA[[#This Row],[//PAJAK]]="","",MATCH(PARAMA[[#This Row],[ID]],NOTA[ID],0)+2))</f>
        <v/>
      </c>
      <c r="B3" s="4" t="str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HYPERLINK("[NOTA_.xlsx]PAJAK!b"&amp;PARAMA[[#This Row],[//PAJAK]],IF(PARAMA[[#This Row],[//PAJAK]]="","",INDEX(INDIRECT("PAJAK["&amp;PARAMA[#Headers]&amp;"]"),PARAMA[[#This Row],[//PAJAK]]-1)))</f>
        <v/>
      </c>
      <c r="D3" t="str">
        <f ca="1">IF(PARAMA[[#This Row],[//PAJAK]]="","",INDEX(INDIRECT("PAJAK["&amp;PARAMA[#Headers]&amp;"]"),PARAMA[[#This Row],[//PAJAK]]-1))</f>
        <v/>
      </c>
      <c r="E3" s="2" t="str">
        <f ca="1">IF(PARAMA[[#This Row],[//PAJAK]]="","",INDEX(INDIRECT("PAJAK["&amp;PARAMA[#Headers]&amp;"]"),PARAMA[[#This Row],[//PAJAK]]-1))</f>
        <v/>
      </c>
      <c r="F3" s="2" t="str">
        <f ca="1">IF(PARAMA[[#This Row],[//PAJAK]]="","",INDEX(INDIRECT("PAJAK["&amp;PARAMA[#Headers]&amp;"]"),PARAMA[[#This Row],[//PAJAK]]-1))</f>
        <v/>
      </c>
      <c r="G3" s="4" t="str">
        <f ca="1">IF(PARAMA[[#This Row],[//PAJAK]]="","",INDEX(INDIRECT("PAJAK["&amp;PARAMA[#Headers]&amp;"]"),PARAMA[[#This Row],[//PAJAK]]-1))</f>
        <v/>
      </c>
      <c r="H3" t="str">
        <f ca="1">IF(PARAMA[[#This Row],[//PAJAK]]="","",INDEX(INDIRECT("PAJAK["&amp;PARAMA[#Headers]&amp;"]"),PARAMA[[#This Row],[//PAJAK]]-1))</f>
        <v/>
      </c>
      <c r="I3" s="1" t="str">
        <f ca="1">IF(PARAMA[[#This Row],[//PAJAK]]="","",INDEX(PAJAK[SUB TOTAL],PARAMA[[#This Row],[//PAJAK]]-1)-PARAMA[[#This Row],[DISKON_H]])</f>
        <v/>
      </c>
      <c r="J3" s="1" t="str">
        <f ca="1">IF(PARAMA[[#This Row],[//PAJAK]]="","",INDEX(PAJAK[DISKON],PARAMA[[#This Row],[//PAJAK]]-1))</f>
        <v/>
      </c>
      <c r="K3" s="1"/>
      <c r="L3" s="1" t="e">
        <f ca="1">(PARAMA[[#This Row],[SUB TOTAL]]-PARAMA[[#This Row],[DISKON]])/1.11</f>
        <v>#VALUE!</v>
      </c>
      <c r="M3" s="1" t="e">
        <f ca="1">PARAMA[[#This Row],[DPP]]*11%</f>
        <v>#VALUE!</v>
      </c>
      <c r="N3" s="1" t="e">
        <f ca="1">PARAMA[[#This Row],[DPP]]+PARAMA[[#This Row],[PPN (11%)]]</f>
        <v>#VALUE!</v>
      </c>
    </row>
    <row r="4" spans="1:14">
      <c r="A4" s="10" t="str">
        <f ca="1">HYPERLINK("[NOTA_.xlsx]NOTA!A"&amp;MATCH(PARAMA[[#This Row],[ID]],NOTA[ID],0)+2,IF(PARAMA[[#This Row],[//PAJAK]]="","",MATCH(PARAMA[[#This Row],[ID]],NOTA[ID],0)+2))</f>
        <v/>
      </c>
      <c r="B4" s="4" t="str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HYPERLINK("[NOTA_.xlsx]PAJAK!b"&amp;PARAMA[[#This Row],[//PAJAK]],IF(PARAMA[[#This Row],[//PAJAK]]="","",INDEX(INDIRECT("PAJAK["&amp;PARAMA[#Headers]&amp;"]"),PARAMA[[#This Row],[//PAJAK]]-1)))</f>
        <v/>
      </c>
      <c r="D4" t="str">
        <f ca="1">IF(PARAMA[[#This Row],[//PAJAK]]="","",INDEX(INDIRECT("PAJAK["&amp;PARAMA[#Headers]&amp;"]"),PARAMA[[#This Row],[//PAJAK]]-1))</f>
        <v/>
      </c>
      <c r="E4" s="2" t="str">
        <f ca="1">IF(PARAMA[[#This Row],[//PAJAK]]="","",INDEX(INDIRECT("PAJAK["&amp;PARAMA[#Headers]&amp;"]"),PARAMA[[#This Row],[//PAJAK]]-1))</f>
        <v/>
      </c>
      <c r="F4" s="2" t="str">
        <f ca="1">IF(PARAMA[[#This Row],[//PAJAK]]="","",INDEX(INDIRECT("PAJAK["&amp;PARAMA[#Headers]&amp;"]"),PARAMA[[#This Row],[//PAJAK]]-1))</f>
        <v/>
      </c>
      <c r="G4" s="4" t="str">
        <f ca="1">IF(PARAMA[[#This Row],[//PAJAK]]="","",INDEX(INDIRECT("PAJAK["&amp;PARAMA[#Headers]&amp;"]"),PARAMA[[#This Row],[//PAJAK]]-1))</f>
        <v/>
      </c>
      <c r="H4" t="str">
        <f ca="1">IF(PARAMA[[#This Row],[//PAJAK]]="","",INDEX(INDIRECT("PAJAK["&amp;PARAMA[#Headers]&amp;"]"),PARAMA[[#This Row],[//PAJAK]]-1))</f>
        <v/>
      </c>
      <c r="I4" s="1" t="str">
        <f ca="1">IF(PARAMA[[#This Row],[//PAJAK]]="","",INDEX(PAJAK[SUB TOTAL],PARAMA[[#This Row],[//PAJAK]]-1)-PARAMA[[#This Row],[DISKON_H]])</f>
        <v/>
      </c>
      <c r="J4" s="1" t="str">
        <f ca="1">IF(PARAMA[[#This Row],[//PAJAK]]="","",INDEX(PAJAK[DISKON],PARAMA[[#This Row],[//PAJAK]]-1))</f>
        <v/>
      </c>
      <c r="K4" s="1"/>
      <c r="L4" s="1" t="e">
        <f ca="1">(PARAMA[[#This Row],[SUB TOTAL]]-PARAMA[[#This Row],[DISKON]])/1.11</f>
        <v>#VALUE!</v>
      </c>
      <c r="M4" s="1" t="e">
        <f ca="1">PARAMA[[#This Row],[DPP]]*11%</f>
        <v>#VALUE!</v>
      </c>
      <c r="N4" s="1" t="e">
        <f ca="1">PARAMA[[#This Row],[DPP]]+PARAMA[[#This Row],[PPN (11%)]]</f>
        <v>#VALUE!</v>
      </c>
    </row>
    <row r="5" spans="1:14">
      <c r="A5" s="10" t="str">
        <f ca="1">HYPERLINK("[NOTA_.xlsx]NOTA!A"&amp;MATCH(PARAMA[[#This Row],[ID]],NOTA[ID],0)+2,IF(PARAMA[[#This Row],[//PAJAK]]="","",MATCH(PARAMA[[#This Row],[ID]],NOTA[ID],0)+2))</f>
        <v/>
      </c>
      <c r="B5" s="4" t="str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HYPERLINK("[NOTA_.xlsx]PAJAK!b"&amp;PARAMA[[#This Row],[//PAJAK]],IF(PARAMA[[#This Row],[//PAJAK]]="","",INDEX(INDIRECT("PAJAK["&amp;PARAMA[#Headers]&amp;"]"),PARAMA[[#This Row],[//PAJAK]]-1)))</f>
        <v/>
      </c>
      <c r="D5" t="str">
        <f ca="1">IF(PARAMA[[#This Row],[//PAJAK]]="","",INDEX(INDIRECT("PAJAK["&amp;PARAMA[#Headers]&amp;"]"),PARAMA[[#This Row],[//PAJAK]]-1))</f>
        <v/>
      </c>
      <c r="E5" s="2" t="str">
        <f ca="1">IF(PARAMA[[#This Row],[//PAJAK]]="","",INDEX(INDIRECT("PAJAK["&amp;PARAMA[#Headers]&amp;"]"),PARAMA[[#This Row],[//PAJAK]]-1))</f>
        <v/>
      </c>
      <c r="F5" s="2" t="str">
        <f ca="1">IF(PARAMA[[#This Row],[//PAJAK]]="","",INDEX(INDIRECT("PAJAK["&amp;PARAMA[#Headers]&amp;"]"),PARAMA[[#This Row],[//PAJAK]]-1))</f>
        <v/>
      </c>
      <c r="G5" s="4" t="str">
        <f ca="1">IF(PARAMA[[#This Row],[//PAJAK]]="","",INDEX(INDIRECT("PAJAK["&amp;PARAMA[#Headers]&amp;"]"),PARAMA[[#This Row],[//PAJAK]]-1))</f>
        <v/>
      </c>
      <c r="H5" t="str">
        <f ca="1">IF(PARAMA[[#This Row],[//PAJAK]]="","",INDEX(INDIRECT("PAJAK["&amp;PARAMA[#Headers]&amp;"]"),PARAMA[[#This Row],[//PAJAK]]-1))</f>
        <v/>
      </c>
      <c r="I5" s="1" t="str">
        <f ca="1">IF(PARAMA[[#This Row],[//PAJAK]]="","",INDEX(PAJAK[SUB TOTAL],PARAMA[[#This Row],[//PAJAK]]-1)-PARAMA[[#This Row],[DISKON_H]])</f>
        <v/>
      </c>
      <c r="J5" s="1" t="str">
        <f ca="1">IF(PARAMA[[#This Row],[//PAJAK]]="","",INDEX(PAJAK[DISKON],PARAMA[[#This Row],[//PAJAK]]-1))</f>
        <v/>
      </c>
      <c r="K5" s="1"/>
      <c r="L5" s="1" t="e">
        <f ca="1">(PARAMA[[#This Row],[SUB TOTAL]]-PARAMA[[#This Row],[DISKON]])/1.11</f>
        <v>#VALUE!</v>
      </c>
      <c r="M5" s="1" t="e">
        <f ca="1">PARAMA[[#This Row],[DPP]]*11%</f>
        <v>#VALUE!</v>
      </c>
      <c r="N5" s="1" t="e">
        <f ca="1">PARAMA[[#This Row],[DPP]]+PARAMA[[#This Row],[PPN (11%)]]</f>
        <v>#VALUE!</v>
      </c>
    </row>
    <row r="6" spans="1:14">
      <c r="A6" s="10" t="str">
        <f ca="1">HYPERLINK("[NOTA_.xlsx]NOTA!A"&amp;MATCH(PARAMA[[#This Row],[ID]],NOTA[ID],0)+2,IF(PARAMA[[#This Row],[//PAJAK]]="","",MATCH(PARAMA[[#This Row],[ID]],NOTA[ID],0)+2))</f>
        <v/>
      </c>
      <c r="B6" s="4" t="str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HYPERLINK("[NOTA_.xlsx]PAJAK!b"&amp;PARAMA[[#This Row],[//PAJAK]],IF(PARAMA[[#This Row],[//PAJAK]]="","",INDEX(INDIRECT("PAJAK["&amp;PARAMA[#Headers]&amp;"]"),PARAMA[[#This Row],[//PAJAK]]-1)))</f>
        <v/>
      </c>
      <c r="D6" t="str">
        <f ca="1">IF(PARAMA[[#This Row],[//PAJAK]]="","",INDEX(INDIRECT("PAJAK["&amp;PARAMA[#Headers]&amp;"]"),PARAMA[[#This Row],[//PAJAK]]-1))</f>
        <v/>
      </c>
      <c r="E6" s="2" t="str">
        <f ca="1">IF(PARAMA[[#This Row],[//PAJAK]]="","",INDEX(INDIRECT("PAJAK["&amp;PARAMA[#Headers]&amp;"]"),PARAMA[[#This Row],[//PAJAK]]-1))</f>
        <v/>
      </c>
      <c r="F6" s="2" t="str">
        <f ca="1">IF(PARAMA[[#This Row],[//PAJAK]]="","",INDEX(INDIRECT("PAJAK["&amp;PARAMA[#Headers]&amp;"]"),PARAMA[[#This Row],[//PAJAK]]-1))</f>
        <v/>
      </c>
      <c r="G6" s="4" t="str">
        <f ca="1">IF(PARAMA[[#This Row],[//PAJAK]]="","",INDEX(INDIRECT("PAJAK["&amp;PARAMA[#Headers]&amp;"]"),PARAMA[[#This Row],[//PAJAK]]-1))</f>
        <v/>
      </c>
      <c r="H6" t="str">
        <f ca="1">IF(PARAMA[[#This Row],[//PAJAK]]="","",INDEX(INDIRECT("PAJAK["&amp;PARAMA[#Headers]&amp;"]"),PARAMA[[#This Row],[//PAJAK]]-1))</f>
        <v/>
      </c>
      <c r="I6" s="1" t="str">
        <f ca="1">IF(PARAMA[[#This Row],[//PAJAK]]="","",INDEX(PAJAK[SUB TOTAL],PARAMA[[#This Row],[//PAJAK]]-1)-PARAMA[[#This Row],[DISKON_H]])</f>
        <v/>
      </c>
      <c r="J6" s="1" t="str">
        <f ca="1">IF(PARAMA[[#This Row],[//PAJAK]]="","",INDEX(PAJAK[DISKON],PARAMA[[#This Row],[//PAJAK]]-1))</f>
        <v/>
      </c>
      <c r="K6" s="1"/>
      <c r="L6" s="1" t="e">
        <f ca="1">(PARAMA[[#This Row],[SUB TOTAL]]-PARAMA[[#This Row],[DISKON]])/1.11</f>
        <v>#VALUE!</v>
      </c>
      <c r="M6" s="1" t="e">
        <f ca="1">PARAMA[[#This Row],[DPP]]*11%</f>
        <v>#VALUE!</v>
      </c>
      <c r="N6" s="1" t="e">
        <f ca="1">PARAMA[[#This Row],[DPP]]+PARAMA[[#This Row],[PPN (11%)]]</f>
        <v>#VALUE!</v>
      </c>
    </row>
    <row r="7" spans="1:14">
      <c r="A7" s="10" t="str">
        <f ca="1">HYPERLINK("[NOTA_.xlsx]NOTA!A"&amp;MATCH(PARAMA[[#This Row],[ID]],NOTA[ID],0)+2,IF(PARAMA[[#This Row],[//PAJAK]]="","",MATCH(PARAMA[[#This Row],[ID]],NOTA[ID],0)+2))</f>
        <v/>
      </c>
      <c r="B7" s="4" t="str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HYPERLINK("[NOTA_.xlsx]PAJAK!b"&amp;PARAMA[[#This Row],[//PAJAK]],IF(PARAMA[[#This Row],[//PAJAK]]="","",INDEX(INDIRECT("PAJAK["&amp;PARAMA[#Headers]&amp;"]"),PARAMA[[#This Row],[//PAJAK]]-1)))</f>
        <v/>
      </c>
      <c r="D7" t="str">
        <f ca="1">IF(PARAMA[[#This Row],[//PAJAK]]="","",INDEX(INDIRECT("PAJAK["&amp;PARAMA[#Headers]&amp;"]"),PARAMA[[#This Row],[//PAJAK]]-1))</f>
        <v/>
      </c>
      <c r="E7" s="2" t="str">
        <f ca="1">IF(PARAMA[[#This Row],[//PAJAK]]="","",INDEX(INDIRECT("PAJAK["&amp;PARAMA[#Headers]&amp;"]"),PARAMA[[#This Row],[//PAJAK]]-1))</f>
        <v/>
      </c>
      <c r="F7" s="2" t="str">
        <f ca="1">IF(PARAMA[[#This Row],[//PAJAK]]="","",INDEX(INDIRECT("PAJAK["&amp;PARAMA[#Headers]&amp;"]"),PARAMA[[#This Row],[//PAJAK]]-1))</f>
        <v/>
      </c>
      <c r="G7" s="4" t="str">
        <f ca="1">IF(PARAMA[[#This Row],[//PAJAK]]="","",INDEX(INDIRECT("PAJAK["&amp;PARAMA[#Headers]&amp;"]"),PARAMA[[#This Row],[//PAJAK]]-1))</f>
        <v/>
      </c>
      <c r="H7" t="str">
        <f ca="1">IF(PARAMA[[#This Row],[//PAJAK]]="","",INDEX(INDIRECT("PAJAK["&amp;PARAMA[#Headers]&amp;"]"),PARAMA[[#This Row],[//PAJAK]]-1))</f>
        <v/>
      </c>
      <c r="I7" s="1" t="str">
        <f ca="1">IF(PARAMA[[#This Row],[//PAJAK]]="","",INDEX(PAJAK[SUB TOTAL],PARAMA[[#This Row],[//PAJAK]]-1)-PARAMA[[#This Row],[DISKON_H]])</f>
        <v/>
      </c>
      <c r="J7" s="1" t="str">
        <f ca="1">IF(PARAMA[[#This Row],[//PAJAK]]="","",INDEX(PAJAK[DISKON],PARAMA[[#This Row],[//PAJAK]]-1))</f>
        <v/>
      </c>
      <c r="K7" s="1"/>
      <c r="L7" s="1" t="e">
        <f ca="1">(PARAMA[[#This Row],[SUB TOTAL]]-PARAMA[[#This Row],[DISKON]])/1.11</f>
        <v>#VALUE!</v>
      </c>
      <c r="M7" s="1" t="e">
        <f ca="1">PARAMA[[#This Row],[DPP]]*11%</f>
        <v>#VALUE!</v>
      </c>
      <c r="N7" s="1" t="e">
        <f ca="1">PARAMA[[#This Row],[DPP]]+PARAMA[[#This Row],[PPN (11%)]]</f>
        <v>#VALUE!</v>
      </c>
    </row>
    <row r="8" spans="1:14">
      <c r="A8" s="10" t="str">
        <f ca="1">HYPERLINK("[NOTA_.xlsx]NOTA!A"&amp;MATCH(PARAMA[[#This Row],[ID]],NOTA[ID],0)+2,IF(PARAMA[[#This Row],[//PAJAK]]="","",MATCH(PARAMA[[#This Row],[ID]],NOTA[ID],0)+2))</f>
        <v/>
      </c>
      <c r="B8" s="4" t="str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HYPERLINK("[NOTA_.xlsx]PAJAK!b"&amp;PARAMA[[#This Row],[//PAJAK]],IF(PARAMA[[#This Row],[//PAJAK]]="","",INDEX(INDIRECT("PAJAK["&amp;PARAMA[#Headers]&amp;"]"),PARAMA[[#This Row],[//PAJAK]]-1)))</f>
        <v/>
      </c>
      <c r="D8" t="str">
        <f ca="1">IF(PARAMA[[#This Row],[//PAJAK]]="","",INDEX(INDIRECT("PAJAK["&amp;PARAMA[#Headers]&amp;"]"),PARAMA[[#This Row],[//PAJAK]]-1))</f>
        <v/>
      </c>
      <c r="E8" s="2" t="str">
        <f ca="1">IF(PARAMA[[#This Row],[//PAJAK]]="","",INDEX(INDIRECT("PAJAK["&amp;PARAMA[#Headers]&amp;"]"),PARAMA[[#This Row],[//PAJAK]]-1))</f>
        <v/>
      </c>
      <c r="F8" s="2" t="str">
        <f ca="1">IF(PARAMA[[#This Row],[//PAJAK]]="","",INDEX(INDIRECT("PAJAK["&amp;PARAMA[#Headers]&amp;"]"),PARAMA[[#This Row],[//PAJAK]]-1))</f>
        <v/>
      </c>
      <c r="G8" s="4" t="str">
        <f ca="1">IF(PARAMA[[#This Row],[//PAJAK]]="","",INDEX(INDIRECT("PAJAK["&amp;PARAMA[#Headers]&amp;"]"),PARAMA[[#This Row],[//PAJAK]]-1))</f>
        <v/>
      </c>
      <c r="H8" t="str">
        <f ca="1">IF(PARAMA[[#This Row],[//PAJAK]]="","",INDEX(INDIRECT("PAJAK["&amp;PARAMA[#Headers]&amp;"]"),PARAMA[[#This Row],[//PAJAK]]-1))</f>
        <v/>
      </c>
      <c r="I8" s="1" t="str">
        <f ca="1">IF(PARAMA[[#This Row],[//PAJAK]]="","",INDEX(PAJAK[SUB TOTAL],PARAMA[[#This Row],[//PAJAK]]-1)-PARAMA[[#This Row],[DISKON_H]])</f>
        <v/>
      </c>
      <c r="J8" s="1" t="str">
        <f ca="1">IF(PARAMA[[#This Row],[//PAJAK]]="","",INDEX(PAJAK[DISKON],PARAMA[[#This Row],[//PAJAK]]-1))</f>
        <v/>
      </c>
      <c r="K8" s="1"/>
      <c r="L8" s="1" t="e">
        <f ca="1">(PARAMA[[#This Row],[SUB TOTAL]]-PARAMA[[#This Row],[DISKON]])/1.11</f>
        <v>#VALUE!</v>
      </c>
      <c r="M8" s="1" t="e">
        <f ca="1">PARAMA[[#This Row],[DPP]]*11%</f>
        <v>#VALUE!</v>
      </c>
      <c r="N8" s="1" t="e">
        <f ca="1">PARAMA[[#This Row],[DPP]]+PARAMA[[#This Row],[PPN (11%)]]</f>
        <v>#VALUE!</v>
      </c>
    </row>
    <row r="9" spans="1:14">
      <c r="A9" s="10" t="str">
        <f ca="1">HYPERLINK("[NOTA_.xlsx]NOTA!A"&amp;MATCH(PARAMA[[#This Row],[ID]],NOTA[ID],0)+2,IF(PARAMA[[#This Row],[//PAJAK]]="","",MATCH(PARAMA[[#This Row],[ID]],NOTA[ID],0)+2))</f>
        <v/>
      </c>
      <c r="B9" s="4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4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>
      <c r="A10" s="10" t="str">
        <f ca="1">HYPERLINK("[NOTA_.xlsx]NOTA!A"&amp;MATCH(PARAMA[[#This Row],[ID]],NOTA[ID],0)+2,IF(PARAMA[[#This Row],[//PAJAK]]="","",MATCH(PARAMA[[#This Row],[ID]],NOTA[ID],0)+2))</f>
        <v/>
      </c>
      <c r="B10" s="4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4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>
      <c r="A11" s="10" t="str">
        <f ca="1">HYPERLINK("[NOTA_.xlsx]NOTA!A"&amp;MATCH(PARAMA[[#This Row],[ID]],NOTA[ID],0)+2,IF(PARAMA[[#This Row],[//PAJAK]]="","",MATCH(PARAMA[[#This Row],[ID]],NOTA[ID],0)+2))</f>
        <v/>
      </c>
      <c r="B11" s="4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4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>
      <c r="A12" s="10" t="str">
        <f ca="1">HYPERLINK("[NOTA_.xlsx]NOTA!A"&amp;MATCH(PARAMA[[#This Row],[ID]],NOTA[ID],0)+2,IF(PARAMA[[#This Row],[//PAJAK]]="","",MATCH(PARAMA[[#This Row],[ID]],NOTA[ID],0)+2))</f>
        <v/>
      </c>
      <c r="B12" s="4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4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>
      <c r="A13" s="10" t="str">
        <f ca="1">HYPERLINK("[NOTA_.xlsx]NOTA!A"&amp;MATCH(PARAMA[[#This Row],[ID]],NOTA[ID],0)+2,IF(PARAMA[[#This Row],[//PAJAK]]="","",MATCH(PARAMA[[#This Row],[ID]],NOTA[ID],0)+2))</f>
        <v/>
      </c>
      <c r="B13" s="4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4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>
      <c r="A14" s="10" t="str">
        <f ca="1">HYPERLINK("[NOTA_.xlsx]NOTA!A"&amp;MATCH(PARAMA[[#This Row],[ID]],NOTA[ID],0)+2,IF(PARAMA[[#This Row],[//PAJAK]]="","",MATCH(PARAMA[[#This Row],[ID]],NOTA[ID],0)+2))</f>
        <v/>
      </c>
      <c r="B14" s="4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4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>
      <c r="A15" s="10" t="str">
        <f ca="1">HYPERLINK("[NOTA_.xlsx]NOTA!A"&amp;MATCH(PARAMA[[#This Row],[ID]],NOTA[ID],0)+2,IF(PARAMA[[#This Row],[//PAJAK]]="","",MATCH(PARAMA[[#This Row],[ID]],NOTA[ID],0)+2))</f>
        <v/>
      </c>
      <c r="B15" s="4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4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>
      <c r="A16" s="10" t="str">
        <f ca="1">HYPERLINK("[NOTA_.xlsx]NOTA!A"&amp;MATCH(PARAMA[[#This Row],[ID]],NOTA[ID],0)+2,IF(PARAMA[[#This Row],[//PAJAK]]="","",MATCH(PARAMA[[#This Row],[ID]],NOTA[ID],0)+2))</f>
        <v/>
      </c>
      <c r="B16" s="4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4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>
      <c r="A17" s="10" t="str">
        <f ca="1">HYPERLINK("[NOTA_.xlsx]NOTA!A"&amp;MATCH(PARAMA[[#This Row],[ID]],NOTA[ID],0)+2,IF(PARAMA[[#This Row],[//PAJAK]]="","",MATCH(PARAMA[[#This Row],[ID]],NOTA[ID],0)+2))</f>
        <v/>
      </c>
      <c r="B17" s="4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4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>
      <c r="A18" s="10" t="str">
        <f ca="1">HYPERLINK("[NOTA_.xlsx]NOTA!A"&amp;MATCH(PARAMA[[#This Row],[ID]],NOTA[ID],0)+2,IF(PARAMA[[#This Row],[//PAJAK]]="","",MATCH(PARAMA[[#This Row],[ID]],NOTA[ID],0)+2))</f>
        <v/>
      </c>
      <c r="B18" s="4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HYPERLINK("[NOTA_.xlsx]PAJAK!b"&amp;PARAMA[[#This Row],[//PAJAK]],IF(PARAMA[[#This Row],[//PAJAK]]="","",INDEX(INDIRECT("PAJAK["&amp;PARAMA[#Headers]&amp;"]"),PARAMA[[#This Row],[//PAJAK]]-1)))</f>
        <v/>
      </c>
      <c r="D18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4" t="str">
        <f ca="1">IF(PARAMA[[#This Row],[//PAJAK]]="","",INDEX(INDIRECT("PAJAK["&amp;PARAMA[#Headers]&amp;"]"),PARAMA[[#This Row],[//PAJAK]]-1))</f>
        <v/>
      </c>
      <c r="H18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>
      <c r="A19" s="10" t="str">
        <f ca="1">HYPERLINK("[NOTA_.xlsx]NOTA!A"&amp;MATCH(PARAMA[[#This Row],[ID]],NOTA[ID],0)+2,IF(PARAMA[[#This Row],[//PAJAK]]="","",MATCH(PARAMA[[#This Row],[ID]],NOTA[ID],0)+2))</f>
        <v/>
      </c>
      <c r="B19" s="4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HYPERLINK("[NOTA_.xlsx]PAJAK!b"&amp;PARAMA[[#This Row],[//PAJAK]],IF(PARAMA[[#This Row],[//PAJAK]]="","",INDEX(INDIRECT("PAJAK["&amp;PARAMA[#Headers]&amp;"]"),PARAMA[[#This Row],[//PAJAK]]-1)))</f>
        <v/>
      </c>
      <c r="D19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4" t="str">
        <f ca="1">IF(PARAMA[[#This Row],[//PAJAK]]="","",INDEX(INDIRECT("PAJAK["&amp;PARAMA[#Headers]&amp;"]"),PARAMA[[#This Row],[//PAJAK]]-1))</f>
        <v/>
      </c>
      <c r="H19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>
      <c r="A20" s="10" t="str">
        <f ca="1">HYPERLINK("[NOTA_.xlsx]NOTA!A"&amp;MATCH(PARAMA[[#This Row],[ID]],NOTA[ID],0)+2,IF(PARAMA[[#This Row],[//PAJAK]]="","",MATCH(PARAMA[[#This Row],[ID]],NOTA[ID],0)+2))</f>
        <v/>
      </c>
      <c r="B20" s="4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HYPERLINK("[NOTA_.xlsx]PAJAK!b"&amp;PARAMA[[#This Row],[//PAJAK]],IF(PARAMA[[#This Row],[//PAJAK]]="","",INDEX(INDIRECT("PAJAK["&amp;PARAMA[#Headers]&amp;"]"),PARAMA[[#This Row],[//PAJAK]]-1)))</f>
        <v/>
      </c>
      <c r="D20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4" t="str">
        <f ca="1">IF(PARAMA[[#This Row],[//PAJAK]]="","",INDEX(INDIRECT("PAJAK["&amp;PARAMA[#Headers]&amp;"]"),PARAMA[[#This Row],[//PAJAK]]-1))</f>
        <v/>
      </c>
      <c r="H20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>
      <c r="A21" s="10" t="str">
        <f ca="1">HYPERLINK("[NOTA_.xlsx]NOTA!A"&amp;MATCH(PARAMA[[#This Row],[ID]],NOTA[ID],0)+2,IF(PARAMA[[#This Row],[//PAJAK]]="","",MATCH(PARAMA[[#This Row],[ID]],NOTA[ID],0)+2))</f>
        <v/>
      </c>
      <c r="B21" s="4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HYPERLINK("[NOTA_.xlsx]PAJAK!b"&amp;PARAMA[[#This Row],[//PAJAK]],IF(PARAMA[[#This Row],[//PAJAK]]="","",INDEX(INDIRECT("PAJAK["&amp;PARAMA[#Headers]&amp;"]"),PARAMA[[#This Row],[//PAJAK]]-1)))</f>
        <v/>
      </c>
      <c r="D21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4" t="str">
        <f ca="1">IF(PARAMA[[#This Row],[//PAJAK]]="","",INDEX(INDIRECT("PAJAK["&amp;PARAMA[#Headers]&amp;"]"),PARAMA[[#This Row],[//PAJAK]]-1))</f>
        <v/>
      </c>
      <c r="H21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>
      <c r="A22" s="10" t="str">
        <f ca="1">HYPERLINK("[NOTA_.xlsx]NOTA!A"&amp;MATCH(PARAMA[[#This Row],[ID]],NOTA[ID],0)+2,IF(PARAMA[[#This Row],[//PAJAK]]="","",MATCH(PARAMA[[#This Row],[ID]],NOTA[ID],0)+2))</f>
        <v/>
      </c>
      <c r="B22" s="4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HYPERLINK("[NOTA_.xlsx]PAJAK!b"&amp;PARAMA[[#This Row],[//PAJAK]],IF(PARAMA[[#This Row],[//PAJAK]]="","",INDEX(INDIRECT("PAJAK["&amp;PARAMA[#Headers]&amp;"]"),PARAMA[[#This Row],[//PAJAK]]-1)))</f>
        <v/>
      </c>
      <c r="D22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4" t="str">
        <f ca="1">IF(PARAMA[[#This Row],[//PAJAK]]="","",INDEX(INDIRECT("PAJAK["&amp;PARAMA[#Headers]&amp;"]"),PARAMA[[#This Row],[//PAJAK]]-1))</f>
        <v/>
      </c>
      <c r="H22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>
      <c r="A23" s="10" t="str">
        <f ca="1">HYPERLINK("[NOTA_.xlsx]NOTA!A"&amp;MATCH(PARAMA[[#This Row],[ID]],NOTA[ID],0)+2,IF(PARAMA[[#This Row],[//PAJAK]]="","",MATCH(PARAMA[[#This Row],[ID]],NOTA[ID],0)+2))</f>
        <v/>
      </c>
      <c r="B23" s="4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HYPERLINK("[NOTA_.xlsx]PAJAK!b"&amp;PARAMA[[#This Row],[//PAJAK]],IF(PARAMA[[#This Row],[//PAJAK]]="","",INDEX(INDIRECT("PAJAK["&amp;PARAMA[#Headers]&amp;"]"),PARAMA[[#This Row],[//PAJAK]]-1)))</f>
        <v/>
      </c>
      <c r="D2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4" t="str">
        <f ca="1">IF(PARAMA[[#This Row],[//PAJAK]]="","",INDEX(INDIRECT("PAJAK["&amp;PARAMA[#Headers]&amp;"]"),PARAMA[[#This Row],[//PAJAK]]-1))</f>
        <v/>
      </c>
      <c r="H2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>
      <c r="A24" s="10" t="str">
        <f ca="1">HYPERLINK("[NOTA_.xlsx]NOTA!A"&amp;MATCH(PARAMA[[#This Row],[ID]],NOTA[ID],0)+2,IF(PARAMA[[#This Row],[//PAJAK]]="","",MATCH(PARAMA[[#This Row],[ID]],NOTA[ID],0)+2))</f>
        <v/>
      </c>
      <c r="B24" s="4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HYPERLINK("[NOTA_.xlsx]PAJAK!b"&amp;PARAMA[[#This Row],[//PAJAK]],IF(PARAMA[[#This Row],[//PAJAK]]="","",INDEX(INDIRECT("PAJAK["&amp;PARAMA[#Headers]&amp;"]"),PARAMA[[#This Row],[//PAJAK]]-1)))</f>
        <v/>
      </c>
      <c r="D24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4" t="str">
        <f ca="1">IF(PARAMA[[#This Row],[//PAJAK]]="","",INDEX(INDIRECT("PAJAK["&amp;PARAMA[#Headers]&amp;"]"),PARAMA[[#This Row],[//PAJAK]]-1))</f>
        <v/>
      </c>
      <c r="H24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>
      <c r="A25" s="10" t="str">
        <f ca="1">HYPERLINK("[NOTA_.xlsx]NOTA!A"&amp;MATCH(PARAMA[[#This Row],[ID]],NOTA[ID],0)+2,IF(PARAMA[[#This Row],[//PAJAK]]="","",MATCH(PARAMA[[#This Row],[ID]],NOTA[ID],0)+2))</f>
        <v/>
      </c>
      <c r="B25" s="4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HYPERLINK("[NOTA_.xlsx]PAJAK!b"&amp;PARAMA[[#This Row],[//PAJAK]],IF(PARAMA[[#This Row],[//PAJAK]]="","",INDEX(INDIRECT("PAJAK["&amp;PARAMA[#Headers]&amp;"]"),PARAMA[[#This Row],[//PAJAK]]-1)))</f>
        <v/>
      </c>
      <c r="D25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4" t="str">
        <f ca="1">IF(PARAMA[[#This Row],[//PAJAK]]="","",INDEX(INDIRECT("PAJAK["&amp;PARAMA[#Headers]&amp;"]"),PARAMA[[#This Row],[//PAJAK]]-1))</f>
        <v/>
      </c>
      <c r="H25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>
      <c r="A26" s="10" t="str">
        <f ca="1">HYPERLINK("[NOTA_.xlsx]NOTA!A"&amp;MATCH(PARAMA[[#This Row],[ID]],NOTA[ID],0)+2,IF(PARAMA[[#This Row],[//PAJAK]]="","",MATCH(PARAMA[[#This Row],[ID]],NOTA[ID],0)+2))</f>
        <v/>
      </c>
      <c r="B26" s="4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HYPERLINK("[NOTA_.xlsx]PAJAK!b"&amp;PARAMA[[#This Row],[//PAJAK]],IF(PARAMA[[#This Row],[//PAJAK]]="","",INDEX(INDIRECT("PAJAK["&amp;PARAMA[#Headers]&amp;"]"),PARAMA[[#This Row],[//PAJAK]]-1)))</f>
        <v/>
      </c>
      <c r="D26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4" t="str">
        <f ca="1">IF(PARAMA[[#This Row],[//PAJAK]]="","",INDEX(INDIRECT("PAJAK["&amp;PARAMA[#Headers]&amp;"]"),PARAMA[[#This Row],[//PAJAK]]-1))</f>
        <v/>
      </c>
      <c r="H26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>
      <c r="A27" s="10" t="str">
        <f ca="1">HYPERLINK("[NOTA_.xlsx]NOTA!A"&amp;MATCH(PARAMA[[#This Row],[ID]],NOTA[ID],0)+2,IF(PARAMA[[#This Row],[//PAJAK]]="","",MATCH(PARAMA[[#This Row],[ID]],NOTA[ID],0)+2))</f>
        <v/>
      </c>
      <c r="B27" s="4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HYPERLINK("[NOTA_.xlsx]PAJAK!b"&amp;PARAMA[[#This Row],[//PAJAK]],IF(PARAMA[[#This Row],[//PAJAK]]="","",INDEX(INDIRECT("PAJAK["&amp;PARAMA[#Headers]&amp;"]"),PARAMA[[#This Row],[//PAJAK]]-1)))</f>
        <v/>
      </c>
      <c r="D27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4" t="str">
        <f ca="1">IF(PARAMA[[#This Row],[//PAJAK]]="","",INDEX(INDIRECT("PAJAK["&amp;PARAMA[#Headers]&amp;"]"),PARAMA[[#This Row],[//PAJAK]]-1))</f>
        <v/>
      </c>
      <c r="H27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>
      <c r="A28" s="10" t="str">
        <f ca="1">HYPERLINK("[NOTA_.xlsx]NOTA!A"&amp;MATCH(PARAMA[[#This Row],[ID]],NOTA[ID],0)+2,IF(PARAMA[[#This Row],[//PAJAK]]="","",MATCH(PARAMA[[#This Row],[ID]],NOTA[ID],0)+2))</f>
        <v/>
      </c>
      <c r="B28" s="4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HYPERLINK("[NOTA_.xlsx]PAJAK!b"&amp;PARAMA[[#This Row],[//PAJAK]],IF(PARAMA[[#This Row],[//PAJAK]]="","",INDEX(INDIRECT("PAJAK["&amp;PARAMA[#Headers]&amp;"]"),PARAMA[[#This Row],[//PAJAK]]-1)))</f>
        <v/>
      </c>
      <c r="D28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4" t="str">
        <f ca="1">IF(PARAMA[[#This Row],[//PAJAK]]="","",INDEX(INDIRECT("PAJAK["&amp;PARAMA[#Headers]&amp;"]"),PARAMA[[#This Row],[//PAJAK]]-1))</f>
        <v/>
      </c>
      <c r="H28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>
      <c r="A29" s="10" t="str">
        <f ca="1">HYPERLINK("[NOTA_.xlsx]NOTA!A"&amp;MATCH(PARAMA[[#This Row],[ID]],NOTA[ID],0)+2,IF(PARAMA[[#This Row],[//PAJAK]]="","",MATCH(PARAMA[[#This Row],[ID]],NOTA[ID],0)+2))</f>
        <v/>
      </c>
      <c r="B29" s="4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HYPERLINK("[NOTA_.xlsx]PAJAK!b"&amp;PARAMA[[#This Row],[//PAJAK]],IF(PARAMA[[#This Row],[//PAJAK]]="","",INDEX(INDIRECT("PAJAK["&amp;PARAMA[#Headers]&amp;"]"),PARAMA[[#This Row],[//PAJAK]]-1)))</f>
        <v/>
      </c>
      <c r="D29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4" t="str">
        <f ca="1">IF(PARAMA[[#This Row],[//PAJAK]]="","",INDEX(INDIRECT("PAJAK["&amp;PARAMA[#Headers]&amp;"]"),PARAMA[[#This Row],[//PAJAK]]-1))</f>
        <v/>
      </c>
      <c r="H29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>
      <c r="A30" s="10" t="str">
        <f ca="1">HYPERLINK("[NOTA_.xlsx]NOTA!A"&amp;MATCH(PARAMA[[#This Row],[ID]],NOTA[ID],0)+2,IF(PARAMA[[#This Row],[//PAJAK]]="","",MATCH(PARAMA[[#This Row],[ID]],NOTA[ID],0)+2))</f>
        <v/>
      </c>
      <c r="B30" s="4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HYPERLINK("[NOTA_.xlsx]PAJAK!b"&amp;PARAMA[[#This Row],[//PAJAK]],IF(PARAMA[[#This Row],[//PAJAK]]="","",INDEX(INDIRECT("PAJAK["&amp;PARAMA[#Headers]&amp;"]"),PARAMA[[#This Row],[//PAJAK]]-1)))</f>
        <v/>
      </c>
      <c r="D30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4" t="str">
        <f ca="1">IF(PARAMA[[#This Row],[//PAJAK]]="","",INDEX(INDIRECT("PAJAK["&amp;PARAMA[#Headers]&amp;"]"),PARAMA[[#This Row],[//PAJAK]]-1))</f>
        <v/>
      </c>
      <c r="H30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>
      <c r="A31" s="10" t="str">
        <f ca="1">HYPERLINK("[NOTA_.xlsx]NOTA!A"&amp;MATCH(PARAMA[[#This Row],[ID]],NOTA[ID],0)+2,IF(PARAMA[[#This Row],[//PAJAK]]="","",MATCH(PARAMA[[#This Row],[ID]],NOTA[ID],0)+2))</f>
        <v/>
      </c>
      <c r="B31" s="4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HYPERLINK("[NOTA_.xlsx]PAJAK!b"&amp;PARAMA[[#This Row],[//PAJAK]],IF(PARAMA[[#This Row],[//PAJAK]]="","",INDEX(INDIRECT("PAJAK["&amp;PARAMA[#Headers]&amp;"]"),PARAMA[[#This Row],[//PAJAK]]-1)))</f>
        <v/>
      </c>
      <c r="D31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4" t="str">
        <f ca="1">IF(PARAMA[[#This Row],[//PAJAK]]="","",INDEX(INDIRECT("PAJAK["&amp;PARAMA[#Headers]&amp;"]"),PARAMA[[#This Row],[//PAJAK]]-1))</f>
        <v/>
      </c>
      <c r="H31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>
      <c r="A32" s="10" t="str">
        <f ca="1">HYPERLINK("[NOTA_.xlsx]NOTA!A"&amp;MATCH(PARAMA[[#This Row],[ID]],NOTA[ID],0)+2,IF(PARAMA[[#This Row],[//PAJAK]]="","",MATCH(PARAMA[[#This Row],[ID]],NOTA[ID],0)+2))</f>
        <v/>
      </c>
      <c r="B32" s="4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HYPERLINK("[NOTA_.xlsx]PAJAK!b"&amp;PARAMA[[#This Row],[//PAJAK]],IF(PARAMA[[#This Row],[//PAJAK]]="","",INDEX(INDIRECT("PAJAK["&amp;PARAMA[#Headers]&amp;"]"),PARAMA[[#This Row],[//PAJAK]]-1)))</f>
        <v/>
      </c>
      <c r="D32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4" t="str">
        <f ca="1">IF(PARAMA[[#This Row],[//PAJAK]]="","",INDEX(INDIRECT("PAJAK["&amp;PARAMA[#Headers]&amp;"]"),PARAMA[[#This Row],[//PAJAK]]-1))</f>
        <v/>
      </c>
      <c r="H32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>
      <c r="A33" s="10" t="str">
        <f ca="1">HYPERLINK("[NOTA_.xlsx]NOTA!A"&amp;MATCH(PARAMA[[#This Row],[ID]],NOTA[ID],0)+2,IF(PARAMA[[#This Row],[//PAJAK]]="","",MATCH(PARAMA[[#This Row],[ID]],NOTA[ID],0)+2))</f>
        <v/>
      </c>
      <c r="B33" s="4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HYPERLINK("[NOTA_.xlsx]PAJAK!b"&amp;PARAMA[[#This Row],[//PAJAK]],IF(PARAMA[[#This Row],[//PAJAK]]="","",INDEX(INDIRECT("PAJAK["&amp;PARAMA[#Headers]&amp;"]"),PARAMA[[#This Row],[//PAJAK]]-1)))</f>
        <v/>
      </c>
      <c r="D3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4" t="str">
        <f ca="1">IF(PARAMA[[#This Row],[//PAJAK]]="","",INDEX(INDIRECT("PAJAK["&amp;PARAMA[#Headers]&amp;"]"),PARAMA[[#This Row],[//PAJAK]]-1))</f>
        <v/>
      </c>
      <c r="H3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>
      <c r="A34" s="10" t="str">
        <f ca="1">HYPERLINK("[NOTA_.xlsx]NOTA!A"&amp;MATCH(PARAMA[[#This Row],[ID]],NOTA[ID],0)+2,IF(PARAMA[[#This Row],[//PAJAK]]="","",MATCH(PARAMA[[#This Row],[ID]],NOTA[ID],0)+2))</f>
        <v/>
      </c>
      <c r="B34" s="4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9" t="str">
        <f ca="1">HYPERLINK("[NOTA_.xlsx]PAJAK!b"&amp;PARAMA[[#This Row],[//PAJAK]],IF(PARAMA[[#This Row],[//PAJAK]]="","",INDEX(INDIRECT("PAJAK["&amp;PARAMA[#Headers]&amp;"]"),PARAMA[[#This Row],[//PAJAK]]-1)))</f>
        <v/>
      </c>
      <c r="D34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4" t="str">
        <f ca="1">IF(PARAMA[[#This Row],[//PAJAK]]="","",INDEX(INDIRECT("PAJAK["&amp;PARAMA[#Headers]&amp;"]"),PARAMA[[#This Row],[//PAJAK]]-1))</f>
        <v/>
      </c>
      <c r="H34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>
      <c r="A35" s="10" t="str">
        <f ca="1">HYPERLINK("[NOTA_.xlsx]NOTA!A"&amp;MATCH(PARAMA[[#This Row],[ID]],NOTA[ID],0)+2,IF(PARAMA[[#This Row],[//PAJAK]]="","",MATCH(PARAMA[[#This Row],[ID]],NOTA[ID],0)+2))</f>
        <v/>
      </c>
      <c r="B35" s="4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9" t="str">
        <f ca="1">HYPERLINK("[NOTA_.xlsx]PAJAK!b"&amp;PARAMA[[#This Row],[//PAJAK]],IF(PARAMA[[#This Row],[//PAJAK]]="","",INDEX(INDIRECT("PAJAK["&amp;PARAMA[#Headers]&amp;"]"),PARAMA[[#This Row],[//PAJAK]]-1)))</f>
        <v/>
      </c>
      <c r="D35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4" t="str">
        <f ca="1">IF(PARAMA[[#This Row],[//PAJAK]]="","",INDEX(INDIRECT("PAJAK["&amp;PARAMA[#Headers]&amp;"]"),PARAMA[[#This Row],[//PAJAK]]-1))</f>
        <v/>
      </c>
      <c r="H35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>
      <c r="A36" s="10" t="str">
        <f ca="1">HYPERLINK("[NOTA_.xlsx]NOTA!A"&amp;MATCH(PARAMA[[#This Row],[ID]],NOTA[ID],0)+2,IF(PARAMA[[#This Row],[//PAJAK]]="","",MATCH(PARAMA[[#This Row],[ID]],NOTA[ID],0)+2))</f>
        <v/>
      </c>
      <c r="B36" s="4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9" t="str">
        <f ca="1">HYPERLINK("[NOTA_.xlsx]PAJAK!b"&amp;PARAMA[[#This Row],[//PAJAK]],IF(PARAMA[[#This Row],[//PAJAK]]="","",INDEX(INDIRECT("PAJAK["&amp;PARAMA[#Headers]&amp;"]"),PARAMA[[#This Row],[//PAJAK]]-1)))</f>
        <v/>
      </c>
      <c r="D36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4" t="str">
        <f ca="1">IF(PARAMA[[#This Row],[//PAJAK]]="","",INDEX(INDIRECT("PAJAK["&amp;PARAMA[#Headers]&amp;"]"),PARAMA[[#This Row],[//PAJAK]]-1))</f>
        <v/>
      </c>
      <c r="H36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>
      <c r="A37" s="10" t="str">
        <f ca="1">HYPERLINK("[NOTA_.xlsx]NOTA!A"&amp;MATCH(PARAMA[[#This Row],[ID]],NOTA[ID],0)+2,IF(PARAMA[[#This Row],[//PAJAK]]="","",MATCH(PARAMA[[#This Row],[ID]],NOTA[ID],0)+2))</f>
        <v/>
      </c>
      <c r="B37" s="4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9" t="str">
        <f ca="1">HYPERLINK("[NOTA_.xlsx]PAJAK!b"&amp;PARAMA[[#This Row],[//PAJAK]],IF(PARAMA[[#This Row],[//PAJAK]]="","",INDEX(INDIRECT("PAJAK["&amp;PARAMA[#Headers]&amp;"]"),PARAMA[[#This Row],[//PAJAK]]-1)))</f>
        <v/>
      </c>
      <c r="D37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4" t="str">
        <f ca="1">IF(PARAMA[[#This Row],[//PAJAK]]="","",INDEX(INDIRECT("PAJAK["&amp;PARAMA[#Headers]&amp;"]"),PARAMA[[#This Row],[//PAJAK]]-1))</f>
        <v/>
      </c>
      <c r="H37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>
      <c r="A38" s="10" t="str">
        <f ca="1">HYPERLINK("[NOTA_.xlsx]NOTA!A"&amp;MATCH(PARAMA[[#This Row],[ID]],NOTA[ID],0)+2,IF(PARAMA[[#This Row],[//PAJAK]]="","",MATCH(PARAMA[[#This Row],[ID]],NOTA[ID],0)+2))</f>
        <v/>
      </c>
      <c r="B38" s="4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HYPERLINK("[NOTA_.xlsx]PAJAK!b"&amp;PARAMA[[#This Row],[//PAJAK]],IF(PARAMA[[#This Row],[//PAJAK]]="","",INDEX(INDIRECT("PAJAK["&amp;PARAMA[#Headers]&amp;"]"),PARAMA[[#This Row],[//PAJAK]]-1)))</f>
        <v/>
      </c>
      <c r="D38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4" t="str">
        <f ca="1">IF(PARAMA[[#This Row],[//PAJAK]]="","",INDEX(INDIRECT("PAJAK["&amp;PARAMA[#Headers]&amp;"]"),PARAMA[[#This Row],[//PAJAK]]-1))</f>
        <v/>
      </c>
      <c r="H38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>
      <c r="A39" s="10" t="str">
        <f ca="1">HYPERLINK("[NOTA_.xlsx]NOTA!A"&amp;MATCH(PARAMA[[#This Row],[ID]],NOTA[ID],0)+2,IF(PARAMA[[#This Row],[//PAJAK]]="","",MATCH(PARAMA[[#This Row],[ID]],NOTA[ID],0)+2))</f>
        <v/>
      </c>
      <c r="B39" s="4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HYPERLINK("[NOTA_.xlsx]PAJAK!b"&amp;PARAMA[[#This Row],[//PAJAK]],IF(PARAMA[[#This Row],[//PAJAK]]="","",INDEX(INDIRECT("PAJAK["&amp;PARAMA[#Headers]&amp;"]"),PARAMA[[#This Row],[//PAJAK]]-1)))</f>
        <v/>
      </c>
      <c r="D39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4" t="str">
        <f ca="1">IF(PARAMA[[#This Row],[//PAJAK]]="","",INDEX(INDIRECT("PAJAK["&amp;PARAMA[#Headers]&amp;"]"),PARAMA[[#This Row],[//PAJAK]]-1))</f>
        <v/>
      </c>
      <c r="H39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>
      <c r="A40" s="10" t="str">
        <f ca="1">HYPERLINK("[NOTA_.xlsx]NOTA!A"&amp;MATCH(PARAMA[[#This Row],[ID]],NOTA[ID],0)+2,IF(PARAMA[[#This Row],[//PAJAK]]="","",MATCH(PARAMA[[#This Row],[ID]],NOTA[ID],0)+2))</f>
        <v/>
      </c>
      <c r="B40" s="4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HYPERLINK("[NOTA_.xlsx]PAJAK!b"&amp;PARAMA[[#This Row],[//PAJAK]],IF(PARAMA[[#This Row],[//PAJAK]]="","",INDEX(INDIRECT("PAJAK["&amp;PARAMA[#Headers]&amp;"]"),PARAMA[[#This Row],[//PAJAK]]-1)))</f>
        <v/>
      </c>
      <c r="D40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4" t="str">
        <f ca="1">IF(PARAMA[[#This Row],[//PAJAK]]="","",INDEX(INDIRECT("PAJAK["&amp;PARAMA[#Headers]&amp;"]"),PARAMA[[#This Row],[//PAJAK]]-1))</f>
        <v/>
      </c>
      <c r="H40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>
      <c r="A41" s="10" t="str">
        <f ca="1">HYPERLINK("[NOTA_.xlsx]NOTA!A"&amp;MATCH(PARAMA[[#This Row],[ID]],NOTA[ID],0)+2,IF(PARAMA[[#This Row],[//PAJAK]]="","",MATCH(PARAMA[[#This Row],[ID]],NOTA[ID],0)+2))</f>
        <v/>
      </c>
      <c r="B41" s="4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HYPERLINK("[NOTA_.xlsx]PAJAK!b"&amp;PARAMA[[#This Row],[//PAJAK]],IF(PARAMA[[#This Row],[//PAJAK]]="","",INDEX(INDIRECT("PAJAK["&amp;PARAMA[#Headers]&amp;"]"),PARAMA[[#This Row],[//PAJAK]]-1)))</f>
        <v/>
      </c>
      <c r="D41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4" t="str">
        <f ca="1">IF(PARAMA[[#This Row],[//PAJAK]]="","",INDEX(INDIRECT("PAJAK["&amp;PARAMA[#Headers]&amp;"]"),PARAMA[[#This Row],[//PAJAK]]-1))</f>
        <v/>
      </c>
      <c r="H41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>
      <c r="A42" s="10" t="str">
        <f ca="1">HYPERLINK("[NOTA_.xlsx]NOTA!A"&amp;MATCH(PARAMA[[#This Row],[ID]],NOTA[ID],0)+2,IF(PARAMA[[#This Row],[//PAJAK]]="","",MATCH(PARAMA[[#This Row],[ID]],NOTA[ID],0)+2))</f>
        <v/>
      </c>
      <c r="B42" s="4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9" t="str">
        <f ca="1">HYPERLINK("[NOTA_.xlsx]PAJAK!b"&amp;PARAMA[[#This Row],[//PAJAK]],IF(PARAMA[[#This Row],[//PAJAK]]="","",INDEX(INDIRECT("PAJAK["&amp;PARAMA[#Headers]&amp;"]"),PARAMA[[#This Row],[//PAJAK]]-1)))</f>
        <v/>
      </c>
      <c r="D42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4" t="str">
        <f ca="1">IF(PARAMA[[#This Row],[//PAJAK]]="","",INDEX(INDIRECT("PAJAK["&amp;PARAMA[#Headers]&amp;"]"),PARAMA[[#This Row],[//PAJAK]]-1))</f>
        <v/>
      </c>
      <c r="H42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>
      <c r="A43" s="10" t="str">
        <f ca="1">HYPERLINK("[NOTA_.xlsx]NOTA!A"&amp;MATCH(PARAMA[[#This Row],[ID]],NOTA[ID],0)+2,IF(PARAMA[[#This Row],[//PAJAK]]="","",MATCH(PARAMA[[#This Row],[ID]],NOTA[ID],0)+2))</f>
        <v/>
      </c>
      <c r="B43" s="4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9" t="str">
        <f ca="1">HYPERLINK("[NOTA_.xlsx]PAJAK!b"&amp;PARAMA[[#This Row],[//PAJAK]],IF(PARAMA[[#This Row],[//PAJAK]]="","",INDEX(INDIRECT("PAJAK["&amp;PARAMA[#Headers]&amp;"]"),PARAMA[[#This Row],[//PAJAK]]-1)))</f>
        <v/>
      </c>
      <c r="D4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4" t="str">
        <f ca="1">IF(PARAMA[[#This Row],[//PAJAK]]="","",INDEX(INDIRECT("PAJAK["&amp;PARAMA[#Headers]&amp;"]"),PARAMA[[#This Row],[//PAJAK]]-1))</f>
        <v/>
      </c>
      <c r="H4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>
      <c r="A44" s="10" t="str">
        <f ca="1">HYPERLINK("[NOTA_.xlsx]NOTA!A"&amp;MATCH(PARAMA[[#This Row],[ID]],NOTA[ID],0)+2,IF(PARAMA[[#This Row],[//PAJAK]]="","",MATCH(PARAMA[[#This Row],[ID]],NOTA[ID],0)+2))</f>
        <v/>
      </c>
      <c r="B44" s="4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9" t="str">
        <f ca="1">HYPERLINK("[NOTA_.xlsx]PAJAK!b"&amp;PARAMA[[#This Row],[//PAJAK]],IF(PARAMA[[#This Row],[//PAJAK]]="","",INDEX(INDIRECT("PAJAK["&amp;PARAMA[#Headers]&amp;"]"),PARAMA[[#This Row],[//PAJAK]]-1)))</f>
        <v/>
      </c>
      <c r="D44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4" t="str">
        <f ca="1">IF(PARAMA[[#This Row],[//PAJAK]]="","",INDEX(INDIRECT("PAJAK["&amp;PARAMA[#Headers]&amp;"]"),PARAMA[[#This Row],[//PAJAK]]-1))</f>
        <v/>
      </c>
      <c r="H44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>
      <c r="A45" s="10" t="str">
        <f ca="1">HYPERLINK("[NOTA_.xlsx]NOTA!A"&amp;MATCH(PARAMA[[#This Row],[ID]],NOTA[ID],0)+2,IF(PARAMA[[#This Row],[//PAJAK]]="","",MATCH(PARAMA[[#This Row],[ID]],NOTA[ID],0)+2))</f>
        <v/>
      </c>
      <c r="B45" s="4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9" t="str">
        <f ca="1">HYPERLINK("[NOTA_.xlsx]PAJAK!b"&amp;PARAMA[[#This Row],[//PAJAK]],IF(PARAMA[[#This Row],[//PAJAK]]="","",INDEX(INDIRECT("PAJAK["&amp;PARAMA[#Headers]&amp;"]"),PARAMA[[#This Row],[//PAJAK]]-1)))</f>
        <v/>
      </c>
      <c r="D45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4" t="str">
        <f ca="1">IF(PARAMA[[#This Row],[//PAJAK]]="","",INDEX(INDIRECT("PAJAK["&amp;PARAMA[#Headers]&amp;"]"),PARAMA[[#This Row],[//PAJAK]]-1))</f>
        <v/>
      </c>
      <c r="H45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>
      <c r="A46" s="10" t="str">
        <f ca="1">HYPERLINK("[NOTA_.xlsx]NOTA!A"&amp;MATCH(PARAMA[[#This Row],[ID]],NOTA[ID],0)+2,IF(PARAMA[[#This Row],[//PAJAK]]="","",MATCH(PARAMA[[#This Row],[ID]],NOTA[ID],0)+2))</f>
        <v/>
      </c>
      <c r="B46" s="4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9" t="str">
        <f ca="1">HYPERLINK("[NOTA_.xlsx]PAJAK!b"&amp;PARAMA[[#This Row],[//PAJAK]],IF(PARAMA[[#This Row],[//PAJAK]]="","",INDEX(INDIRECT("PAJAK["&amp;PARAMA[#Headers]&amp;"]"),PARAMA[[#This Row],[//PAJAK]]-1)))</f>
        <v/>
      </c>
      <c r="D46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4" t="str">
        <f ca="1">IF(PARAMA[[#This Row],[//PAJAK]]="","",INDEX(INDIRECT("PAJAK["&amp;PARAMA[#Headers]&amp;"]"),PARAMA[[#This Row],[//PAJAK]]-1))</f>
        <v/>
      </c>
      <c r="H46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>
      <c r="A47" s="10" t="str">
        <f ca="1">HYPERLINK("[NOTA_.xlsx]NOTA!A"&amp;MATCH(PARAMA[[#This Row],[ID]],NOTA[ID],0)+2,IF(PARAMA[[#This Row],[//PAJAK]]="","",MATCH(PARAMA[[#This Row],[ID]],NOTA[ID],0)+2))</f>
        <v/>
      </c>
      <c r="B47" s="4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9" t="str">
        <f ca="1">HYPERLINK("[NOTA_.xlsx]PAJAK!b"&amp;PARAMA[[#This Row],[//PAJAK]],IF(PARAMA[[#This Row],[//PAJAK]]="","",INDEX(INDIRECT("PAJAK["&amp;PARAMA[#Headers]&amp;"]"),PARAMA[[#This Row],[//PAJAK]]-1)))</f>
        <v/>
      </c>
      <c r="D47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4" t="str">
        <f ca="1">IF(PARAMA[[#This Row],[//PAJAK]]="","",INDEX(INDIRECT("PAJAK["&amp;PARAMA[#Headers]&amp;"]"),PARAMA[[#This Row],[//PAJAK]]-1))</f>
        <v/>
      </c>
      <c r="H47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>
      <c r="A48" s="10" t="str">
        <f ca="1">HYPERLINK("[NOTA_.xlsx]NOTA!A"&amp;MATCH(PARAMA[[#This Row],[ID]],NOTA[ID],0)+2,IF(PARAMA[[#This Row],[//PAJAK]]="","",MATCH(PARAMA[[#This Row],[ID]],NOTA[ID],0)+2))</f>
        <v/>
      </c>
      <c r="B48" s="4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9" t="str">
        <f ca="1">HYPERLINK("[NOTA_.xlsx]PAJAK!b"&amp;PARAMA[[#This Row],[//PAJAK]],IF(PARAMA[[#This Row],[//PAJAK]]="","",INDEX(INDIRECT("PAJAK["&amp;PARAMA[#Headers]&amp;"]"),PARAMA[[#This Row],[//PAJAK]]-1)))</f>
        <v/>
      </c>
      <c r="D48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4" t="str">
        <f ca="1">IF(PARAMA[[#This Row],[//PAJAK]]="","",INDEX(INDIRECT("PAJAK["&amp;PARAMA[#Headers]&amp;"]"),PARAMA[[#This Row],[//PAJAK]]-1))</f>
        <v/>
      </c>
      <c r="H48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>
      <c r="A49" s="10" t="str">
        <f ca="1">HYPERLINK("[NOTA_.xlsx]NOTA!A"&amp;MATCH(PARAMA[[#This Row],[ID]],NOTA[ID],0)+2,IF(PARAMA[[#This Row],[//PAJAK]]="","",MATCH(PARAMA[[#This Row],[ID]],NOTA[ID],0)+2))</f>
        <v/>
      </c>
      <c r="B49" s="4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9" t="str">
        <f ca="1">HYPERLINK("[NOTA_.xlsx]PAJAK!b"&amp;PARAMA[[#This Row],[//PAJAK]],IF(PARAMA[[#This Row],[//PAJAK]]="","",INDEX(INDIRECT("PAJAK["&amp;PARAMA[#Headers]&amp;"]"),PARAMA[[#This Row],[//PAJAK]]-1)))</f>
        <v/>
      </c>
      <c r="D49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4" t="str">
        <f ca="1">IF(PARAMA[[#This Row],[//PAJAK]]="","",INDEX(INDIRECT("PAJAK["&amp;PARAMA[#Headers]&amp;"]"),PARAMA[[#This Row],[//PAJAK]]-1))</f>
        <v/>
      </c>
      <c r="H49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>
      <c r="A50" s="10" t="str">
        <f ca="1">HYPERLINK("[NOTA_.xlsx]NOTA!A"&amp;MATCH(PARAMA[[#This Row],[ID]],NOTA[ID],0)+2,IF(PARAMA[[#This Row],[//PAJAK]]="","",MATCH(PARAMA[[#This Row],[ID]],NOTA[ID],0)+2))</f>
        <v/>
      </c>
      <c r="B50" s="4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9" t="str">
        <f ca="1">HYPERLINK("[NOTA_.xlsx]PAJAK!b"&amp;PARAMA[[#This Row],[//PAJAK]],IF(PARAMA[[#This Row],[//PAJAK]]="","",INDEX(INDIRECT("PAJAK["&amp;PARAMA[#Headers]&amp;"]"),PARAMA[[#This Row],[//PAJAK]]-1)))</f>
        <v/>
      </c>
      <c r="D50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4" t="str">
        <f ca="1">IF(PARAMA[[#This Row],[//PAJAK]]="","",INDEX(INDIRECT("PAJAK["&amp;PARAMA[#Headers]&amp;"]"),PARAMA[[#This Row],[//PAJAK]]-1))</f>
        <v/>
      </c>
      <c r="H50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M22"/>
  <sheetViews>
    <sheetView workbookViewId="0">
      <selection activeCell="D10" sqref="D10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RAPINAN BROTHER</v>
      </c>
      <c r="E1">
        <f ca="1">INDEX(CONV[JML],MATCH(D1,CONV[2],0))</f>
        <v>0</v>
      </c>
      <c r="G1" s="3" t="str">
        <f ca="1">CELL("filename",G1)</f>
        <v>D:\kerja\BANK EXP\BARU\2024\06 JUNI\[NOTA 06 JUNI 2024.xlsx]RAP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HYPERLINK("[NOTA_.xlsx]NOTA!A"&amp;MATCH(RAP[[#This Row],[ID]],NOTA[ID],0)+2,IF(RAP[[#This Row],[//PAJAK]]="","",MATCH(RAP[[#This Row],[ID]],NOTA[ID],0)+2))</f>
        <v/>
      </c>
      <c r="B3" s="4" t="str">
        <f ca="1">IF(ROW()-3&lt;E$1,IF(INDIRECT(ADDRESS(ROW()-1,COLUMN(RAP[[#Headers],[//PAJAK]])))="//PAJAK",MATCH(D$1,PAJAK[SUPPLIER],0)+1,MATCH(D$1,INDIRECT("PAJAK!"&amp;ADDRESS(B2+1,COLUMN(PAJAK[SUPPLIER]))&amp;":"&amp;ADDRESS(MAX_ROW,COLUMN(PAJAK[SUPPLIER]))),0)+B2),"")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HYPERLINK("[NOTA_.xlsx]PAJAK!b"&amp;RAP[[#This Row],[//PAJAK]],IF(RAP[[#This Row],[//PAJAK]]="","",INDEX(INDIRECT("PAJAK["&amp;RAP[#Headers]&amp;"]"),RAP[[#This Row],[//PAJAK]]-1)))</f>
        <v/>
      </c>
      <c r="D3" t="str">
        <f ca="1">IF(RAP[[#This Row],[//PAJAK]]="","",INDEX(INDIRECT("PAJAK["&amp;RAP[#Headers]&amp;"]"),RAP[[#This Row],[//PAJAK]]-1))</f>
        <v/>
      </c>
      <c r="E3" s="2" t="str">
        <f ca="1">IF(RAP[[#This Row],[//PAJAK]]="","",INDEX(INDIRECT("PAJAK["&amp;RAP[#Headers]&amp;"]"),RAP[[#This Row],[//PAJAK]]-1))</f>
        <v/>
      </c>
      <c r="F3" s="2" t="str">
        <f ca="1">IF(RAP[[#This Row],[//PAJAK]]="","",INDEX(INDIRECT("PAJAK["&amp;RAP[#Headers]&amp;"]"),RAP[[#This Row],[//PAJAK]]-1))</f>
        <v/>
      </c>
      <c r="G3" s="3" t="str">
        <f ca="1">IF(RAP[[#This Row],[//PAJAK]]="","",INDEX(INDIRECT("PAJAK["&amp;RAP[#Headers]&amp;"]"),RAP[[#This Row],[//PAJAK]]-1))</f>
        <v/>
      </c>
      <c r="H3" t="str">
        <f ca="1">IF(RAP[[#This Row],[//PAJAK]]="","",INDEX(INDIRECT("PAJAK["&amp;RAP[#Headers]&amp;"]"),RAP[[#This Row],[//PAJAK]]-1))</f>
        <v/>
      </c>
      <c r="I3" s="1" t="str">
        <f ca="1">IF(RAP[[#This Row],[//PAJAK]]="","",INDEX(PAJAK[SUB T-DISC],RAP[[#This Row],[//PAJAK]]-1))</f>
        <v/>
      </c>
      <c r="J3" s="1" t="str">
        <f ca="1">IF(RAP[[#This Row],[//PAJAK]]="","",INDEX(PAJAK[DISC DLL],RAP[[#This Row],[//PAJAK]]-1))</f>
        <v/>
      </c>
      <c r="K3" s="1" t="e">
        <f ca="1">(RAP[[#This Row],[SUB TOTAL]]-RAP[[#This Row],[DISKON]])/1.11</f>
        <v>#VALUE!</v>
      </c>
      <c r="L3" s="1" t="e">
        <f ca="1">RAP[[#This Row],[DPP]]*11%</f>
        <v>#VALUE!</v>
      </c>
      <c r="M3" s="1" t="e">
        <f ca="1">RAP[[#This Row],[DPP]]+RAP[[#This Row],[PPN (11%)]]</f>
        <v>#VALUE!</v>
      </c>
    </row>
    <row r="4" spans="1:13">
      <c r="A4" s="10" t="str">
        <f ca="1">HYPERLINK("[NOTA_.xlsx]NOTA!A"&amp;MATCH(RAP[[#This Row],[ID]],NOTA[ID],0)+2,IF(RAP[[#This Row],[//PAJAK]]="","",MATCH(RAP[[#This Row],[ID]],NOTA[ID],0)+2))</f>
        <v/>
      </c>
      <c r="B4" s="4" t="str">
        <f ca="1">IF(ROW()-3&lt;E$1,IF(INDIRECT(ADDRESS(ROW()-1,COLUMN(RAP[[#Headers],[//PAJAK]])))="//PAJAK",MATCH(D$1,PAJAK[SUPPLIER],0)+1,MATCH(D$1,INDIRECT("PAJAK!"&amp;ADDRESS(B3+1,COLUMN(PAJAK[SUPPLIER]))&amp;":"&amp;ADDRESS(MAX_ROW,COLUMN(PAJAK[SUPPLIER]))),0)+B3),"")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HYPERLINK("[NOTA_.xlsx]PAJAK!b"&amp;RAP[[#This Row],[//PAJAK]],IF(RAP[[#This Row],[//PAJAK]]="","",INDEX(INDIRECT("PAJAK["&amp;RAP[#Headers]&amp;"]"),RAP[[#This Row],[//PAJAK]]-1)))</f>
        <v/>
      </c>
      <c r="D4" t="str">
        <f ca="1">IF(RAP[[#This Row],[//PAJAK]]="","",INDEX(INDIRECT("PAJAK["&amp;RAP[#Headers]&amp;"]"),RAP[[#This Row],[//PAJAK]]-1))</f>
        <v/>
      </c>
      <c r="E4" s="2" t="str">
        <f ca="1">IF(RAP[[#This Row],[//PAJAK]]="","",INDEX(INDIRECT("PAJAK["&amp;RAP[#Headers]&amp;"]"),RAP[[#This Row],[//PAJAK]]-1))</f>
        <v/>
      </c>
      <c r="F4" s="2" t="str">
        <f ca="1">IF(RAP[[#This Row],[//PAJAK]]="","",INDEX(INDIRECT("PAJAK["&amp;RAP[#Headers]&amp;"]"),RAP[[#This Row],[//PAJAK]]-1))</f>
        <v/>
      </c>
      <c r="G4" t="str">
        <f ca="1">IF(RAP[[#This Row],[//PAJAK]]="","",INDEX(INDIRECT("PAJAK["&amp;RAP[#Headers]&amp;"]"),RAP[[#This Row],[//PAJAK]]-1))</f>
        <v/>
      </c>
      <c r="H4" t="str">
        <f ca="1">IF(RAP[[#This Row],[//PAJAK]]="","",INDEX(INDIRECT("PAJAK["&amp;RAP[#Headers]&amp;"]"),RAP[[#This Row],[//PAJAK]]-1))</f>
        <v/>
      </c>
      <c r="I4" s="1" t="str">
        <f ca="1">IF(RAP[[#This Row],[//PAJAK]]="","",INDEX(PAJAK[SUB T-DISC],RAP[[#This Row],[//PAJAK]]-1))</f>
        <v/>
      </c>
      <c r="J4" s="1" t="str">
        <f ca="1">IF(RAP[[#This Row],[//PAJAK]]="","",INDEX(PAJAK[DISC DLL],RAP[[#This Row],[//PAJAK]]-1))</f>
        <v/>
      </c>
      <c r="K4" s="1" t="e">
        <f ca="1">(RAP[[#This Row],[SUB TOTAL]]-RAP[[#This Row],[DISKON]])/1.11</f>
        <v>#VALUE!</v>
      </c>
      <c r="L4" s="1" t="e">
        <f ca="1">RAP[[#This Row],[DPP]]*11%</f>
        <v>#VALUE!</v>
      </c>
      <c r="M4" s="1" t="e">
        <f ca="1">RAP[[#This Row],[DPP]]+RAP[[#This Row],[PPN (11%)]]</f>
        <v>#VALUE!</v>
      </c>
    </row>
    <row r="5" spans="1:13">
      <c r="A5" s="10" t="str">
        <f ca="1">HYPERLINK("[NOTA_.xlsx]NOTA!A"&amp;MATCH(RAP[[#This Row],[ID]],NOTA[ID],0)+2,IF(RAP[[#This Row],[//PAJAK]]="","",MATCH(RAP[[#This Row],[ID]],NOTA[ID],0)+2))</f>
        <v/>
      </c>
      <c r="B5" s="4" t="str">
        <f ca="1">IF(ROW()-3&lt;E$1,IF(INDIRECT(ADDRESS(ROW()-1,COLUMN(RAP[[#Headers],[//PAJAK]])))="//PAJAK",MATCH(D$1,PAJAK[SUPPLIER],0)+1,MATCH(D$1,INDIRECT("PAJAK!"&amp;ADDRESS(B4+1,COLUMN(PAJAK[SUPPLIER]))&amp;":"&amp;ADDRESS(MAX_ROW,COLUMN(PAJAK[SUPPLIER]))),0)+B4),"")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HYPERLINK("[NOTA_.xlsx]PAJAK!b"&amp;RAP[[#This Row],[//PAJAK]],IF(RAP[[#This Row],[//PAJAK]]="","",INDEX(INDIRECT("PAJAK["&amp;RAP[#Headers]&amp;"]"),RAP[[#This Row],[//PAJAK]]-1)))</f>
        <v/>
      </c>
      <c r="D5" t="str">
        <f ca="1">IF(RAP[[#This Row],[//PAJAK]]="","",INDEX(INDIRECT("PAJAK["&amp;RAP[#Headers]&amp;"]"),RAP[[#This Row],[//PAJAK]]-1))</f>
        <v/>
      </c>
      <c r="E5" s="2" t="str">
        <f ca="1">IF(RAP[[#This Row],[//PAJAK]]="","",INDEX(INDIRECT("PAJAK["&amp;RAP[#Headers]&amp;"]"),RAP[[#This Row],[//PAJAK]]-1))</f>
        <v/>
      </c>
      <c r="F5" s="2" t="str">
        <f ca="1">IF(RAP[[#This Row],[//PAJAK]]="","",INDEX(INDIRECT("PAJAK["&amp;RAP[#Headers]&amp;"]"),RAP[[#This Row],[//PAJAK]]-1))</f>
        <v/>
      </c>
      <c r="G5" t="str">
        <f ca="1">IF(RAP[[#This Row],[//PAJAK]]="","",INDEX(INDIRECT("PAJAK["&amp;RAP[#Headers]&amp;"]"),RAP[[#This Row],[//PAJAK]]-1))</f>
        <v/>
      </c>
      <c r="H5" t="str">
        <f ca="1">IF(RAP[[#This Row],[//PAJAK]]="","",INDEX(INDIRECT("PAJAK["&amp;RAP[#Headers]&amp;"]"),RAP[[#This Row],[//PAJAK]]-1))</f>
        <v/>
      </c>
      <c r="I5" s="1" t="str">
        <f ca="1">IF(RAP[[#This Row],[//PAJAK]]="","",INDEX(PAJAK[SUB T-DISC],RAP[[#This Row],[//PAJAK]]-1))</f>
        <v/>
      </c>
      <c r="J5" s="1" t="str">
        <f ca="1">IF(RAP[[#This Row],[//PAJAK]]="","",INDEX(PAJAK[DISC DLL],RAP[[#This Row],[//PAJAK]]-1))</f>
        <v/>
      </c>
      <c r="K5" s="1" t="e">
        <f ca="1">(RAP[[#This Row],[SUB TOTAL]]-RAP[[#This Row],[DISKON]])/1.11</f>
        <v>#VALUE!</v>
      </c>
      <c r="L5" s="1" t="e">
        <f ca="1">RAP[[#This Row],[DPP]]*11%</f>
        <v>#VALUE!</v>
      </c>
      <c r="M5" s="1" t="e">
        <f ca="1">RAP[[#This Row],[DPP]]+RAP[[#This Row],[PPN (11%)]]</f>
        <v>#VALUE!</v>
      </c>
    </row>
    <row r="6" spans="1:13">
      <c r="A6" s="10" t="str">
        <f ca="1">HYPERLINK("[NOTA_.xlsx]NOTA!A"&amp;MATCH(RAP[[#This Row],[ID]],NOTA[ID],0)+2,IF(RAP[[#This Row],[//PAJAK]]="","",MATCH(RAP[[#This Row],[ID]],NOTA[ID],0)+2))</f>
        <v/>
      </c>
      <c r="B6" s="4" t="str">
        <f ca="1">IF(ROW()-3&lt;E$1,IF(INDIRECT(ADDRESS(ROW()-1,COLUMN(RAP[[#Headers],[//PAJAK]])))="//PAJAK",MATCH(D$1,PAJAK[SUPPLIER],0)+1,MATCH(D$1,INDIRECT("PAJAK!"&amp;ADDRESS(B5+1,COLUMN(PAJAK[SUPPLIER]))&amp;":"&amp;ADDRESS(MAX_ROW,COLUMN(PAJAK[SUPPLIER]))),0)+B5),"")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HYPERLINK("[NOTA_.xlsx]PAJAK!b"&amp;RAP[[#This Row],[//PAJAK]],IF(RAP[[#This Row],[//PAJAK]]="","",INDEX(INDIRECT("PAJAK["&amp;RAP[#Headers]&amp;"]"),RAP[[#This Row],[//PAJAK]]-1)))</f>
        <v/>
      </c>
      <c r="D6" t="str">
        <f ca="1">IF(RAP[[#This Row],[//PAJAK]]="","",INDEX(INDIRECT("PAJAK["&amp;RAP[#Headers]&amp;"]"),RAP[[#This Row],[//PAJAK]]-1))</f>
        <v/>
      </c>
      <c r="E6" s="2" t="str">
        <f ca="1">IF(RAP[[#This Row],[//PAJAK]]="","",INDEX(INDIRECT("PAJAK["&amp;RAP[#Headers]&amp;"]"),RAP[[#This Row],[//PAJAK]]-1))</f>
        <v/>
      </c>
      <c r="F6" s="2" t="str">
        <f ca="1">IF(RAP[[#This Row],[//PAJAK]]="","",INDEX(INDIRECT("PAJAK["&amp;RAP[#Headers]&amp;"]"),RAP[[#This Row],[//PAJAK]]-1))</f>
        <v/>
      </c>
      <c r="G6" t="str">
        <f ca="1">IF(RAP[[#This Row],[//PAJAK]]="","",INDEX(INDIRECT("PAJAK["&amp;RAP[#Headers]&amp;"]"),RAP[[#This Row],[//PAJAK]]-1))</f>
        <v/>
      </c>
      <c r="H6" t="str">
        <f ca="1">IF(RAP[[#This Row],[//PAJAK]]="","",INDEX(INDIRECT("PAJAK["&amp;RAP[#Headers]&amp;"]"),RAP[[#This Row],[//PAJAK]]-1))</f>
        <v/>
      </c>
      <c r="I6" s="1" t="str">
        <f ca="1">IF(RAP[[#This Row],[//PAJAK]]="","",INDEX(PAJAK[SUB T-DISC],RAP[[#This Row],[//PAJAK]]-1))</f>
        <v/>
      </c>
      <c r="J6" s="1" t="str">
        <f ca="1">IF(RAP[[#This Row],[//PAJAK]]="","",INDEX(PAJAK[DISC DLL],RAP[[#This Row],[//PAJAK]]-1))</f>
        <v/>
      </c>
      <c r="K6" s="1" t="e">
        <f ca="1">(RAP[[#This Row],[SUB TOTAL]]-RAP[[#This Row],[DISKON]])/1.11</f>
        <v>#VALUE!</v>
      </c>
      <c r="L6" s="1" t="e">
        <f ca="1">RAP[[#This Row],[DPP]]*11%</f>
        <v>#VALUE!</v>
      </c>
      <c r="M6" s="1" t="e">
        <f ca="1">RAP[[#This Row],[DPP]]+RAP[[#This Row],[PPN (11%)]]</f>
        <v>#VALUE!</v>
      </c>
    </row>
    <row r="7" spans="1:13">
      <c r="A7" s="10" t="str">
        <f ca="1">HYPERLINK("[NOTA_.xlsx]NOTA!A"&amp;MATCH(RAP[[#This Row],[ID]],NOTA[ID],0)+2,IF(RAP[[#This Row],[//PAJAK]]="","",MATCH(RAP[[#This Row],[ID]],NOTA[ID],0)+2))</f>
        <v/>
      </c>
      <c r="B7" s="4" t="str">
        <f ca="1">IF(ROW()-3&lt;E$1,IF(INDIRECT(ADDRESS(ROW()-1,COLUMN(RAP[[#Headers],[//PAJAK]])))="//PAJAK",MATCH(D$1,PAJAK[SUPPLIER],0)+1,MATCH(D$1,INDIRECT("PAJAK!"&amp;ADDRESS(B6+1,COLUMN(PAJAK[SUPPLIER]))&amp;":"&amp;ADDRESS(MAX_ROW,COLUMN(PAJAK[SUPPLIER]))),0)+B6),"")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HYPERLINK("[NOTA_.xlsx]PAJAK!b"&amp;RAP[[#This Row],[//PAJAK]],IF(RAP[[#This Row],[//PAJAK]]="","",INDEX(INDIRECT("PAJAK["&amp;RAP[#Headers]&amp;"]"),RAP[[#This Row],[//PAJAK]]-1)))</f>
        <v/>
      </c>
      <c r="D7" t="str">
        <f ca="1">IF(RAP[[#This Row],[//PAJAK]]="","",INDEX(INDIRECT("PAJAK["&amp;RAP[#Headers]&amp;"]"),RAP[[#This Row],[//PAJAK]]-1))</f>
        <v/>
      </c>
      <c r="E7" s="2" t="str">
        <f ca="1">IF(RAP[[#This Row],[//PAJAK]]="","",INDEX(INDIRECT("PAJAK["&amp;RAP[#Headers]&amp;"]"),RAP[[#This Row],[//PAJAK]]-1))</f>
        <v/>
      </c>
      <c r="F7" s="2" t="str">
        <f ca="1">IF(RAP[[#This Row],[//PAJAK]]="","",INDEX(INDIRECT("PAJAK["&amp;RAP[#Headers]&amp;"]"),RAP[[#This Row],[//PAJAK]]-1))</f>
        <v/>
      </c>
      <c r="G7" t="str">
        <f ca="1">IF(RAP[[#This Row],[//PAJAK]]="","",INDEX(INDIRECT("PAJAK["&amp;RAP[#Headers]&amp;"]"),RAP[[#This Row],[//PAJAK]]-1))</f>
        <v/>
      </c>
      <c r="H7" t="str">
        <f ca="1">IF(RAP[[#This Row],[//PAJAK]]="","",INDEX(INDIRECT("PAJAK["&amp;RAP[#Headers]&amp;"]"),RAP[[#This Row],[//PAJAK]]-1))</f>
        <v/>
      </c>
      <c r="I7" s="1" t="str">
        <f ca="1">IF(RAP[[#This Row],[//PAJAK]]="","",INDEX(PAJAK[SUB T-DISC],RAP[[#This Row],[//PAJAK]]-1))</f>
        <v/>
      </c>
      <c r="J7" s="1" t="str">
        <f ca="1">IF(RAP[[#This Row],[//PAJAK]]="","",INDEX(PAJAK[DISC DLL],RAP[[#This Row],[//PAJAK]]-1))</f>
        <v/>
      </c>
      <c r="K7" s="1" t="e">
        <f ca="1">(RAP[[#This Row],[SUB TOTAL]]-RAP[[#This Row],[DISKON]])/1.11</f>
        <v>#VALUE!</v>
      </c>
      <c r="L7" s="1" t="e">
        <f ca="1">RAP[[#This Row],[DPP]]*11%</f>
        <v>#VALUE!</v>
      </c>
      <c r="M7" s="1" t="e">
        <f ca="1">RAP[[#This Row],[DPP]]+RAP[[#This Row],[PPN (11%)]]</f>
        <v>#VALUE!</v>
      </c>
    </row>
    <row r="8" spans="1:13">
      <c r="A8" s="10" t="str">
        <f ca="1">HYPERLINK("[NOTA_.xlsx]NOTA!A"&amp;MATCH(RAP[[#This Row],[ID]],NOTA[ID],0)+2,IF(RAP[[#This Row],[//PAJAK]]="","",MATCH(RAP[[#This Row],[ID]],NOTA[ID],0)+2))</f>
        <v/>
      </c>
      <c r="B8" s="4" t="str">
        <f ca="1">IF(ROW()-3&lt;E$1,IF(INDIRECT(ADDRESS(ROW()-1,COLUMN(RAP[[#Headers],[//PAJAK]])))="//PAJAK",MATCH(D$1,PAJAK[SUPPLIER],0)+1,MATCH(D$1,INDIRECT("PAJAK!"&amp;ADDRESS(B7+1,COLUMN(PAJAK[SUPPLIER]))&amp;":"&amp;ADDRESS(MAX_ROW,COLUMN(PAJAK[SUPPLIER]))),0)+B7),"")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HYPERLINK("[NOTA_.xlsx]PAJAK!b"&amp;RAP[[#This Row],[//PAJAK]],IF(RAP[[#This Row],[//PAJAK]]="","",INDEX(INDIRECT("PAJAK["&amp;RAP[#Headers]&amp;"]"),RAP[[#This Row],[//PAJAK]]-1)))</f>
        <v/>
      </c>
      <c r="D8" t="str">
        <f ca="1">IF(RAP[[#This Row],[//PAJAK]]="","",INDEX(INDIRECT("PAJAK["&amp;RAP[#Headers]&amp;"]"),RAP[[#This Row],[//PAJAK]]-1))</f>
        <v/>
      </c>
      <c r="E8" s="2" t="str">
        <f ca="1">IF(RAP[[#This Row],[//PAJAK]]="","",INDEX(INDIRECT("PAJAK["&amp;RAP[#Headers]&amp;"]"),RAP[[#This Row],[//PAJAK]]-1))</f>
        <v/>
      </c>
      <c r="F8" s="2" t="str">
        <f ca="1">IF(RAP[[#This Row],[//PAJAK]]="","",INDEX(INDIRECT("PAJAK["&amp;RAP[#Headers]&amp;"]"),RAP[[#This Row],[//PAJAK]]-1))</f>
        <v/>
      </c>
      <c r="G8" t="str">
        <f ca="1">IF(RAP[[#This Row],[//PAJAK]]="","",INDEX(INDIRECT("PAJAK["&amp;RAP[#Headers]&amp;"]"),RAP[[#This Row],[//PAJAK]]-1))</f>
        <v/>
      </c>
      <c r="H8" t="str">
        <f ca="1">IF(RAP[[#This Row],[//PAJAK]]="","",INDEX(INDIRECT("PAJAK["&amp;RAP[#Headers]&amp;"]"),RAP[[#This Row],[//PAJAK]]-1))</f>
        <v/>
      </c>
      <c r="I8" s="1" t="str">
        <f ca="1">IF(RAP[[#This Row],[//PAJAK]]="","",INDEX(PAJAK[SUB T-DISC],RAP[[#This Row],[//PAJAK]]-1))</f>
        <v/>
      </c>
      <c r="J8" s="1" t="str">
        <f ca="1">IF(RAP[[#This Row],[//PAJAK]]="","",INDEX(PAJAK[DISC DLL],RAP[[#This Row],[//PAJAK]]-1))</f>
        <v/>
      </c>
      <c r="K8" s="1" t="e">
        <f ca="1">(RAP[[#This Row],[SUB TOTAL]]-RAP[[#This Row],[DISKON]])/1.11</f>
        <v>#VALUE!</v>
      </c>
      <c r="L8" s="1" t="e">
        <f ca="1">RAP[[#This Row],[DPP]]*11%</f>
        <v>#VALUE!</v>
      </c>
      <c r="M8" s="1" t="e">
        <f ca="1">RAP[[#This Row],[DPP]]+RAP[[#This Row],[PPN (11%)]]</f>
        <v>#VALUE!</v>
      </c>
    </row>
    <row r="9" spans="1:13">
      <c r="A9" s="10" t="str">
        <f ca="1">HYPERLINK("[NOTA_.xlsx]NOTA!A"&amp;MATCH(RAP[[#This Row],[ID]],NOTA[ID],0)+2,IF(RAP[[#This Row],[//PAJAK]]="","",MATCH(RAP[[#This Row],[ID]],NOTA[ID],0)+2))</f>
        <v/>
      </c>
      <c r="B9" s="4" t="str">
        <f ca="1">IF(ROW()-3&lt;E$1,IF(INDIRECT(ADDRESS(ROW()-1,COLUMN(RAP[[#Headers],[//PAJAK]])))="//PAJAK",MATCH(D$1,PAJAK[SUPPLIER],0)+1,MATCH(D$1,INDIRECT("PAJAK!"&amp;ADDRESS(B8+1,COLUMN(PAJAK[SUPPLIER]))&amp;":"&amp;ADDRESS(MAX_ROW,COLUMN(PAJAK[SUPPLIER]))),0)+B8),"")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HYPERLINK("[NOTA_.xlsx]PAJAK!b"&amp;RAP[[#This Row],[//PAJAK]],IF(RAP[[#This Row],[//PAJAK]]="","",INDEX(INDIRECT("PAJAK["&amp;RAP[#Headers]&amp;"]"),RAP[[#This Row],[//PAJAK]]-1)))</f>
        <v/>
      </c>
      <c r="D9" t="str">
        <f ca="1">IF(RAP[[#This Row],[//PAJAK]]="","",INDEX(INDIRECT("PAJAK["&amp;RAP[#Headers]&amp;"]"),RAP[[#This Row],[//PAJAK]]-1))</f>
        <v/>
      </c>
      <c r="E9" s="2" t="str">
        <f ca="1">IF(RAP[[#This Row],[//PAJAK]]="","",INDEX(INDIRECT("PAJAK["&amp;RAP[#Headers]&amp;"]"),RAP[[#This Row],[//PAJAK]]-1))</f>
        <v/>
      </c>
      <c r="F9" s="2" t="str">
        <f ca="1">IF(RAP[[#This Row],[//PAJAK]]="","",INDEX(INDIRECT("PAJAK["&amp;RAP[#Headers]&amp;"]"),RAP[[#This Row],[//PAJAK]]-1))</f>
        <v/>
      </c>
      <c r="G9" t="str">
        <f ca="1">IF(RAP[[#This Row],[//PAJAK]]="","",INDEX(INDIRECT("PAJAK["&amp;RAP[#Headers]&amp;"]"),RAP[[#This Row],[//PAJAK]]-1))</f>
        <v/>
      </c>
      <c r="H9" t="str">
        <f ca="1">IF(RAP[[#This Row],[//PAJAK]]="","",INDEX(INDIRECT("PAJAK["&amp;RAP[#Headers]&amp;"]"),RAP[[#This Row],[//PAJAK]]-1))</f>
        <v/>
      </c>
      <c r="I9" s="1" t="str">
        <f ca="1">IF(RAP[[#This Row],[//PAJAK]]="","",INDEX(PAJAK[SUB T-DISC],RAP[[#This Row],[//PAJAK]]-1))</f>
        <v/>
      </c>
      <c r="J9" s="1" t="str">
        <f ca="1">IF(RAP[[#This Row],[//PAJAK]]="","",INDEX(PAJAK[DISC DLL],RAP[[#This Row],[//PAJAK]]-1))</f>
        <v/>
      </c>
      <c r="K9" s="1" t="e">
        <f ca="1">(RAP[[#This Row],[SUB TOTAL]]-RAP[[#This Row],[DISKON]])/1.11</f>
        <v>#VALUE!</v>
      </c>
      <c r="L9" s="1" t="e">
        <f ca="1">RAP[[#This Row],[DPP]]*11%</f>
        <v>#VALUE!</v>
      </c>
      <c r="M9" s="1" t="e">
        <f ca="1">RAP[[#This Row],[DPP]]+RAP[[#This Row],[PPN (11%)]]</f>
        <v>#VALUE!</v>
      </c>
    </row>
    <row r="10" spans="1:13">
      <c r="A10" s="10" t="str">
        <f ca="1">HYPERLINK("[NOTA_.xlsx]NOTA!A"&amp;MATCH(RAP[[#This Row],[ID]],NOTA[ID],0)+2,IF(RAP[[#This Row],[//PAJAK]]="","",MATCH(RAP[[#This Row],[ID]],NOTA[ID],0)+2))</f>
        <v/>
      </c>
      <c r="B10" s="4" t="str">
        <f ca="1">IF(ROW()-3&lt;E$1,IF(INDIRECT(ADDRESS(ROW()-1,COLUMN(RAP[[#Headers],[//PAJAK]])))="//PAJAK",MATCH(D$1,PAJAK[SUPPLIER],0)+1,MATCH(D$1,INDIRECT("PAJAK!"&amp;ADDRESS(B9+1,COLUMN(PAJAK[SUPPLIER]))&amp;":"&amp;ADDRESS(MAX_ROW,COLUMN(PAJAK[SUPPLIER]))),0)+B9),"")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HYPERLINK("[NOTA_.xlsx]PAJAK!b"&amp;RAP[[#This Row],[//PAJAK]],IF(RAP[[#This Row],[//PAJAK]]="","",INDEX(INDIRECT("PAJAK["&amp;RAP[#Headers]&amp;"]"),RAP[[#This Row],[//PAJAK]]-1)))</f>
        <v/>
      </c>
      <c r="D10" t="str">
        <f ca="1">IF(RAP[[#This Row],[//PAJAK]]="","",INDEX(INDIRECT("PAJAK["&amp;RAP[#Headers]&amp;"]"),RAP[[#This Row],[//PAJAK]]-1))</f>
        <v/>
      </c>
      <c r="E10" s="2" t="str">
        <f ca="1">IF(RAP[[#This Row],[//PAJAK]]="","",INDEX(INDIRECT("PAJAK["&amp;RAP[#Headers]&amp;"]"),RAP[[#This Row],[//PAJAK]]-1))</f>
        <v/>
      </c>
      <c r="F10" s="2" t="str">
        <f ca="1">IF(RAP[[#This Row],[//PAJAK]]="","",INDEX(INDIRECT("PAJAK["&amp;RAP[#Headers]&amp;"]"),RAP[[#This Row],[//PAJAK]]-1))</f>
        <v/>
      </c>
      <c r="G10" t="str">
        <f ca="1">IF(RAP[[#This Row],[//PAJAK]]="","",INDEX(INDIRECT("PAJAK["&amp;RAP[#Headers]&amp;"]"),RAP[[#This Row],[//PAJAK]]-1))</f>
        <v/>
      </c>
      <c r="H10" t="str">
        <f ca="1">IF(RAP[[#This Row],[//PAJAK]]="","",INDEX(INDIRECT("PAJAK["&amp;RAP[#Headers]&amp;"]"),RAP[[#This Row],[//PAJAK]]-1))</f>
        <v/>
      </c>
      <c r="I10" s="1" t="str">
        <f ca="1">IF(RAP[[#This Row],[//PAJAK]]="","",INDEX(PAJAK[SUB T-DISC],RAP[[#This Row],[//PAJAK]]-1))</f>
        <v/>
      </c>
      <c r="J10" s="1" t="str">
        <f ca="1">IF(RAP[[#This Row],[//PAJAK]]="","",INDEX(PAJAK[DISC DLL],RAP[[#This Row],[//PAJAK]]-1))</f>
        <v/>
      </c>
      <c r="K10" s="1" t="e">
        <f ca="1">(RAP[[#This Row],[SUB TOTAL]]-RAP[[#This Row],[DISKON]])/1.11</f>
        <v>#VALUE!</v>
      </c>
      <c r="L10" s="1" t="e">
        <f ca="1">RAP[[#This Row],[DPP]]*11%</f>
        <v>#VALUE!</v>
      </c>
      <c r="M10" s="1" t="e">
        <f ca="1">RAP[[#This Row],[DPP]]+RAP[[#This Row],[PPN (11%)]]</f>
        <v>#VALUE!</v>
      </c>
    </row>
    <row r="11" spans="1:13">
      <c r="A11" s="10" t="str">
        <f ca="1">HYPERLINK("[NOTA_.xlsx]NOTA!A"&amp;MATCH(RAP[[#This Row],[ID]],NOTA[ID],0)+2,IF(RAP[[#This Row],[//PAJAK]]="","",MATCH(RAP[[#This Row],[ID]],NOTA[ID],0)+2))</f>
        <v/>
      </c>
      <c r="B11" s="4" t="str">
        <f ca="1">IF(ROW()-3&lt;E$1,IF(INDIRECT(ADDRESS(ROW()-1,COLUMN(RAP[[#Headers],[//PAJAK]])))="//PAJAK",MATCH(D$1,PAJAK[SUPPLIER],0)+1,MATCH(D$1,INDIRECT("PAJAK!"&amp;ADDRESS(B10+1,COLUMN(PAJAK[SUPPLIER]))&amp;":"&amp;ADDRESS(MAX_ROW,COLUMN(PAJAK[SUPPLIER]))),0)+B10),"")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HYPERLINK("[NOTA_.xlsx]PAJAK!b"&amp;RAP[[#This Row],[//PAJAK]],IF(RAP[[#This Row],[//PAJAK]]="","",INDEX(INDIRECT("PAJAK["&amp;RAP[#Headers]&amp;"]"),RAP[[#This Row],[//PAJAK]]-1)))</f>
        <v/>
      </c>
      <c r="D11" t="str">
        <f ca="1">IF(RAP[[#This Row],[//PAJAK]]="","",INDEX(INDIRECT("PAJAK["&amp;RAP[#Headers]&amp;"]"),RAP[[#This Row],[//PAJAK]]-1))</f>
        <v/>
      </c>
      <c r="E11" s="2" t="str">
        <f ca="1">IF(RAP[[#This Row],[//PAJAK]]="","",INDEX(INDIRECT("PAJAK["&amp;RAP[#Headers]&amp;"]"),RAP[[#This Row],[//PAJAK]]-1))</f>
        <v/>
      </c>
      <c r="F11" s="2" t="str">
        <f ca="1">IF(RAP[[#This Row],[//PAJAK]]="","",INDEX(INDIRECT("PAJAK["&amp;RAP[#Headers]&amp;"]"),RAP[[#This Row],[//PAJAK]]-1))</f>
        <v/>
      </c>
      <c r="G11" t="str">
        <f ca="1">IF(RAP[[#This Row],[//PAJAK]]="","",INDEX(INDIRECT("PAJAK["&amp;RAP[#Headers]&amp;"]"),RAP[[#This Row],[//PAJAK]]-1))</f>
        <v/>
      </c>
      <c r="H11" t="str">
        <f ca="1">IF(RAP[[#This Row],[//PAJAK]]="","",INDEX(INDIRECT("PAJAK["&amp;RAP[#Headers]&amp;"]"),RAP[[#This Row],[//PAJAK]]-1))</f>
        <v/>
      </c>
      <c r="I11" s="1" t="str">
        <f ca="1">IF(RAP[[#This Row],[//PAJAK]]="","",INDEX(PAJAK[SUB T-DISC],RAP[[#This Row],[//PAJAK]]-1))</f>
        <v/>
      </c>
      <c r="J11" s="1" t="str">
        <f ca="1">IF(RAP[[#This Row],[//PAJAK]]="","",INDEX(PAJAK[DISC DLL],RAP[[#This Row],[//PAJAK]]-1))</f>
        <v/>
      </c>
      <c r="K11" s="1" t="e">
        <f ca="1">(RAP[[#This Row],[SUB TOTAL]]-RAP[[#This Row],[DISKON]])/1.11</f>
        <v>#VALUE!</v>
      </c>
      <c r="L11" s="1" t="e">
        <f ca="1">RAP[[#This Row],[DPP]]*11%</f>
        <v>#VALUE!</v>
      </c>
      <c r="M11" s="1" t="e">
        <f ca="1">RAP[[#This Row],[DPP]]+RAP[[#This Row],[PPN (11%)]]</f>
        <v>#VALUE!</v>
      </c>
    </row>
    <row r="12" spans="1:13">
      <c r="A12" s="10" t="str">
        <f ca="1">HYPERLINK("[NOTA_.xlsx]NOTA!A"&amp;MATCH(RAP[[#This Row],[ID]],NOTA[ID],0)+2,IF(RAP[[#This Row],[//PAJAK]]="","",MATCH(RAP[[#This Row],[ID]],NOTA[ID],0)+2))</f>
        <v/>
      </c>
      <c r="B12" s="4" t="str">
        <f ca="1">IF(ROW()-3&lt;E$1,IF(INDIRECT(ADDRESS(ROW()-1,COLUMN(RAP[[#Headers],[//PAJAK]])))="//PAJAK",MATCH(D$1,PAJAK[SUPPLIER],0)+1,MATCH(D$1,INDIRECT("PAJAK!"&amp;ADDRESS(B11+1,COLUMN(PAJAK[SUPPLIER]))&amp;":"&amp;ADDRESS(MAX_ROW,COLUMN(PAJAK[SUPPLIER]))),0)+B11),"")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HYPERLINK("[NOTA_.xlsx]PAJAK!b"&amp;RAP[[#This Row],[//PAJAK]],IF(RAP[[#This Row],[//PAJAK]]="","",INDEX(INDIRECT("PAJAK["&amp;RAP[#Headers]&amp;"]"),RAP[[#This Row],[//PAJAK]]-1)))</f>
        <v/>
      </c>
      <c r="D12" t="str">
        <f ca="1">IF(RAP[[#This Row],[//PAJAK]]="","",INDEX(INDIRECT("PAJAK["&amp;RAP[#Headers]&amp;"]"),RAP[[#This Row],[//PAJAK]]-1))</f>
        <v/>
      </c>
      <c r="E12" s="2" t="str">
        <f ca="1">IF(RAP[[#This Row],[//PAJAK]]="","",INDEX(INDIRECT("PAJAK["&amp;RAP[#Headers]&amp;"]"),RAP[[#This Row],[//PAJAK]]-1))</f>
        <v/>
      </c>
      <c r="F12" s="2" t="str">
        <f ca="1">IF(RAP[[#This Row],[//PAJAK]]="","",INDEX(INDIRECT("PAJAK["&amp;RAP[#Headers]&amp;"]"),RAP[[#This Row],[//PAJAK]]-1))</f>
        <v/>
      </c>
      <c r="G12" t="str">
        <f ca="1">IF(RAP[[#This Row],[//PAJAK]]="","",INDEX(INDIRECT("PAJAK["&amp;RAP[#Headers]&amp;"]"),RAP[[#This Row],[//PAJAK]]-1))</f>
        <v/>
      </c>
      <c r="H12" t="str">
        <f ca="1">IF(RAP[[#This Row],[//PAJAK]]="","",INDEX(INDIRECT("PAJAK["&amp;RAP[#Headers]&amp;"]"),RAP[[#This Row],[//PAJAK]]-1))</f>
        <v/>
      </c>
      <c r="I12" s="1" t="str">
        <f ca="1">IF(RAP[[#This Row],[//PAJAK]]="","",INDEX(PAJAK[SUB T-DISC],RAP[[#This Row],[//PAJAK]]-1))</f>
        <v/>
      </c>
      <c r="J12" s="1" t="str">
        <f ca="1">IF(RAP[[#This Row],[//PAJAK]]="","",INDEX(PAJAK[DISC DLL],RAP[[#This Row],[//PAJAK]]-1))</f>
        <v/>
      </c>
      <c r="K12" s="1" t="e">
        <f ca="1">(RAP[[#This Row],[SUB TOTAL]]-RAP[[#This Row],[DISKON]])/1.11</f>
        <v>#VALUE!</v>
      </c>
      <c r="L12" s="1" t="e">
        <f ca="1">RAP[[#This Row],[DPP]]*11%</f>
        <v>#VALUE!</v>
      </c>
      <c r="M12" s="1" t="e">
        <f ca="1">RAP[[#This Row],[DPP]]+RAP[[#This Row],[PPN (11%)]]</f>
        <v>#VALUE!</v>
      </c>
    </row>
    <row r="13" spans="1:13">
      <c r="A13" s="10" t="str">
        <f ca="1">HYPERLINK("[NOTA_.xlsx]NOTA!A"&amp;MATCH(RAP[[#This Row],[ID]],NOTA[ID],0)+2,IF(RAP[[#This Row],[//PAJAK]]="","",MATCH(RAP[[#This Row],[ID]],NOTA[ID],0)+2))</f>
        <v/>
      </c>
      <c r="B13" s="4" t="str">
        <f ca="1">IF(ROW()-3&lt;E$1,IF(INDIRECT(ADDRESS(ROW()-1,COLUMN(RAP[[#Headers],[//PAJAK]])))="//PAJAK",MATCH(D$1,PAJAK[SUPPLIER],0)+1,MATCH(D$1,INDIRECT("PAJAK!"&amp;ADDRESS(B12+1,COLUMN(PAJAK[SUPPLIER]))&amp;":"&amp;ADDRESS(MAX_ROW,COLUMN(PAJAK[SUPPLIER]))),0)+B12),"")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HYPERLINK("[NOTA_.xlsx]PAJAK!b"&amp;RAP[[#This Row],[//PAJAK]],IF(RAP[[#This Row],[//PAJAK]]="","",INDEX(INDIRECT("PAJAK["&amp;RAP[#Headers]&amp;"]"),RAP[[#This Row],[//PAJAK]]-1)))</f>
        <v/>
      </c>
      <c r="D13" t="str">
        <f ca="1">IF(RAP[[#This Row],[//PAJAK]]="","",INDEX(INDIRECT("PAJAK["&amp;RAP[#Headers]&amp;"]"),RAP[[#This Row],[//PAJAK]]-1))</f>
        <v/>
      </c>
      <c r="E13" s="2" t="str">
        <f ca="1">IF(RAP[[#This Row],[//PAJAK]]="","",INDEX(INDIRECT("PAJAK["&amp;RAP[#Headers]&amp;"]"),RAP[[#This Row],[//PAJAK]]-1))</f>
        <v/>
      </c>
      <c r="F13" s="2" t="str">
        <f ca="1">IF(RAP[[#This Row],[//PAJAK]]="","",INDEX(INDIRECT("PAJAK["&amp;RAP[#Headers]&amp;"]"),RAP[[#This Row],[//PAJAK]]-1))</f>
        <v/>
      </c>
      <c r="G13" t="str">
        <f ca="1">IF(RAP[[#This Row],[//PAJAK]]="","",INDEX(INDIRECT("PAJAK["&amp;RAP[#Headers]&amp;"]"),RAP[[#This Row],[//PAJAK]]-1))</f>
        <v/>
      </c>
      <c r="H13" t="str">
        <f ca="1">IF(RAP[[#This Row],[//PAJAK]]="","",INDEX(INDIRECT("PAJAK["&amp;RAP[#Headers]&amp;"]"),RAP[[#This Row],[//PAJAK]]-1))</f>
        <v/>
      </c>
      <c r="I13" s="1" t="str">
        <f ca="1">IF(RAP[[#This Row],[//PAJAK]]="","",INDEX(PAJAK[SUB T-DISC],RAP[[#This Row],[//PAJAK]]-1))</f>
        <v/>
      </c>
      <c r="J13" s="1" t="str">
        <f ca="1">IF(RAP[[#This Row],[//PAJAK]]="","",INDEX(PAJAK[DISC DLL],RAP[[#This Row],[//PAJAK]]-1))</f>
        <v/>
      </c>
      <c r="K13" s="1" t="e">
        <f ca="1">(RAP[[#This Row],[SUB TOTAL]]-RAP[[#This Row],[DISKON]])/1.11</f>
        <v>#VALUE!</v>
      </c>
      <c r="L13" s="1" t="e">
        <f ca="1">RAP[[#This Row],[DPP]]*11%</f>
        <v>#VALUE!</v>
      </c>
      <c r="M13" s="1" t="e">
        <f ca="1">RAP[[#This Row],[DPP]]+RAP[[#This Row],[PPN (11%)]]</f>
        <v>#VALUE!</v>
      </c>
    </row>
    <row r="14" spans="1:13">
      <c r="A14" s="10" t="str">
        <f ca="1">HYPERLINK("[NOTA_.xlsx]NOTA!A"&amp;MATCH(RAP[[#This Row],[ID]],NOTA[ID],0)+2,IF(RAP[[#This Row],[//PAJAK]]="","",MATCH(RAP[[#This Row],[ID]],NOTA[ID],0)+2))</f>
        <v/>
      </c>
      <c r="B14" s="4" t="str">
        <f ca="1">IF(ROW()-3&lt;E$1,IF(INDIRECT(ADDRESS(ROW()-1,COLUMN(RAP[[#Headers],[//PAJAK]])))="//PAJAK",MATCH(D$1,PAJAK[SUPPLIER],0)+1,MATCH(D$1,INDIRECT("PAJAK!"&amp;ADDRESS(B13+1,COLUMN(PAJAK[SUPPLIER]))&amp;":"&amp;ADDRESS(MAX_ROW,COLUMN(PAJAK[SUPPLIER]))),0)+B13),"")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HYPERLINK("[NOTA_.xlsx]PAJAK!b"&amp;RAP[[#This Row],[//PAJAK]],IF(RAP[[#This Row],[//PAJAK]]="","",INDEX(INDIRECT("PAJAK["&amp;RAP[#Headers]&amp;"]"),RAP[[#This Row],[//PAJAK]]-1)))</f>
        <v/>
      </c>
      <c r="D14" t="str">
        <f ca="1">IF(RAP[[#This Row],[//PAJAK]]="","",INDEX(INDIRECT("PAJAK["&amp;RAP[#Headers]&amp;"]"),RAP[[#This Row],[//PAJAK]]-1))</f>
        <v/>
      </c>
      <c r="E14" s="2" t="str">
        <f ca="1">IF(RAP[[#This Row],[//PAJAK]]="","",INDEX(INDIRECT("PAJAK["&amp;RAP[#Headers]&amp;"]"),RAP[[#This Row],[//PAJAK]]-1))</f>
        <v/>
      </c>
      <c r="F14" s="2" t="str">
        <f ca="1">IF(RAP[[#This Row],[//PAJAK]]="","",INDEX(INDIRECT("PAJAK["&amp;RAP[#Headers]&amp;"]"),RAP[[#This Row],[//PAJAK]]-1))</f>
        <v/>
      </c>
      <c r="G14" t="str">
        <f ca="1">IF(RAP[[#This Row],[//PAJAK]]="","",INDEX(INDIRECT("PAJAK["&amp;RAP[#Headers]&amp;"]"),RAP[[#This Row],[//PAJAK]]-1))</f>
        <v/>
      </c>
      <c r="H14" t="str">
        <f ca="1">IF(RAP[[#This Row],[//PAJAK]]="","",INDEX(INDIRECT("PAJAK["&amp;RAP[#Headers]&amp;"]"),RAP[[#This Row],[//PAJAK]]-1))</f>
        <v/>
      </c>
      <c r="I14" s="1" t="str">
        <f ca="1">IF(RAP[[#This Row],[//PAJAK]]="","",INDEX(PAJAK[SUB T-DISC],RAP[[#This Row],[//PAJAK]]-1))</f>
        <v/>
      </c>
      <c r="J14" s="1" t="str">
        <f ca="1">IF(RAP[[#This Row],[//PAJAK]]="","",INDEX(PAJAK[DISC DLL],RAP[[#This Row],[//PAJAK]]-1))</f>
        <v/>
      </c>
      <c r="K14" s="1" t="e">
        <f ca="1">(RAP[[#This Row],[SUB TOTAL]]-RAP[[#This Row],[DISKON]])/1.11</f>
        <v>#VALUE!</v>
      </c>
      <c r="L14" s="1" t="e">
        <f ca="1">RAP[[#This Row],[DPP]]*11%</f>
        <v>#VALUE!</v>
      </c>
      <c r="M14" s="1" t="e">
        <f ca="1">RAP[[#This Row],[DPP]]+RAP[[#This Row],[PPN (11%)]]</f>
        <v>#VALUE!</v>
      </c>
    </row>
    <row r="15" spans="1:13">
      <c r="A15" s="10" t="str">
        <f ca="1">HYPERLINK("[NOTA_.xlsx]NOTA!A"&amp;MATCH(RAP[[#This Row],[ID]],NOTA[ID],0)+2,IF(RAP[[#This Row],[//PAJAK]]="","",MATCH(RAP[[#This Row],[ID]],NOTA[ID],0)+2))</f>
        <v/>
      </c>
      <c r="B15" s="4" t="str">
        <f ca="1">IF(ROW()-3&lt;E$1,IF(INDIRECT(ADDRESS(ROW()-1,COLUMN(RAP[[#Headers],[//PAJAK]])))="//PAJAK",MATCH(D$1,PAJAK[SUPPLIER],0)+1,MATCH(D$1,INDIRECT("PAJAK!"&amp;ADDRESS(B14+1,COLUMN(PAJAK[SUPPLIER]))&amp;":"&amp;ADDRESS(MAX_ROW,COLUMN(PAJAK[SUPPLIER]))),0)+B14),"")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HYPERLINK("[NOTA_.xlsx]PAJAK!b"&amp;RAP[[#This Row],[//PAJAK]],IF(RAP[[#This Row],[//PAJAK]]="","",INDEX(INDIRECT("PAJAK["&amp;RAP[#Headers]&amp;"]"),RAP[[#This Row],[//PAJAK]]-1)))</f>
        <v/>
      </c>
      <c r="D15" t="str">
        <f ca="1">IF(RAP[[#This Row],[//PAJAK]]="","",INDEX(INDIRECT("PAJAK["&amp;RAP[#Headers]&amp;"]"),RAP[[#This Row],[//PAJAK]]-1))</f>
        <v/>
      </c>
      <c r="E15" s="2" t="str">
        <f ca="1">IF(RAP[[#This Row],[//PAJAK]]="","",INDEX(INDIRECT("PAJAK["&amp;RAP[#Headers]&amp;"]"),RAP[[#This Row],[//PAJAK]]-1))</f>
        <v/>
      </c>
      <c r="F15" s="2" t="str">
        <f ca="1">IF(RAP[[#This Row],[//PAJAK]]="","",INDEX(INDIRECT("PAJAK["&amp;RAP[#Headers]&amp;"]"),RAP[[#This Row],[//PAJAK]]-1))</f>
        <v/>
      </c>
      <c r="G15" t="str">
        <f ca="1">IF(RAP[[#This Row],[//PAJAK]]="","",INDEX(INDIRECT("PAJAK["&amp;RAP[#Headers]&amp;"]"),RAP[[#This Row],[//PAJAK]]-1))</f>
        <v/>
      </c>
      <c r="H15" t="str">
        <f ca="1">IF(RAP[[#This Row],[//PAJAK]]="","",INDEX(INDIRECT("PAJAK["&amp;RAP[#Headers]&amp;"]"),RAP[[#This Row],[//PAJAK]]-1))</f>
        <v/>
      </c>
      <c r="I15" s="1" t="str">
        <f ca="1">IF(RAP[[#This Row],[//PAJAK]]="","",INDEX(PAJAK[SUB T-DISC],RAP[[#This Row],[//PAJAK]]-1))</f>
        <v/>
      </c>
      <c r="J15" s="1" t="str">
        <f ca="1">IF(RAP[[#This Row],[//PAJAK]]="","",INDEX(PAJAK[DISC DLL],RAP[[#This Row],[//PAJAK]]-1))</f>
        <v/>
      </c>
      <c r="K15" s="1" t="e">
        <f ca="1">(RAP[[#This Row],[SUB TOTAL]]-RAP[[#This Row],[DISKON]])/1.11</f>
        <v>#VALUE!</v>
      </c>
      <c r="L15" s="1" t="e">
        <f ca="1">RAP[[#This Row],[DPP]]*11%</f>
        <v>#VALUE!</v>
      </c>
      <c r="M15" s="1" t="e">
        <f ca="1">RAP[[#This Row],[DPP]]+RAP[[#This Row],[PPN (11%)]]</f>
        <v>#VALUE!</v>
      </c>
    </row>
    <row r="16" spans="1:13">
      <c r="A16" s="10" t="str">
        <f ca="1">HYPERLINK("[NOTA_.xlsx]NOTA!A"&amp;MATCH(RAP[[#This Row],[ID]],NOTA[ID],0)+2,IF(RAP[[#This Row],[//PAJAK]]="","",MATCH(RAP[[#This Row],[ID]],NOTA[ID],0)+2))</f>
        <v/>
      </c>
      <c r="B16" s="4" t="str">
        <f ca="1">IF(ROW()-3&lt;E$1,IF(INDIRECT(ADDRESS(ROW()-1,COLUMN(RAP[[#Headers],[//PAJAK]])))="//PAJAK",MATCH(D$1,PAJAK[SUPPLIER],0)+1,MATCH(D$1,INDIRECT("PAJAK!"&amp;ADDRESS(B15+1,COLUMN(PAJAK[SUPPLIER]))&amp;":"&amp;ADDRESS(MAX_ROW,COLUMN(PAJAK[SUPPLIER]))),0)+B15),"")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HYPERLINK("[NOTA_.xlsx]PAJAK!b"&amp;RAP[[#This Row],[//PAJAK]],IF(RAP[[#This Row],[//PAJAK]]="","",INDEX(INDIRECT("PAJAK["&amp;RAP[#Headers]&amp;"]"),RAP[[#This Row],[//PAJAK]]-1)))</f>
        <v/>
      </c>
      <c r="D16" t="str">
        <f ca="1">IF(RAP[[#This Row],[//PAJAK]]="","",INDEX(INDIRECT("PAJAK["&amp;RAP[#Headers]&amp;"]"),RAP[[#This Row],[//PAJAK]]-1))</f>
        <v/>
      </c>
      <c r="E16" s="2" t="str">
        <f ca="1">IF(RAP[[#This Row],[//PAJAK]]="","",INDEX(INDIRECT("PAJAK["&amp;RAP[#Headers]&amp;"]"),RAP[[#This Row],[//PAJAK]]-1))</f>
        <v/>
      </c>
      <c r="F16" s="2" t="str">
        <f ca="1">IF(RAP[[#This Row],[//PAJAK]]="","",INDEX(INDIRECT("PAJAK["&amp;RAP[#Headers]&amp;"]"),RAP[[#This Row],[//PAJAK]]-1))</f>
        <v/>
      </c>
      <c r="G16" t="str">
        <f ca="1">IF(RAP[[#This Row],[//PAJAK]]="","",INDEX(INDIRECT("PAJAK["&amp;RAP[#Headers]&amp;"]"),RAP[[#This Row],[//PAJAK]]-1))</f>
        <v/>
      </c>
      <c r="H16" t="str">
        <f ca="1">IF(RAP[[#This Row],[//PAJAK]]="","",INDEX(INDIRECT("PAJAK["&amp;RAP[#Headers]&amp;"]"),RAP[[#This Row],[//PAJAK]]-1))</f>
        <v/>
      </c>
      <c r="I16" s="1" t="str">
        <f ca="1">IF(RAP[[#This Row],[//PAJAK]]="","",INDEX(PAJAK[SUB T-DISC],RAP[[#This Row],[//PAJAK]]-1))</f>
        <v/>
      </c>
      <c r="J16" s="1" t="str">
        <f ca="1">IF(RAP[[#This Row],[//PAJAK]]="","",INDEX(PAJAK[DISC DLL],RAP[[#This Row],[//PAJAK]]-1))</f>
        <v/>
      </c>
      <c r="K16" s="1" t="e">
        <f ca="1">(RAP[[#This Row],[SUB TOTAL]]-RAP[[#This Row],[DISKON]])/1.11</f>
        <v>#VALUE!</v>
      </c>
      <c r="L16" s="1" t="e">
        <f ca="1">RAP[[#This Row],[DPP]]*11%</f>
        <v>#VALUE!</v>
      </c>
      <c r="M16" s="1" t="e">
        <f ca="1">RAP[[#This Row],[DPP]]+RAP[[#This Row],[PPN (11%)]]</f>
        <v>#VALUE!</v>
      </c>
    </row>
    <row r="17" spans="1:13">
      <c r="A17" s="10" t="str">
        <f ca="1">HYPERLINK("[NOTA_.xlsx]NOTA!A"&amp;MATCH(RAP[[#This Row],[ID]],NOTA[ID],0)+2,IF(RAP[[#This Row],[//PAJAK]]="","",MATCH(RAP[[#This Row],[ID]],NOTA[ID],0)+2))</f>
        <v/>
      </c>
      <c r="B17" s="4" t="str">
        <f ca="1">IF(ROW()-3&lt;E$1,IF(INDIRECT(ADDRESS(ROW()-1,COLUMN(RAP[[#Headers],[//PAJAK]])))="//PAJAK",MATCH(D$1,PAJAK[SUPPLIER],0)+1,MATCH(D$1,INDIRECT("PAJAK!"&amp;ADDRESS(B16+1,COLUMN(PAJAK[SUPPLIER]))&amp;":"&amp;ADDRESS(MAX_ROW,COLUMN(PAJAK[SUPPLIER]))),0)+B16),"")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HYPERLINK("[NOTA_.xlsx]PAJAK!b"&amp;RAP[[#This Row],[//PAJAK]],IF(RAP[[#This Row],[//PAJAK]]="","",INDEX(INDIRECT("PAJAK["&amp;RAP[#Headers]&amp;"]"),RAP[[#This Row],[//PAJAK]]-1)))</f>
        <v/>
      </c>
      <c r="D17" t="str">
        <f ca="1">IF(RAP[[#This Row],[//PAJAK]]="","",INDEX(INDIRECT("PAJAK["&amp;RAP[#Headers]&amp;"]"),RAP[[#This Row],[//PAJAK]]-1))</f>
        <v/>
      </c>
      <c r="E17" s="2" t="str">
        <f ca="1">IF(RAP[[#This Row],[//PAJAK]]="","",INDEX(INDIRECT("PAJAK["&amp;RAP[#Headers]&amp;"]"),RAP[[#This Row],[//PAJAK]]-1))</f>
        <v/>
      </c>
      <c r="F17" s="2" t="str">
        <f ca="1">IF(RAP[[#This Row],[//PAJAK]]="","",INDEX(INDIRECT("PAJAK["&amp;RAP[#Headers]&amp;"]"),RAP[[#This Row],[//PAJAK]]-1))</f>
        <v/>
      </c>
      <c r="G17" t="str">
        <f ca="1">IF(RAP[[#This Row],[//PAJAK]]="","",INDEX(INDIRECT("PAJAK["&amp;RAP[#Headers]&amp;"]"),RAP[[#This Row],[//PAJAK]]-1))</f>
        <v/>
      </c>
      <c r="H17" t="str">
        <f ca="1">IF(RAP[[#This Row],[//PAJAK]]="","",INDEX(INDIRECT("PAJAK["&amp;RAP[#Headers]&amp;"]"),RAP[[#This Row],[//PAJAK]]-1))</f>
        <v/>
      </c>
      <c r="I17" s="1" t="str">
        <f ca="1">IF(RAP[[#This Row],[//PAJAK]]="","",INDEX(PAJAK[SUB T-DISC],RAP[[#This Row],[//PAJAK]]-1))</f>
        <v/>
      </c>
      <c r="J17" s="1" t="str">
        <f ca="1">IF(RAP[[#This Row],[//PAJAK]]="","",INDEX(PAJAK[DISC DLL],RAP[[#This Row],[//PAJAK]]-1))</f>
        <v/>
      </c>
      <c r="K17" s="1" t="e">
        <f ca="1">(RAP[[#This Row],[SUB TOTAL]]-RAP[[#This Row],[DISKON]])/1.11</f>
        <v>#VALUE!</v>
      </c>
      <c r="L17" s="1" t="e">
        <f ca="1">RAP[[#This Row],[DPP]]*11%</f>
        <v>#VALUE!</v>
      </c>
      <c r="M17" s="1" t="e">
        <f ca="1">RAP[[#This Row],[DPP]]+RAP[[#This Row],[PPN (11%)]]</f>
        <v>#VALUE!</v>
      </c>
    </row>
    <row r="18" spans="1:13">
      <c r="A18" s="10" t="str">
        <f ca="1">HYPERLINK("[NOTA_.xlsx]NOTA!A"&amp;MATCH(RAP[[#This Row],[ID]],NOTA[ID],0)+2,IF(RAP[[#This Row],[//PAJAK]]="","",MATCH(RAP[[#This Row],[ID]],NOTA[ID],0)+2))</f>
        <v/>
      </c>
      <c r="B18" s="4" t="str">
        <f ca="1">IF(ROW()-3&lt;E$1,IF(INDIRECT(ADDRESS(ROW()-1,COLUMN(RAP[[#Headers],[//PAJAK]])))="//PAJAK",MATCH(D$1,PAJAK[SUPPLIER],0)+1,MATCH(D$1,INDIRECT("PAJAK!"&amp;ADDRESS(B17+1,COLUMN(PAJAK[SUPPLIER]))&amp;":"&amp;ADDRESS(MAX_ROW,COLUMN(PAJAK[SUPPLIER]))),0)+B17),"")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HYPERLINK("[NOTA_.xlsx]PAJAK!b"&amp;RAP[[#This Row],[//PAJAK]],IF(RAP[[#This Row],[//PAJAK]]="","",INDEX(INDIRECT("PAJAK["&amp;RAP[#Headers]&amp;"]"),RAP[[#This Row],[//PAJAK]]-1)))</f>
        <v/>
      </c>
      <c r="D18" t="str">
        <f ca="1">IF(RAP[[#This Row],[//PAJAK]]="","",INDEX(INDIRECT("PAJAK["&amp;RAP[#Headers]&amp;"]"),RAP[[#This Row],[//PAJAK]]-1))</f>
        <v/>
      </c>
      <c r="E18" s="2" t="str">
        <f ca="1">IF(RAP[[#This Row],[//PAJAK]]="","",INDEX(INDIRECT("PAJAK["&amp;RAP[#Headers]&amp;"]"),RAP[[#This Row],[//PAJAK]]-1))</f>
        <v/>
      </c>
      <c r="F18" s="2" t="str">
        <f ca="1">IF(RAP[[#This Row],[//PAJAK]]="","",INDEX(INDIRECT("PAJAK["&amp;RAP[#Headers]&amp;"]"),RAP[[#This Row],[//PAJAK]]-1))</f>
        <v/>
      </c>
      <c r="G18" t="str">
        <f ca="1">IF(RAP[[#This Row],[//PAJAK]]="","",INDEX(INDIRECT("PAJAK["&amp;RAP[#Headers]&amp;"]"),RAP[[#This Row],[//PAJAK]]-1))</f>
        <v/>
      </c>
      <c r="H18" t="str">
        <f ca="1">IF(RAP[[#This Row],[//PAJAK]]="","",INDEX(INDIRECT("PAJAK["&amp;RAP[#Headers]&amp;"]"),RAP[[#This Row],[//PAJAK]]-1))</f>
        <v/>
      </c>
      <c r="I18" s="1" t="str">
        <f ca="1">IF(RAP[[#This Row],[//PAJAK]]="","",INDEX(PAJAK[SUB T-DISC],RAP[[#This Row],[//PAJAK]]-1))</f>
        <v/>
      </c>
      <c r="J18" s="1" t="str">
        <f ca="1">IF(RAP[[#This Row],[//PAJAK]]="","",INDEX(PAJAK[DISC DLL],RAP[[#This Row],[//PAJAK]]-1))</f>
        <v/>
      </c>
      <c r="K18" s="1" t="e">
        <f ca="1">(RAP[[#This Row],[SUB TOTAL]]-RAP[[#This Row],[DISKON]])/1.11</f>
        <v>#VALUE!</v>
      </c>
      <c r="L18" s="1" t="e">
        <f ca="1">RAP[[#This Row],[DPP]]*11%</f>
        <v>#VALUE!</v>
      </c>
      <c r="M18" s="1" t="e">
        <f ca="1">RAP[[#This Row],[DPP]]+RAP[[#This Row],[PPN (11%)]]</f>
        <v>#VALUE!</v>
      </c>
    </row>
    <row r="19" spans="1:13">
      <c r="A19" s="10" t="str">
        <f ca="1">HYPERLINK("[NOTA_.xlsx]NOTA!A"&amp;MATCH(RAP[[#This Row],[ID]],NOTA[ID],0)+2,IF(RAP[[#This Row],[//PAJAK]]="","",MATCH(RAP[[#This Row],[ID]],NOTA[ID],0)+2))</f>
        <v/>
      </c>
      <c r="B19" s="4" t="str">
        <f ca="1">IF(ROW()-3&lt;E$1,IF(INDIRECT(ADDRESS(ROW()-1,COLUMN(RAP[[#Headers],[//PAJAK]])))="//PAJAK",MATCH(D$1,PAJAK[SUPPLIER],0)+1,MATCH(D$1,INDIRECT("PAJAK!"&amp;ADDRESS(B18+1,COLUMN(PAJAK[SUPPLIER]))&amp;":"&amp;ADDRESS(MAX_ROW,COLUMN(PAJAK[SUPPLIER]))),0)+B18),"")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HYPERLINK("[NOTA_.xlsx]PAJAK!b"&amp;RAP[[#This Row],[//PAJAK]],IF(RAP[[#This Row],[//PAJAK]]="","",INDEX(INDIRECT("PAJAK["&amp;RAP[#Headers]&amp;"]"),RAP[[#This Row],[//PAJAK]]-1)))</f>
        <v/>
      </c>
      <c r="D19" t="str">
        <f ca="1">IF(RAP[[#This Row],[//PAJAK]]="","",INDEX(INDIRECT("PAJAK["&amp;RAP[#Headers]&amp;"]"),RAP[[#This Row],[//PAJAK]]-1))</f>
        <v/>
      </c>
      <c r="E19" s="2" t="str">
        <f ca="1">IF(RAP[[#This Row],[//PAJAK]]="","",INDEX(INDIRECT("PAJAK["&amp;RAP[#Headers]&amp;"]"),RAP[[#This Row],[//PAJAK]]-1))</f>
        <v/>
      </c>
      <c r="F19" s="2" t="str">
        <f ca="1">IF(RAP[[#This Row],[//PAJAK]]="","",INDEX(INDIRECT("PAJAK["&amp;RAP[#Headers]&amp;"]"),RAP[[#This Row],[//PAJAK]]-1))</f>
        <v/>
      </c>
      <c r="G19" t="str">
        <f ca="1">IF(RAP[[#This Row],[//PAJAK]]="","",INDEX(INDIRECT("PAJAK["&amp;RAP[#Headers]&amp;"]"),RAP[[#This Row],[//PAJAK]]-1))</f>
        <v/>
      </c>
      <c r="H19" t="str">
        <f ca="1">IF(RAP[[#This Row],[//PAJAK]]="","",INDEX(INDIRECT("PAJAK["&amp;RAP[#Headers]&amp;"]"),RAP[[#This Row],[//PAJAK]]-1))</f>
        <v/>
      </c>
      <c r="I19" s="1" t="str">
        <f ca="1">IF(RAP[[#This Row],[//PAJAK]]="","",INDEX(PAJAK[SUB T-DISC],RAP[[#This Row],[//PAJAK]]-1))</f>
        <v/>
      </c>
      <c r="J19" s="1" t="str">
        <f ca="1">IF(RAP[[#This Row],[//PAJAK]]="","",INDEX(PAJAK[DISC DLL],RAP[[#This Row],[//PAJAK]]-1))</f>
        <v/>
      </c>
      <c r="K19" s="1" t="e">
        <f ca="1">(RAP[[#This Row],[SUB TOTAL]]-RAP[[#This Row],[DISKON]])/1.11</f>
        <v>#VALUE!</v>
      </c>
      <c r="L19" s="1" t="e">
        <f ca="1">RAP[[#This Row],[DPP]]*11%</f>
        <v>#VALUE!</v>
      </c>
      <c r="M19" s="1" t="e">
        <f ca="1">RAP[[#This Row],[DPP]]+RAP[[#This Row],[PPN (11%)]]</f>
        <v>#VALUE!</v>
      </c>
    </row>
    <row r="20" spans="1:13">
      <c r="A20" s="10" t="str">
        <f ca="1">HYPERLINK("[NOTA_.xlsx]NOTA!A"&amp;MATCH(RAP[[#This Row],[ID]],NOTA[ID],0)+2,IF(RAP[[#This Row],[//PAJAK]]="","",MATCH(RAP[[#This Row],[ID]],NOTA[ID],0)+2))</f>
        <v/>
      </c>
      <c r="B20" s="4" t="str">
        <f ca="1">IF(ROW()-3&lt;E$1,IF(INDIRECT(ADDRESS(ROW()-1,COLUMN(RAP[[#Headers],[//PAJAK]])))="//PAJAK",MATCH(D$1,PAJAK[SUPPLIER],0)+1,MATCH(D$1,INDIRECT("PAJAK!"&amp;ADDRESS(B19+1,COLUMN(PAJAK[SUPPLIER]))&amp;":"&amp;ADDRESS(MAX_ROW,COLUMN(PAJAK[SUPPLIER]))),0)+B19),"")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HYPERLINK("[NOTA_.xlsx]PAJAK!b"&amp;RAP[[#This Row],[//PAJAK]],IF(RAP[[#This Row],[//PAJAK]]="","",INDEX(INDIRECT("PAJAK["&amp;RAP[#Headers]&amp;"]"),RAP[[#This Row],[//PAJAK]]-1)))</f>
        <v/>
      </c>
      <c r="D20" t="str">
        <f ca="1">IF(RAP[[#This Row],[//PAJAK]]="","",INDEX(INDIRECT("PAJAK["&amp;RAP[#Headers]&amp;"]"),RAP[[#This Row],[//PAJAK]]-1))</f>
        <v/>
      </c>
      <c r="E20" s="2" t="str">
        <f ca="1">IF(RAP[[#This Row],[//PAJAK]]="","",INDEX(INDIRECT("PAJAK["&amp;RAP[#Headers]&amp;"]"),RAP[[#This Row],[//PAJAK]]-1))</f>
        <v/>
      </c>
      <c r="F20" s="2" t="str">
        <f ca="1">IF(RAP[[#This Row],[//PAJAK]]="","",INDEX(INDIRECT("PAJAK["&amp;RAP[#Headers]&amp;"]"),RAP[[#This Row],[//PAJAK]]-1))</f>
        <v/>
      </c>
      <c r="G20" t="str">
        <f ca="1">IF(RAP[[#This Row],[//PAJAK]]="","",INDEX(INDIRECT("PAJAK["&amp;RAP[#Headers]&amp;"]"),RAP[[#This Row],[//PAJAK]]-1))</f>
        <v/>
      </c>
      <c r="H20" t="str">
        <f ca="1">IF(RAP[[#This Row],[//PAJAK]]="","",INDEX(INDIRECT("PAJAK["&amp;RAP[#Headers]&amp;"]"),RAP[[#This Row],[//PAJAK]]-1))</f>
        <v/>
      </c>
      <c r="I20" s="1" t="str">
        <f ca="1">IF(RAP[[#This Row],[//PAJAK]]="","",INDEX(PAJAK[SUB T-DISC],RAP[[#This Row],[//PAJAK]]-1))</f>
        <v/>
      </c>
      <c r="J20" s="1" t="str">
        <f ca="1">IF(RAP[[#This Row],[//PAJAK]]="","",INDEX(PAJAK[DISC DLL],RAP[[#This Row],[//PAJAK]]-1))</f>
        <v/>
      </c>
      <c r="K20" s="1" t="e">
        <f ca="1">(RAP[[#This Row],[SUB TOTAL]]-RAP[[#This Row],[DISKON]])/1.11</f>
        <v>#VALUE!</v>
      </c>
      <c r="L20" s="1" t="e">
        <f ca="1">RAP[[#This Row],[DPP]]*11%</f>
        <v>#VALUE!</v>
      </c>
      <c r="M20" s="1" t="e">
        <f ca="1">RAP[[#This Row],[DPP]]+RAP[[#This Row],[PPN (11%)]]</f>
        <v>#VALUE!</v>
      </c>
    </row>
    <row r="21" spans="1:13">
      <c r="A21" s="10" t="str">
        <f ca="1">HYPERLINK("[NOTA_.xlsx]NOTA!A"&amp;MATCH(RAP[[#This Row],[ID]],NOTA[ID],0)+2,IF(RAP[[#This Row],[//PAJAK]]="","",MATCH(RAP[[#This Row],[ID]],NOTA[ID],0)+2))</f>
        <v/>
      </c>
      <c r="B21" s="4" t="str">
        <f ca="1">IF(ROW()-3&lt;E$1,IF(INDIRECT(ADDRESS(ROW()-1,COLUMN(RAP[[#Headers],[//PAJAK]])))="//PAJAK",MATCH(D$1,PAJAK[SUPPLIER],0)+1,MATCH(D$1,INDIRECT("PAJAK!"&amp;ADDRESS(B20+1,COLUMN(PAJAK[SUPPLIER]))&amp;":"&amp;ADDRESS(MAX_ROW,COLUMN(PAJAK[SUPPLIER]))),0)+B20),"")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HYPERLINK("[NOTA_.xlsx]PAJAK!b"&amp;RAP[[#This Row],[//PAJAK]],IF(RAP[[#This Row],[//PAJAK]]="","",INDEX(INDIRECT("PAJAK["&amp;RAP[#Headers]&amp;"]"),RAP[[#This Row],[//PAJAK]]-1)))</f>
        <v/>
      </c>
      <c r="D21" t="str">
        <f ca="1">IF(RAP[[#This Row],[//PAJAK]]="","",INDEX(INDIRECT("PAJAK["&amp;RAP[#Headers]&amp;"]"),RAP[[#This Row],[//PAJAK]]-1))</f>
        <v/>
      </c>
      <c r="E21" s="2" t="str">
        <f ca="1">IF(RAP[[#This Row],[//PAJAK]]="","",INDEX(INDIRECT("PAJAK["&amp;RAP[#Headers]&amp;"]"),RAP[[#This Row],[//PAJAK]]-1))</f>
        <v/>
      </c>
      <c r="F21" s="2" t="str">
        <f ca="1">IF(RAP[[#This Row],[//PAJAK]]="","",INDEX(INDIRECT("PAJAK["&amp;RAP[#Headers]&amp;"]"),RAP[[#This Row],[//PAJAK]]-1))</f>
        <v/>
      </c>
      <c r="G21" t="str">
        <f ca="1">IF(RAP[[#This Row],[//PAJAK]]="","",INDEX(INDIRECT("PAJAK["&amp;RAP[#Headers]&amp;"]"),RAP[[#This Row],[//PAJAK]]-1))</f>
        <v/>
      </c>
      <c r="H21" t="str">
        <f ca="1">IF(RAP[[#This Row],[//PAJAK]]="","",INDEX(INDIRECT("PAJAK["&amp;RAP[#Headers]&amp;"]"),RAP[[#This Row],[//PAJAK]]-1))</f>
        <v/>
      </c>
      <c r="I21" s="1" t="str">
        <f ca="1">IF(RAP[[#This Row],[//PAJAK]]="","",INDEX(PAJAK[SUB T-DISC],RAP[[#This Row],[//PAJAK]]-1))</f>
        <v/>
      </c>
      <c r="J21" s="1" t="str">
        <f ca="1">IF(RAP[[#This Row],[//PAJAK]]="","",INDEX(PAJAK[DISC DLL],RAP[[#This Row],[//PAJAK]]-1))</f>
        <v/>
      </c>
      <c r="K21" s="1" t="e">
        <f ca="1">(RAP[[#This Row],[SUB TOTAL]]-RAP[[#This Row],[DISKON]])/1.11</f>
        <v>#VALUE!</v>
      </c>
      <c r="L21" s="1" t="e">
        <f ca="1">RAP[[#This Row],[DPP]]*11%</f>
        <v>#VALUE!</v>
      </c>
      <c r="M21" s="1" t="e">
        <f ca="1">RAP[[#This Row],[DPP]]+RAP[[#This Row],[PPN (11%)]]</f>
        <v>#VALUE!</v>
      </c>
    </row>
    <row r="22" spans="1:13">
      <c r="A22" s="10" t="str">
        <f ca="1">HYPERLINK("[NOTA_.xlsx]NOTA!A"&amp;MATCH(RAP[[#This Row],[ID]],NOTA[ID],0)+2,IF(RAP[[#This Row],[//PAJAK]]="","",MATCH(RAP[[#This Row],[ID]],NOTA[ID],0)+2))</f>
        <v/>
      </c>
      <c r="B22" s="4" t="str">
        <f ca="1">IF(ROW()-3&lt;E$1,IF(INDIRECT(ADDRESS(ROW()-1,COLUMN(RAP[[#Headers],[//PAJAK]])))="//PAJAK",MATCH(D$1,PAJAK[SUPPLIER],0)+1,MATCH(D$1,INDIRECT("PAJAK!"&amp;ADDRESS(B21+1,COLUMN(PAJAK[SUPPLIER]))&amp;":"&amp;ADDRESS(MAX_ROW,COLUMN(PAJAK[SUPPLIER]))),0)+B21),"")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HYPERLINK("[NOTA_.xlsx]PAJAK!b"&amp;RAP[[#This Row],[//PAJAK]],IF(RAP[[#This Row],[//PAJAK]]="","",INDEX(INDIRECT("PAJAK["&amp;RAP[#Headers]&amp;"]"),RAP[[#This Row],[//PAJAK]]-1)))</f>
        <v/>
      </c>
      <c r="D22" t="str">
        <f ca="1">IF(RAP[[#This Row],[//PAJAK]]="","",INDEX(INDIRECT("PAJAK["&amp;RAP[#Headers]&amp;"]"),RAP[[#This Row],[//PAJAK]]-1))</f>
        <v/>
      </c>
      <c r="E22" s="2" t="str">
        <f ca="1">IF(RAP[[#This Row],[//PAJAK]]="","",INDEX(INDIRECT("PAJAK["&amp;RAP[#Headers]&amp;"]"),RAP[[#This Row],[//PAJAK]]-1))</f>
        <v/>
      </c>
      <c r="F22" s="2" t="str">
        <f ca="1">IF(RAP[[#This Row],[//PAJAK]]="","",INDEX(INDIRECT("PAJAK["&amp;RAP[#Headers]&amp;"]"),RAP[[#This Row],[//PAJAK]]-1))</f>
        <v/>
      </c>
      <c r="G22" t="str">
        <f ca="1">IF(RAP[[#This Row],[//PAJAK]]="","",INDEX(INDIRECT("PAJAK["&amp;RAP[#Headers]&amp;"]"),RAP[[#This Row],[//PAJAK]]-1))</f>
        <v/>
      </c>
      <c r="H22" t="str">
        <f ca="1">IF(RAP[[#This Row],[//PAJAK]]="","",INDEX(INDIRECT("PAJAK["&amp;RAP[#Headers]&amp;"]"),RAP[[#This Row],[//PAJAK]]-1))</f>
        <v/>
      </c>
      <c r="I22" s="1" t="str">
        <f ca="1">IF(RAP[[#This Row],[//PAJAK]]="","",INDEX(PAJAK[SUB T-DISC],RAP[[#This Row],[//PAJAK]]-1))</f>
        <v/>
      </c>
      <c r="J22" s="1" t="str">
        <f ca="1">IF(RAP[[#This Row],[//PAJAK]]="","",INDEX(PAJAK[DISC DLL],RAP[[#This Row],[//PAJAK]]-1))</f>
        <v/>
      </c>
      <c r="K22" s="1" t="e">
        <f ca="1">(RAP[[#This Row],[SUB TOTAL]]-RAP[[#This Row],[DISKON]])/1.11</f>
        <v>#VALUE!</v>
      </c>
      <c r="L22" s="1" t="e">
        <f ca="1">RAP[[#This Row],[DPP]]*11%</f>
        <v>#VALUE!</v>
      </c>
      <c r="M22" s="1" t="e">
        <f ca="1">RAP[[#This Row],[DPP]]+RAP[[#This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M22"/>
  <sheetViews>
    <sheetView topLeftCell="E1" workbookViewId="0">
      <selection activeCell="I7" sqref="I7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NATURAL CAHAYA LESTARI</v>
      </c>
      <c r="E1">
        <f ca="1">INDEX(CONV[JML],MATCH(D1,CONV[2],0))</f>
        <v>0</v>
      </c>
      <c r="G1" s="3" t="str">
        <f ca="1">CELL("filename",G1)</f>
        <v>D:\kerja\BANK EXP\BARU\2024\06 JUNI\[NOTA 06 JUNI 2024.xlsx]NCL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HYPERLINK("[NOTA_.xlsx]NOTA!A"&amp;MATCH(NCL[[#This Row],[ID]],NOTA[ID],0)+2,IF(NCL[[#This Row],[//PAJAK]]="","",MATCH(NCL[[#This Row],[ID]],NOTA[ID],0)+2))</f>
        <v/>
      </c>
      <c r="B3" s="4" t="str">
        <f ca="1">IF(ROW()-3&lt;E$1,IF(INDIRECT(ADDRESS(ROW()-1,COLUMN(NCL[[#Headers],[//PAJAK]])))="//PAJAK",MATCH(D$1,PAJAK[SUPPLIER],0)+1,MATCH(D$1,INDIRECT("PAJAK!"&amp;ADDRESS(B2+1,COLUMN(PAJAK[SUPPLIER]))&amp;":"&amp;ADDRESS(MAX_ROW,COLUMN(PAJAK[SUPPLIER]))),0)+B2),"")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HYPERLINK("[NOTA_.xlsx]PAJAK!b"&amp;NCL[[#This Row],[//PAJAK]],IF(NCL[[#This Row],[//PAJAK]]="","",INDEX(INDIRECT("PAJAK["&amp;NCL[#Headers]&amp;"]"),NCL[[#This Row],[//PAJAK]]-1)))</f>
        <v/>
      </c>
      <c r="D3" t="str">
        <f ca="1">IF(NCL[[#This Row],[//PAJAK]]="","",INDEX(INDIRECT("PAJAK["&amp;NCL[#Headers]&amp;"]"),NCL[[#This Row],[//PAJAK]]-1))</f>
        <v/>
      </c>
      <c r="E3" s="2" t="str">
        <f ca="1">IF(NCL[[#This Row],[//PAJAK]]="","",INDEX(INDIRECT("PAJAK["&amp;NCL[#Headers]&amp;"]"),NCL[[#This Row],[//PAJAK]]-1))</f>
        <v/>
      </c>
      <c r="F3" s="2" t="str">
        <f ca="1">IF(NCL[[#This Row],[//PAJAK]]="","",INDEX(INDIRECT("PAJAK["&amp;NCL[#Headers]&amp;"]"),NCL[[#This Row],[//PAJAK]]-1))</f>
        <v/>
      </c>
      <c r="G3" s="3" t="str">
        <f ca="1">IF(NCL[[#This Row],[//PAJAK]]="","",INDEX(INDIRECT("PAJAK["&amp;NCL[#Headers]&amp;"]"),NCL[[#This Row],[//PAJAK]]-1))</f>
        <v/>
      </c>
      <c r="H3" t="str">
        <f ca="1">IF(NCL[[#This Row],[//PAJAK]]="","",INDEX(INDIRECT("PAJAK["&amp;NCL[#Headers]&amp;"]"),NCL[[#This Row],[//PAJAK]]-1))</f>
        <v/>
      </c>
      <c r="I3" s="1" t="str">
        <f ca="1">IF(NCL[[#This Row],[//PAJAK]]="","",INDEX(PAJAK[SUB T-DISC],NCL[[#This Row],[//PAJAK]]-1)*1.11)</f>
        <v/>
      </c>
      <c r="J3" s="1" t="str">
        <f ca="1">IF(NCL[[#This Row],[//PAJAK]]="","",INDEX(PAJAK[DISC DLL],NCL[[#This Row],[//PAJAK]]-1))</f>
        <v/>
      </c>
      <c r="K3" s="1" t="e">
        <f ca="1">(NCL[[#This Row],[SUB TOTAL]]-NCL[[#This Row],[DISKON]])/1.11</f>
        <v>#VALUE!</v>
      </c>
      <c r="L3" s="1" t="e">
        <f ca="1">NCL[[#This Row],[DPP]]*11%</f>
        <v>#VALUE!</v>
      </c>
      <c r="M3" s="1" t="e">
        <f ca="1">NCL[[#This Row],[DPP]]+NCL[[#This Row],[PPN (11%)]]</f>
        <v>#VALUE!</v>
      </c>
    </row>
    <row r="4" spans="1:13">
      <c r="A4" s="10" t="str">
        <f ca="1">HYPERLINK("[NOTA_.xlsx]NOTA!A"&amp;MATCH(NCL[[#This Row],[ID]],NOTA[ID],0)+2,IF(NCL[[#This Row],[//PAJAK]]="","",MATCH(NCL[[#This Row],[ID]],NOTA[ID],0)+2))</f>
        <v/>
      </c>
      <c r="B4" s="4" t="str">
        <f ca="1">IF(ROW()-3&lt;E$1,IF(INDIRECT(ADDRESS(ROW()-1,COLUMN(NCL[[#Headers],[//PAJAK]])))="//PAJAK",MATCH(D$1,PAJAK[SUPPLIER],0)+1,MATCH(D$1,INDIRECT("PAJAK!"&amp;ADDRESS(B3+1,COLUMN(PAJAK[SUPPLIER]))&amp;":"&amp;ADDRESS(MAX_ROW,COLUMN(PAJAK[SUPPLIER]))),0)+B3),"")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HYPERLINK("[NOTA_.xlsx]PAJAK!b"&amp;NCL[[#This Row],[//PAJAK]],IF(NCL[[#This Row],[//PAJAK]]="","",INDEX(INDIRECT("PAJAK["&amp;NCL[#Headers]&amp;"]"),NCL[[#This Row],[//PAJAK]]-1)))</f>
        <v/>
      </c>
      <c r="D4" t="str">
        <f ca="1">IF(NCL[[#This Row],[//PAJAK]]="","",INDEX(INDIRECT("PAJAK["&amp;NCL[#Headers]&amp;"]"),NCL[[#This Row],[//PAJAK]]-1))</f>
        <v/>
      </c>
      <c r="E4" s="2" t="str">
        <f ca="1">IF(NCL[[#This Row],[//PAJAK]]="","",INDEX(INDIRECT("PAJAK["&amp;NCL[#Headers]&amp;"]"),NCL[[#This Row],[//PAJAK]]-1))</f>
        <v/>
      </c>
      <c r="F4" s="2" t="str">
        <f ca="1">IF(NCL[[#This Row],[//PAJAK]]="","",INDEX(INDIRECT("PAJAK["&amp;NCL[#Headers]&amp;"]"),NCL[[#This Row],[//PAJAK]]-1))</f>
        <v/>
      </c>
      <c r="G4" t="str">
        <f ca="1">IF(NCL[[#This Row],[//PAJAK]]="","",INDEX(INDIRECT("PAJAK["&amp;NCL[#Headers]&amp;"]"),NCL[[#This Row],[//PAJAK]]-1))</f>
        <v/>
      </c>
      <c r="H4" t="str">
        <f ca="1">IF(NCL[[#This Row],[//PAJAK]]="","",INDEX(INDIRECT("PAJAK["&amp;NCL[#Headers]&amp;"]"),NCL[[#This Row],[//PAJAK]]-1))</f>
        <v/>
      </c>
      <c r="I4" s="1" t="str">
        <f ca="1">IF(NCL[[#This Row],[//PAJAK]]="","",INDEX(PAJAK[SUB T-DISC],NCL[[#This Row],[//PAJAK]]-1)*1.11)</f>
        <v/>
      </c>
      <c r="J4" s="1" t="str">
        <f ca="1">IF(NCL[[#This Row],[//PAJAK]]="","",INDEX(PAJAK[DISC DLL],NCL[[#This Row],[//PAJAK]]-1))</f>
        <v/>
      </c>
      <c r="K4" s="1" t="e">
        <f ca="1">(NCL[[#This Row],[SUB TOTAL]]-NCL[[#This Row],[DISKON]])/1.11</f>
        <v>#VALUE!</v>
      </c>
      <c r="L4" s="1" t="e">
        <f ca="1">NCL[[#This Row],[DPP]]*11%</f>
        <v>#VALUE!</v>
      </c>
      <c r="M4" s="1" t="e">
        <f ca="1">NCL[[#This Row],[DPP]]+NCL[[#This Row],[PPN (11%)]]</f>
        <v>#VALUE!</v>
      </c>
    </row>
    <row r="5" spans="1:13">
      <c r="A5" s="10" t="str">
        <f ca="1">HYPERLINK("[NOTA_.xlsx]NOTA!A"&amp;MATCH(NCL[[#This Row],[ID]],NOTA[ID],0)+2,IF(NCL[[#This Row],[//PAJAK]]="","",MATCH(NCL[[#This Row],[ID]],NOTA[ID],0)+2))</f>
        <v/>
      </c>
      <c r="B5" s="4" t="str">
        <f ca="1">IF(ROW()-3&lt;E$1,IF(INDIRECT(ADDRESS(ROW()-1,COLUMN(NCL[[#Headers],[//PAJAK]])))="//PAJAK",MATCH(D$1,PAJAK[SUPPLIER],0)+1,MATCH(D$1,INDIRECT("PAJAK!"&amp;ADDRESS(B4+1,COLUMN(PAJAK[SUPPLIER]))&amp;":"&amp;ADDRESS(MAX_ROW,COLUMN(PAJAK[SUPPLIER]))),0)+B4),"")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HYPERLINK("[NOTA_.xlsx]PAJAK!b"&amp;NCL[[#This Row],[//PAJAK]],IF(NCL[[#This Row],[//PAJAK]]="","",INDEX(INDIRECT("PAJAK["&amp;NCL[#Headers]&amp;"]"),NCL[[#This Row],[//PAJAK]]-1)))</f>
        <v/>
      </c>
      <c r="D5" t="str">
        <f ca="1">IF(NCL[[#This Row],[//PAJAK]]="","",INDEX(INDIRECT("PAJAK["&amp;NCL[#Headers]&amp;"]"),NCL[[#This Row],[//PAJAK]]-1))</f>
        <v/>
      </c>
      <c r="E5" s="2" t="str">
        <f ca="1">IF(NCL[[#This Row],[//PAJAK]]="","",INDEX(INDIRECT("PAJAK["&amp;NCL[#Headers]&amp;"]"),NCL[[#This Row],[//PAJAK]]-1))</f>
        <v/>
      </c>
      <c r="F5" s="2" t="str">
        <f ca="1">IF(NCL[[#This Row],[//PAJAK]]="","",INDEX(INDIRECT("PAJAK["&amp;NCL[#Headers]&amp;"]"),NCL[[#This Row],[//PAJAK]]-1))</f>
        <v/>
      </c>
      <c r="G5" t="str">
        <f ca="1">IF(NCL[[#This Row],[//PAJAK]]="","",INDEX(INDIRECT("PAJAK["&amp;NCL[#Headers]&amp;"]"),NCL[[#This Row],[//PAJAK]]-1))</f>
        <v/>
      </c>
      <c r="H5" t="str">
        <f ca="1">IF(NCL[[#This Row],[//PAJAK]]="","",INDEX(INDIRECT("PAJAK["&amp;NCL[#Headers]&amp;"]"),NCL[[#This Row],[//PAJAK]]-1))</f>
        <v/>
      </c>
      <c r="I5" s="1" t="str">
        <f ca="1">IF(NCL[[#This Row],[//PAJAK]]="","",INDEX(PAJAK[SUB T-DISC],NCL[[#This Row],[//PAJAK]]-1)*1.11)</f>
        <v/>
      </c>
      <c r="J5" s="1" t="str">
        <f ca="1">IF(NCL[[#This Row],[//PAJAK]]="","",INDEX(PAJAK[DISC DLL],NCL[[#This Row],[//PAJAK]]-1))</f>
        <v/>
      </c>
      <c r="K5" s="1" t="e">
        <f ca="1">(NCL[[#This Row],[SUB TOTAL]]-NCL[[#This Row],[DISKON]])/1.11</f>
        <v>#VALUE!</v>
      </c>
      <c r="L5" s="1" t="e">
        <f ca="1">NCL[[#This Row],[DPP]]*11%</f>
        <v>#VALUE!</v>
      </c>
      <c r="M5" s="1" t="e">
        <f ca="1">NCL[[#This Row],[DPP]]+NCL[[#This Row],[PPN (11%)]]</f>
        <v>#VALUE!</v>
      </c>
    </row>
    <row r="6" spans="1:13">
      <c r="A6" s="10" t="str">
        <f ca="1">HYPERLINK("[NOTA_.xlsx]NOTA!A"&amp;MATCH(NCL[[#This Row],[ID]],NOTA[ID],0)+2,IF(NCL[[#This Row],[//PAJAK]]="","",MATCH(NCL[[#This Row],[ID]],NOTA[ID],0)+2))</f>
        <v/>
      </c>
      <c r="B6" s="4" t="str">
        <f ca="1">IF(ROW()-3&lt;E$1,IF(INDIRECT(ADDRESS(ROW()-1,COLUMN(NCL[[#Headers],[//PAJAK]])))="//PAJAK",MATCH(D$1,PAJAK[SUPPLIER],0)+1,MATCH(D$1,INDIRECT("PAJAK!"&amp;ADDRESS(B5+1,COLUMN(PAJAK[SUPPLIER]))&amp;":"&amp;ADDRESS(MAX_ROW,COLUMN(PAJAK[SUPPLIER]))),0)+B5),"")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HYPERLINK("[NOTA_.xlsx]PAJAK!b"&amp;NCL[[#This Row],[//PAJAK]],IF(NCL[[#This Row],[//PAJAK]]="","",INDEX(INDIRECT("PAJAK["&amp;NCL[#Headers]&amp;"]"),NCL[[#This Row],[//PAJAK]]-1)))</f>
        <v/>
      </c>
      <c r="D6" t="str">
        <f ca="1">IF(NCL[[#This Row],[//PAJAK]]="","",INDEX(INDIRECT("PAJAK["&amp;NCL[#Headers]&amp;"]"),NCL[[#This Row],[//PAJAK]]-1))</f>
        <v/>
      </c>
      <c r="E6" s="2" t="str">
        <f ca="1">IF(NCL[[#This Row],[//PAJAK]]="","",INDEX(INDIRECT("PAJAK["&amp;NCL[#Headers]&amp;"]"),NCL[[#This Row],[//PAJAK]]-1))</f>
        <v/>
      </c>
      <c r="F6" s="2" t="str">
        <f ca="1">IF(NCL[[#This Row],[//PAJAK]]="","",INDEX(INDIRECT("PAJAK["&amp;NCL[#Headers]&amp;"]"),NCL[[#This Row],[//PAJAK]]-1))</f>
        <v/>
      </c>
      <c r="G6" t="str">
        <f ca="1">IF(NCL[[#This Row],[//PAJAK]]="","",INDEX(INDIRECT("PAJAK["&amp;NCL[#Headers]&amp;"]"),NCL[[#This Row],[//PAJAK]]-1))</f>
        <v/>
      </c>
      <c r="H6" t="str">
        <f ca="1">IF(NCL[[#This Row],[//PAJAK]]="","",INDEX(INDIRECT("PAJAK["&amp;NCL[#Headers]&amp;"]"),NCL[[#This Row],[//PAJAK]]-1))</f>
        <v/>
      </c>
      <c r="I6" s="1" t="str">
        <f ca="1">IF(NCL[[#This Row],[//PAJAK]]="","",INDEX(PAJAK[SUB T-DISC],NCL[[#This Row],[//PAJAK]]-1)*1.11)</f>
        <v/>
      </c>
      <c r="J6" s="1" t="str">
        <f ca="1">IF(NCL[[#This Row],[//PAJAK]]="","",INDEX(PAJAK[DISC DLL],NCL[[#This Row],[//PAJAK]]-1))</f>
        <v/>
      </c>
      <c r="K6" s="1" t="e">
        <f ca="1">(NCL[[#This Row],[SUB TOTAL]]-NCL[[#This Row],[DISKON]])/1.11</f>
        <v>#VALUE!</v>
      </c>
      <c r="L6" s="1" t="e">
        <f ca="1">NCL[[#This Row],[DPP]]*11%</f>
        <v>#VALUE!</v>
      </c>
      <c r="M6" s="1" t="e">
        <f ca="1">NCL[[#This Row],[DPP]]+NCL[[#This Row],[PPN (11%)]]</f>
        <v>#VALUE!</v>
      </c>
    </row>
    <row r="7" spans="1:13">
      <c r="A7" s="10" t="str">
        <f ca="1">HYPERLINK("[NOTA_.xlsx]NOTA!A"&amp;MATCH(NCL[[#This Row],[ID]],NOTA[ID],0)+2,IF(NCL[[#This Row],[//PAJAK]]="","",MATCH(NCL[[#This Row],[ID]],NOTA[ID],0)+2))</f>
        <v/>
      </c>
      <c r="B7" s="4" t="str">
        <f ca="1">IF(ROW()-3&lt;E$1,IF(INDIRECT(ADDRESS(ROW()-1,COLUMN(NCL[[#Headers],[//PAJAK]])))="//PAJAK",MATCH(D$1,PAJAK[SUPPLIER],0)+1,MATCH(D$1,INDIRECT("PAJAK!"&amp;ADDRESS(B6+1,COLUMN(PAJAK[SUPPLIER]))&amp;":"&amp;ADDRESS(MAX_ROW,COLUMN(PAJAK[SUPPLIER]))),0)+B6),"")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HYPERLINK("[NOTA_.xlsx]PAJAK!b"&amp;NCL[[#This Row],[//PAJAK]],IF(NCL[[#This Row],[//PAJAK]]="","",INDEX(INDIRECT("PAJAK["&amp;NCL[#Headers]&amp;"]"),NCL[[#This Row],[//PAJAK]]-1)))</f>
        <v/>
      </c>
      <c r="D7" t="str">
        <f ca="1">IF(NCL[[#This Row],[//PAJAK]]="","",INDEX(INDIRECT("PAJAK["&amp;NCL[#Headers]&amp;"]"),NCL[[#This Row],[//PAJAK]]-1))</f>
        <v/>
      </c>
      <c r="E7" s="2" t="str">
        <f ca="1">IF(NCL[[#This Row],[//PAJAK]]="","",INDEX(INDIRECT("PAJAK["&amp;NCL[#Headers]&amp;"]"),NCL[[#This Row],[//PAJAK]]-1))</f>
        <v/>
      </c>
      <c r="F7" s="2" t="str">
        <f ca="1">IF(NCL[[#This Row],[//PAJAK]]="","",INDEX(INDIRECT("PAJAK["&amp;NCL[#Headers]&amp;"]"),NCL[[#This Row],[//PAJAK]]-1))</f>
        <v/>
      </c>
      <c r="G7" t="str">
        <f ca="1">IF(NCL[[#This Row],[//PAJAK]]="","",INDEX(INDIRECT("PAJAK["&amp;NCL[#Headers]&amp;"]"),NCL[[#This Row],[//PAJAK]]-1))</f>
        <v/>
      </c>
      <c r="H7" t="str">
        <f ca="1">IF(NCL[[#This Row],[//PAJAK]]="","",INDEX(INDIRECT("PAJAK["&amp;NCL[#Headers]&amp;"]"),NCL[[#This Row],[//PAJAK]]-1))</f>
        <v/>
      </c>
      <c r="I7" s="1" t="str">
        <f ca="1">IF(NCL[[#This Row],[//PAJAK]]="","",INDEX(PAJAK[SUB T-DISC],NCL[[#This Row],[//PAJAK]]-1)*1.11)</f>
        <v/>
      </c>
      <c r="J7" s="1" t="str">
        <f ca="1">IF(NCL[[#This Row],[//PAJAK]]="","",INDEX(PAJAK[DISC DLL],NCL[[#This Row],[//PAJAK]]-1))</f>
        <v/>
      </c>
      <c r="K7" s="1" t="e">
        <f ca="1">(NCL[[#This Row],[SUB TOTAL]]-NCL[[#This Row],[DISKON]])/1.11</f>
        <v>#VALUE!</v>
      </c>
      <c r="L7" s="1" t="e">
        <f ca="1">NCL[[#This Row],[DPP]]*11%</f>
        <v>#VALUE!</v>
      </c>
      <c r="M7" s="1" t="e">
        <f ca="1">NCL[[#This Row],[DPP]]+NCL[[#This Row],[PPN (11%)]]</f>
        <v>#VALUE!</v>
      </c>
    </row>
    <row r="8" spans="1:13">
      <c r="A8" s="10" t="str">
        <f ca="1">HYPERLINK("[NOTA_.xlsx]NOTA!A"&amp;MATCH(NCL[[#This Row],[ID]],NOTA[ID],0)+2,IF(NCL[[#This Row],[//PAJAK]]="","",MATCH(NCL[[#This Row],[ID]],NOTA[ID],0)+2))</f>
        <v/>
      </c>
      <c r="B8" s="4" t="str">
        <f ca="1">IF(ROW()-3&lt;E$1,IF(INDIRECT(ADDRESS(ROW()-1,COLUMN(NCL[[#Headers],[//PAJAK]])))="//PAJAK",MATCH(D$1,PAJAK[SUPPLIER],0)+1,MATCH(D$1,INDIRECT("PAJAK!"&amp;ADDRESS(B7+1,COLUMN(PAJAK[SUPPLIER]))&amp;":"&amp;ADDRESS(MAX_ROW,COLUMN(PAJAK[SUPPLIER]))),0)+B7),"")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HYPERLINK("[NOTA_.xlsx]PAJAK!b"&amp;NCL[[#This Row],[//PAJAK]],IF(NCL[[#This Row],[//PAJAK]]="","",INDEX(INDIRECT("PAJAK["&amp;NCL[#Headers]&amp;"]"),NCL[[#This Row],[//PAJAK]]-1)))</f>
        <v/>
      </c>
      <c r="D8" t="str">
        <f ca="1">IF(NCL[[#This Row],[//PAJAK]]="","",INDEX(INDIRECT("PAJAK["&amp;NCL[#Headers]&amp;"]"),NCL[[#This Row],[//PAJAK]]-1))</f>
        <v/>
      </c>
      <c r="E8" s="2" t="str">
        <f ca="1">IF(NCL[[#This Row],[//PAJAK]]="","",INDEX(INDIRECT("PAJAK["&amp;NCL[#Headers]&amp;"]"),NCL[[#This Row],[//PAJAK]]-1))</f>
        <v/>
      </c>
      <c r="F8" s="2" t="str">
        <f ca="1">IF(NCL[[#This Row],[//PAJAK]]="","",INDEX(INDIRECT("PAJAK["&amp;NCL[#Headers]&amp;"]"),NCL[[#This Row],[//PAJAK]]-1))</f>
        <v/>
      </c>
      <c r="G8" t="str">
        <f ca="1">IF(NCL[[#This Row],[//PAJAK]]="","",INDEX(INDIRECT("PAJAK["&amp;NCL[#Headers]&amp;"]"),NCL[[#This Row],[//PAJAK]]-1))</f>
        <v/>
      </c>
      <c r="H8" t="str">
        <f ca="1">IF(NCL[[#This Row],[//PAJAK]]="","",INDEX(INDIRECT("PAJAK["&amp;NCL[#Headers]&amp;"]"),NCL[[#This Row],[//PAJAK]]-1))</f>
        <v/>
      </c>
      <c r="I8" s="1" t="str">
        <f ca="1">IF(NCL[[#This Row],[//PAJAK]]="","",INDEX(PAJAK[SUB T-DISC],NCL[[#This Row],[//PAJAK]]-1)*1.11)</f>
        <v/>
      </c>
      <c r="J8" s="1" t="str">
        <f ca="1">IF(NCL[[#This Row],[//PAJAK]]="","",INDEX(PAJAK[DISC DLL],NCL[[#This Row],[//PAJAK]]-1))</f>
        <v/>
      </c>
      <c r="K8" s="1" t="e">
        <f ca="1">(NCL[[#This Row],[SUB TOTAL]]-NCL[[#This Row],[DISKON]])/1.11</f>
        <v>#VALUE!</v>
      </c>
      <c r="L8" s="1" t="e">
        <f ca="1">NCL[[#This Row],[DPP]]*11%</f>
        <v>#VALUE!</v>
      </c>
      <c r="M8" s="1" t="e">
        <f ca="1">NCL[[#This Row],[DPP]]+NCL[[#This Row],[PPN (11%)]]</f>
        <v>#VALUE!</v>
      </c>
    </row>
    <row r="9" spans="1:13">
      <c r="A9" s="10" t="str">
        <f ca="1">HYPERLINK("[NOTA_.xlsx]NOTA!A"&amp;MATCH(NCL[[#This Row],[ID]],NOTA[ID],0)+2,IF(NCL[[#This Row],[//PAJAK]]="","",MATCH(NCL[[#This Row],[ID]],NOTA[ID],0)+2))</f>
        <v/>
      </c>
      <c r="B9" s="4" t="str">
        <f ca="1">IF(ROW()-3&lt;E$1,IF(INDIRECT(ADDRESS(ROW()-1,COLUMN(NCL[[#Headers],[//PAJAK]])))="//PAJAK",MATCH(D$1,PAJAK[SUPPLIER],0)+1,MATCH(D$1,INDIRECT("PAJAK!"&amp;ADDRESS(B8+1,COLUMN(PAJAK[SUPPLIER]))&amp;":"&amp;ADDRESS(MAX_ROW,COLUMN(PAJAK[SUPPLIER]))),0)+B8),"")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HYPERLINK("[NOTA_.xlsx]PAJAK!b"&amp;NCL[[#This Row],[//PAJAK]],IF(NCL[[#This Row],[//PAJAK]]="","",INDEX(INDIRECT("PAJAK["&amp;NCL[#Headers]&amp;"]"),NCL[[#This Row],[//PAJAK]]-1)))</f>
        <v/>
      </c>
      <c r="D9" t="str">
        <f ca="1">IF(NCL[[#This Row],[//PAJAK]]="","",INDEX(INDIRECT("PAJAK["&amp;NCL[#Headers]&amp;"]"),NCL[[#This Row],[//PAJAK]]-1))</f>
        <v/>
      </c>
      <c r="E9" s="2" t="str">
        <f ca="1">IF(NCL[[#This Row],[//PAJAK]]="","",INDEX(INDIRECT("PAJAK["&amp;NCL[#Headers]&amp;"]"),NCL[[#This Row],[//PAJAK]]-1))</f>
        <v/>
      </c>
      <c r="F9" s="2" t="str">
        <f ca="1">IF(NCL[[#This Row],[//PAJAK]]="","",INDEX(INDIRECT("PAJAK["&amp;NCL[#Headers]&amp;"]"),NCL[[#This Row],[//PAJAK]]-1))</f>
        <v/>
      </c>
      <c r="G9" t="str">
        <f ca="1">IF(NCL[[#This Row],[//PAJAK]]="","",INDEX(INDIRECT("PAJAK["&amp;NCL[#Headers]&amp;"]"),NCL[[#This Row],[//PAJAK]]-1))</f>
        <v/>
      </c>
      <c r="H9" t="str">
        <f ca="1">IF(NCL[[#This Row],[//PAJAK]]="","",INDEX(INDIRECT("PAJAK["&amp;NCL[#Headers]&amp;"]"),NCL[[#This Row],[//PAJAK]]-1))</f>
        <v/>
      </c>
      <c r="I9" s="1" t="str">
        <f ca="1">IF(NCL[[#This Row],[//PAJAK]]="","",INDEX(PAJAK[SUB T-DISC],NCL[[#This Row],[//PAJAK]]-1)*1.11)</f>
        <v/>
      </c>
      <c r="J9" s="1" t="str">
        <f ca="1">IF(NCL[[#This Row],[//PAJAK]]="","",INDEX(PAJAK[DISC DLL],NCL[[#This Row],[//PAJAK]]-1))</f>
        <v/>
      </c>
      <c r="K9" s="1" t="e">
        <f ca="1">(NCL[[#This Row],[SUB TOTAL]]-NCL[[#This Row],[DISKON]])/1.11</f>
        <v>#VALUE!</v>
      </c>
      <c r="L9" s="1" t="e">
        <f ca="1">NCL[[#This Row],[DPP]]*11%</f>
        <v>#VALUE!</v>
      </c>
      <c r="M9" s="1" t="e">
        <f ca="1">NCL[[#This Row],[DPP]]+NCL[[#This Row],[PPN (11%)]]</f>
        <v>#VALUE!</v>
      </c>
    </row>
    <row r="10" spans="1:13">
      <c r="A10" s="10" t="str">
        <f ca="1">HYPERLINK("[NOTA_.xlsx]NOTA!A"&amp;MATCH(NCL[[#This Row],[ID]],NOTA[ID],0)+2,IF(NCL[[#This Row],[//PAJAK]]="","",MATCH(NCL[[#This Row],[ID]],NOTA[ID],0)+2))</f>
        <v/>
      </c>
      <c r="B10" s="4" t="str">
        <f ca="1">IF(ROW()-3&lt;E$1,IF(INDIRECT(ADDRESS(ROW()-1,COLUMN(NCL[[#Headers],[//PAJAK]])))="//PAJAK",MATCH(D$1,PAJAK[SUPPLIER],0)+1,MATCH(D$1,INDIRECT("PAJAK!"&amp;ADDRESS(B9+1,COLUMN(PAJAK[SUPPLIER]))&amp;":"&amp;ADDRESS(MAX_ROW,COLUMN(PAJAK[SUPPLIER]))),0)+B9),"")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HYPERLINK("[NOTA_.xlsx]PAJAK!b"&amp;NCL[[#This Row],[//PAJAK]],IF(NCL[[#This Row],[//PAJAK]]="","",INDEX(INDIRECT("PAJAK["&amp;NCL[#Headers]&amp;"]"),NCL[[#This Row],[//PAJAK]]-1)))</f>
        <v/>
      </c>
      <c r="D10" t="str">
        <f ca="1">IF(NCL[[#This Row],[//PAJAK]]="","",INDEX(INDIRECT("PAJAK["&amp;NCL[#Headers]&amp;"]"),NCL[[#This Row],[//PAJAK]]-1))</f>
        <v/>
      </c>
      <c r="E10" s="2" t="str">
        <f ca="1">IF(NCL[[#This Row],[//PAJAK]]="","",INDEX(INDIRECT("PAJAK["&amp;NCL[#Headers]&amp;"]"),NCL[[#This Row],[//PAJAK]]-1))</f>
        <v/>
      </c>
      <c r="F10" s="2" t="str">
        <f ca="1">IF(NCL[[#This Row],[//PAJAK]]="","",INDEX(INDIRECT("PAJAK["&amp;NCL[#Headers]&amp;"]"),NCL[[#This Row],[//PAJAK]]-1))</f>
        <v/>
      </c>
      <c r="G10" t="str">
        <f ca="1">IF(NCL[[#This Row],[//PAJAK]]="","",INDEX(INDIRECT("PAJAK["&amp;NCL[#Headers]&amp;"]"),NCL[[#This Row],[//PAJAK]]-1))</f>
        <v/>
      </c>
      <c r="H10" t="str">
        <f ca="1">IF(NCL[[#This Row],[//PAJAK]]="","",INDEX(INDIRECT("PAJAK["&amp;NCL[#Headers]&amp;"]"),NCL[[#This Row],[//PAJAK]]-1))</f>
        <v/>
      </c>
      <c r="I10" s="1" t="str">
        <f ca="1">IF(NCL[[#This Row],[//PAJAK]]="","",INDEX(PAJAK[SUB T-DISC],NCL[[#This Row],[//PAJAK]]-1)*1.11)</f>
        <v/>
      </c>
      <c r="J10" s="1" t="str">
        <f ca="1">IF(NCL[[#This Row],[//PAJAK]]="","",INDEX(PAJAK[DISC DLL],NCL[[#This Row],[//PAJAK]]-1))</f>
        <v/>
      </c>
      <c r="K10" s="1" t="e">
        <f ca="1">(NCL[[#This Row],[SUB TOTAL]]-NCL[[#This Row],[DISKON]])/1.11</f>
        <v>#VALUE!</v>
      </c>
      <c r="L10" s="1" t="e">
        <f ca="1">NCL[[#This Row],[DPP]]*11%</f>
        <v>#VALUE!</v>
      </c>
      <c r="M10" s="1" t="e">
        <f ca="1">NCL[[#This Row],[DPP]]+NCL[[#This Row],[PPN (11%)]]</f>
        <v>#VALUE!</v>
      </c>
    </row>
    <row r="11" spans="1:13">
      <c r="A11" s="10" t="str">
        <f ca="1">HYPERLINK("[NOTA_.xlsx]NOTA!A"&amp;MATCH(NCL[[#This Row],[ID]],NOTA[ID],0)+2,IF(NCL[[#This Row],[//PAJAK]]="","",MATCH(NCL[[#This Row],[ID]],NOTA[ID],0)+2))</f>
        <v/>
      </c>
      <c r="B11" s="4" t="str">
        <f ca="1">IF(ROW()-3&lt;E$1,IF(INDIRECT(ADDRESS(ROW()-1,COLUMN(NCL[[#Headers],[//PAJAK]])))="//PAJAK",MATCH(D$1,PAJAK[SUPPLIER],0)+1,MATCH(D$1,INDIRECT("PAJAK!"&amp;ADDRESS(B10+1,COLUMN(PAJAK[SUPPLIER]))&amp;":"&amp;ADDRESS(MAX_ROW,COLUMN(PAJAK[SUPPLIER]))),0)+B10),"")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HYPERLINK("[NOTA_.xlsx]PAJAK!b"&amp;NCL[[#This Row],[//PAJAK]],IF(NCL[[#This Row],[//PAJAK]]="","",INDEX(INDIRECT("PAJAK["&amp;NCL[#Headers]&amp;"]"),NCL[[#This Row],[//PAJAK]]-1)))</f>
        <v/>
      </c>
      <c r="D11" t="str">
        <f ca="1">IF(NCL[[#This Row],[//PAJAK]]="","",INDEX(INDIRECT("PAJAK["&amp;NCL[#Headers]&amp;"]"),NCL[[#This Row],[//PAJAK]]-1))</f>
        <v/>
      </c>
      <c r="E11" s="2" t="str">
        <f ca="1">IF(NCL[[#This Row],[//PAJAK]]="","",INDEX(INDIRECT("PAJAK["&amp;NCL[#Headers]&amp;"]"),NCL[[#This Row],[//PAJAK]]-1))</f>
        <v/>
      </c>
      <c r="F11" s="2" t="str">
        <f ca="1">IF(NCL[[#This Row],[//PAJAK]]="","",INDEX(INDIRECT("PAJAK["&amp;NCL[#Headers]&amp;"]"),NCL[[#This Row],[//PAJAK]]-1))</f>
        <v/>
      </c>
      <c r="G11" t="str">
        <f ca="1">IF(NCL[[#This Row],[//PAJAK]]="","",INDEX(INDIRECT("PAJAK["&amp;NCL[#Headers]&amp;"]"),NCL[[#This Row],[//PAJAK]]-1))</f>
        <v/>
      </c>
      <c r="H11" t="str">
        <f ca="1">IF(NCL[[#This Row],[//PAJAK]]="","",INDEX(INDIRECT("PAJAK["&amp;NCL[#Headers]&amp;"]"),NCL[[#This Row],[//PAJAK]]-1))</f>
        <v/>
      </c>
      <c r="I11" s="1" t="str">
        <f ca="1">IF(NCL[[#This Row],[//PAJAK]]="","",INDEX(PAJAK[SUB T-DISC],NCL[[#This Row],[//PAJAK]]-1)*1.11)</f>
        <v/>
      </c>
      <c r="J11" s="1" t="str">
        <f ca="1">IF(NCL[[#This Row],[//PAJAK]]="","",INDEX(PAJAK[DISC DLL],NCL[[#This Row],[//PAJAK]]-1))</f>
        <v/>
      </c>
      <c r="K11" s="1" t="e">
        <f ca="1">(NCL[[#This Row],[SUB TOTAL]]-NCL[[#This Row],[DISKON]])/1.11</f>
        <v>#VALUE!</v>
      </c>
      <c r="L11" s="1" t="e">
        <f ca="1">NCL[[#This Row],[DPP]]*11%</f>
        <v>#VALUE!</v>
      </c>
      <c r="M11" s="1" t="e">
        <f ca="1">NCL[[#This Row],[DPP]]+NCL[[#This Row],[PPN (11%)]]</f>
        <v>#VALUE!</v>
      </c>
    </row>
    <row r="12" spans="1:13">
      <c r="A12" s="10" t="str">
        <f ca="1">HYPERLINK("[NOTA_.xlsx]NOTA!A"&amp;MATCH(NCL[[#This Row],[ID]],NOTA[ID],0)+2,IF(NCL[[#This Row],[//PAJAK]]="","",MATCH(NCL[[#This Row],[ID]],NOTA[ID],0)+2))</f>
        <v/>
      </c>
      <c r="B12" s="4" t="str">
        <f ca="1">IF(ROW()-3&lt;E$1,IF(INDIRECT(ADDRESS(ROW()-1,COLUMN(NCL[[#Headers],[//PAJAK]])))="//PAJAK",MATCH(D$1,PAJAK[SUPPLIER],0)+1,MATCH(D$1,INDIRECT("PAJAK!"&amp;ADDRESS(B11+1,COLUMN(PAJAK[SUPPLIER]))&amp;":"&amp;ADDRESS(MAX_ROW,COLUMN(PAJAK[SUPPLIER]))),0)+B11),"")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HYPERLINK("[NOTA_.xlsx]PAJAK!b"&amp;NCL[[#This Row],[//PAJAK]],IF(NCL[[#This Row],[//PAJAK]]="","",INDEX(INDIRECT("PAJAK["&amp;NCL[#Headers]&amp;"]"),NCL[[#This Row],[//PAJAK]]-1)))</f>
        <v/>
      </c>
      <c r="D12" t="str">
        <f ca="1">IF(NCL[[#This Row],[//PAJAK]]="","",INDEX(INDIRECT("PAJAK["&amp;NCL[#Headers]&amp;"]"),NCL[[#This Row],[//PAJAK]]-1))</f>
        <v/>
      </c>
      <c r="E12" s="2" t="str">
        <f ca="1">IF(NCL[[#This Row],[//PAJAK]]="","",INDEX(INDIRECT("PAJAK["&amp;NCL[#Headers]&amp;"]"),NCL[[#This Row],[//PAJAK]]-1))</f>
        <v/>
      </c>
      <c r="F12" s="2" t="str">
        <f ca="1">IF(NCL[[#This Row],[//PAJAK]]="","",INDEX(INDIRECT("PAJAK["&amp;NCL[#Headers]&amp;"]"),NCL[[#This Row],[//PAJAK]]-1))</f>
        <v/>
      </c>
      <c r="G12" t="str">
        <f ca="1">IF(NCL[[#This Row],[//PAJAK]]="","",INDEX(INDIRECT("PAJAK["&amp;NCL[#Headers]&amp;"]"),NCL[[#This Row],[//PAJAK]]-1))</f>
        <v/>
      </c>
      <c r="H12" t="str">
        <f ca="1">IF(NCL[[#This Row],[//PAJAK]]="","",INDEX(INDIRECT("PAJAK["&amp;NCL[#Headers]&amp;"]"),NCL[[#This Row],[//PAJAK]]-1))</f>
        <v/>
      </c>
      <c r="I12" s="1" t="str">
        <f ca="1">IF(NCL[[#This Row],[//PAJAK]]="","",INDEX(PAJAK[SUB T-DISC],NCL[[#This Row],[//PAJAK]]-1)*1.11)</f>
        <v/>
      </c>
      <c r="J12" s="1" t="str">
        <f ca="1">IF(NCL[[#This Row],[//PAJAK]]="","",INDEX(PAJAK[DISC DLL],NCL[[#This Row],[//PAJAK]]-1))</f>
        <v/>
      </c>
      <c r="K12" s="1" t="e">
        <f ca="1">(NCL[[#This Row],[SUB TOTAL]]-NCL[[#This Row],[DISKON]])/1.11</f>
        <v>#VALUE!</v>
      </c>
      <c r="L12" s="1" t="e">
        <f ca="1">NCL[[#This Row],[DPP]]*11%</f>
        <v>#VALUE!</v>
      </c>
      <c r="M12" s="1" t="e">
        <f ca="1">NCL[[#This Row],[DPP]]+NCL[[#This Row],[PPN (11%)]]</f>
        <v>#VALUE!</v>
      </c>
    </row>
    <row r="13" spans="1:13">
      <c r="A13" s="10" t="str">
        <f ca="1">HYPERLINK("[NOTA_.xlsx]NOTA!A"&amp;MATCH(NCL[[#This Row],[ID]],NOTA[ID],0)+2,IF(NCL[[#This Row],[//PAJAK]]="","",MATCH(NCL[[#This Row],[ID]],NOTA[ID],0)+2))</f>
        <v/>
      </c>
      <c r="B13" s="4" t="str">
        <f ca="1">IF(ROW()-3&lt;E$1,IF(INDIRECT(ADDRESS(ROW()-1,COLUMN(NCL[[#Headers],[//PAJAK]])))="//PAJAK",MATCH(D$1,PAJAK[SUPPLIER],0)+1,MATCH(D$1,INDIRECT("PAJAK!"&amp;ADDRESS(B12+1,COLUMN(PAJAK[SUPPLIER]))&amp;":"&amp;ADDRESS(MAX_ROW,COLUMN(PAJAK[SUPPLIER]))),0)+B12),"")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HYPERLINK("[NOTA_.xlsx]PAJAK!b"&amp;NCL[[#This Row],[//PAJAK]],IF(NCL[[#This Row],[//PAJAK]]="","",INDEX(INDIRECT("PAJAK["&amp;NCL[#Headers]&amp;"]"),NCL[[#This Row],[//PAJAK]]-1)))</f>
        <v/>
      </c>
      <c r="D13" t="str">
        <f ca="1">IF(NCL[[#This Row],[//PAJAK]]="","",INDEX(INDIRECT("PAJAK["&amp;NCL[#Headers]&amp;"]"),NCL[[#This Row],[//PAJAK]]-1))</f>
        <v/>
      </c>
      <c r="E13" s="2" t="str">
        <f ca="1">IF(NCL[[#This Row],[//PAJAK]]="","",INDEX(INDIRECT("PAJAK["&amp;NCL[#Headers]&amp;"]"),NCL[[#This Row],[//PAJAK]]-1))</f>
        <v/>
      </c>
      <c r="F13" s="2" t="str">
        <f ca="1">IF(NCL[[#This Row],[//PAJAK]]="","",INDEX(INDIRECT("PAJAK["&amp;NCL[#Headers]&amp;"]"),NCL[[#This Row],[//PAJAK]]-1))</f>
        <v/>
      </c>
      <c r="G13" t="str">
        <f ca="1">IF(NCL[[#This Row],[//PAJAK]]="","",INDEX(INDIRECT("PAJAK["&amp;NCL[#Headers]&amp;"]"),NCL[[#This Row],[//PAJAK]]-1))</f>
        <v/>
      </c>
      <c r="H13" t="str">
        <f ca="1">IF(NCL[[#This Row],[//PAJAK]]="","",INDEX(INDIRECT("PAJAK["&amp;NCL[#Headers]&amp;"]"),NCL[[#This Row],[//PAJAK]]-1))</f>
        <v/>
      </c>
      <c r="I13" s="1" t="str">
        <f ca="1">IF(NCL[[#This Row],[//PAJAK]]="","",INDEX(PAJAK[SUB T-DISC],NCL[[#This Row],[//PAJAK]]-1)*1.11)</f>
        <v/>
      </c>
      <c r="J13" s="1" t="str">
        <f ca="1">IF(NCL[[#This Row],[//PAJAK]]="","",INDEX(PAJAK[DISC DLL],NCL[[#This Row],[//PAJAK]]-1))</f>
        <v/>
      </c>
      <c r="K13" s="1" t="e">
        <f ca="1">(NCL[[#This Row],[SUB TOTAL]]-NCL[[#This Row],[DISKON]])/1.11</f>
        <v>#VALUE!</v>
      </c>
      <c r="L13" s="1" t="e">
        <f ca="1">NCL[[#This Row],[DPP]]*11%</f>
        <v>#VALUE!</v>
      </c>
      <c r="M13" s="1" t="e">
        <f ca="1">NCL[[#This Row],[DPP]]+NCL[[#This Row],[PPN (11%)]]</f>
        <v>#VALUE!</v>
      </c>
    </row>
    <row r="14" spans="1:13">
      <c r="A14" s="10" t="str">
        <f ca="1">HYPERLINK("[NOTA_.xlsx]NOTA!A"&amp;MATCH(NCL[[#This Row],[ID]],NOTA[ID],0)+2,IF(NCL[[#This Row],[//PAJAK]]="","",MATCH(NCL[[#This Row],[ID]],NOTA[ID],0)+2))</f>
        <v/>
      </c>
      <c r="B14" s="4" t="str">
        <f ca="1">IF(ROW()-3&lt;E$1,IF(INDIRECT(ADDRESS(ROW()-1,COLUMN(NCL[[#Headers],[//PAJAK]])))="//PAJAK",MATCH(D$1,PAJAK[SUPPLIER],0)+1,MATCH(D$1,INDIRECT("PAJAK!"&amp;ADDRESS(B13+1,COLUMN(PAJAK[SUPPLIER]))&amp;":"&amp;ADDRESS(MAX_ROW,COLUMN(PAJAK[SUPPLIER]))),0)+B13),"")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HYPERLINK("[NOTA_.xlsx]PAJAK!b"&amp;NCL[[#This Row],[//PAJAK]],IF(NCL[[#This Row],[//PAJAK]]="","",INDEX(INDIRECT("PAJAK["&amp;NCL[#Headers]&amp;"]"),NCL[[#This Row],[//PAJAK]]-1)))</f>
        <v/>
      </c>
      <c r="D14" t="str">
        <f ca="1">IF(NCL[[#This Row],[//PAJAK]]="","",INDEX(INDIRECT("PAJAK["&amp;NCL[#Headers]&amp;"]"),NCL[[#This Row],[//PAJAK]]-1))</f>
        <v/>
      </c>
      <c r="E14" s="2" t="str">
        <f ca="1">IF(NCL[[#This Row],[//PAJAK]]="","",INDEX(INDIRECT("PAJAK["&amp;NCL[#Headers]&amp;"]"),NCL[[#This Row],[//PAJAK]]-1))</f>
        <v/>
      </c>
      <c r="F14" s="2" t="str">
        <f ca="1">IF(NCL[[#This Row],[//PAJAK]]="","",INDEX(INDIRECT("PAJAK["&amp;NCL[#Headers]&amp;"]"),NCL[[#This Row],[//PAJAK]]-1))</f>
        <v/>
      </c>
      <c r="G14" t="str">
        <f ca="1">IF(NCL[[#This Row],[//PAJAK]]="","",INDEX(INDIRECT("PAJAK["&amp;NCL[#Headers]&amp;"]"),NCL[[#This Row],[//PAJAK]]-1))</f>
        <v/>
      </c>
      <c r="H14" t="str">
        <f ca="1">IF(NCL[[#This Row],[//PAJAK]]="","",INDEX(INDIRECT("PAJAK["&amp;NCL[#Headers]&amp;"]"),NCL[[#This Row],[//PAJAK]]-1))</f>
        <v/>
      </c>
      <c r="I14" s="1" t="str">
        <f ca="1">IF(NCL[[#This Row],[//PAJAK]]="","",INDEX(PAJAK[SUB T-DISC],NCL[[#This Row],[//PAJAK]]-1)*1.11)</f>
        <v/>
      </c>
      <c r="J14" s="1" t="str">
        <f ca="1">IF(NCL[[#This Row],[//PAJAK]]="","",INDEX(PAJAK[DISC DLL],NCL[[#This Row],[//PAJAK]]-1))</f>
        <v/>
      </c>
      <c r="K14" s="1" t="e">
        <f ca="1">(NCL[[#This Row],[SUB TOTAL]]-NCL[[#This Row],[DISKON]])/1.11</f>
        <v>#VALUE!</v>
      </c>
      <c r="L14" s="1" t="e">
        <f ca="1">NCL[[#This Row],[DPP]]*11%</f>
        <v>#VALUE!</v>
      </c>
      <c r="M14" s="1" t="e">
        <f ca="1">NCL[[#This Row],[DPP]]+NCL[[#This Row],[PPN (11%)]]</f>
        <v>#VALUE!</v>
      </c>
    </row>
    <row r="15" spans="1:13">
      <c r="A15" s="10" t="str">
        <f ca="1">HYPERLINK("[NOTA_.xlsx]NOTA!A"&amp;MATCH(NCL[[#This Row],[ID]],NOTA[ID],0)+2,IF(NCL[[#This Row],[//PAJAK]]="","",MATCH(NCL[[#This Row],[ID]],NOTA[ID],0)+2))</f>
        <v/>
      </c>
      <c r="B15" s="4" t="str">
        <f ca="1">IF(ROW()-3&lt;E$1,IF(INDIRECT(ADDRESS(ROW()-1,COLUMN(NCL[[#Headers],[//PAJAK]])))="//PAJAK",MATCH(D$1,PAJAK[SUPPLIER],0)+1,MATCH(D$1,INDIRECT("PAJAK!"&amp;ADDRESS(B14+1,COLUMN(PAJAK[SUPPLIER]))&amp;":"&amp;ADDRESS(MAX_ROW,COLUMN(PAJAK[SUPPLIER]))),0)+B14),"")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HYPERLINK("[NOTA_.xlsx]PAJAK!b"&amp;NCL[[#This Row],[//PAJAK]],IF(NCL[[#This Row],[//PAJAK]]="","",INDEX(INDIRECT("PAJAK["&amp;NCL[#Headers]&amp;"]"),NCL[[#This Row],[//PAJAK]]-1)))</f>
        <v/>
      </c>
      <c r="D15" t="str">
        <f ca="1">IF(NCL[[#This Row],[//PAJAK]]="","",INDEX(INDIRECT("PAJAK["&amp;NCL[#Headers]&amp;"]"),NCL[[#This Row],[//PAJAK]]-1))</f>
        <v/>
      </c>
      <c r="E15" s="2" t="str">
        <f ca="1">IF(NCL[[#This Row],[//PAJAK]]="","",INDEX(INDIRECT("PAJAK["&amp;NCL[#Headers]&amp;"]"),NCL[[#This Row],[//PAJAK]]-1))</f>
        <v/>
      </c>
      <c r="F15" s="2" t="str">
        <f ca="1">IF(NCL[[#This Row],[//PAJAK]]="","",INDEX(INDIRECT("PAJAK["&amp;NCL[#Headers]&amp;"]"),NCL[[#This Row],[//PAJAK]]-1))</f>
        <v/>
      </c>
      <c r="G15" t="str">
        <f ca="1">IF(NCL[[#This Row],[//PAJAK]]="","",INDEX(INDIRECT("PAJAK["&amp;NCL[#Headers]&amp;"]"),NCL[[#This Row],[//PAJAK]]-1))</f>
        <v/>
      </c>
      <c r="H15" t="str">
        <f ca="1">IF(NCL[[#This Row],[//PAJAK]]="","",INDEX(INDIRECT("PAJAK["&amp;NCL[#Headers]&amp;"]"),NCL[[#This Row],[//PAJAK]]-1))</f>
        <v/>
      </c>
      <c r="I15" s="1" t="str">
        <f ca="1">IF(NCL[[#This Row],[//PAJAK]]="","",INDEX(PAJAK[SUB T-DISC],NCL[[#This Row],[//PAJAK]]-1)*1.11)</f>
        <v/>
      </c>
      <c r="J15" s="1" t="str">
        <f ca="1">IF(NCL[[#This Row],[//PAJAK]]="","",INDEX(PAJAK[DISC DLL],NCL[[#This Row],[//PAJAK]]-1))</f>
        <v/>
      </c>
      <c r="K15" s="1" t="e">
        <f ca="1">(NCL[[#This Row],[SUB TOTAL]]-NCL[[#This Row],[DISKON]])/1.11</f>
        <v>#VALUE!</v>
      </c>
      <c r="L15" s="1" t="e">
        <f ca="1">NCL[[#This Row],[DPP]]*11%</f>
        <v>#VALUE!</v>
      </c>
      <c r="M15" s="1" t="e">
        <f ca="1">NCL[[#This Row],[DPP]]+NCL[[#This Row],[PPN (11%)]]</f>
        <v>#VALUE!</v>
      </c>
    </row>
    <row r="16" spans="1:13">
      <c r="A16" s="10" t="str">
        <f ca="1">HYPERLINK("[NOTA_.xlsx]NOTA!A"&amp;MATCH(NCL[[#This Row],[ID]],NOTA[ID],0)+2,IF(NCL[[#This Row],[//PAJAK]]="","",MATCH(NCL[[#This Row],[ID]],NOTA[ID],0)+2))</f>
        <v/>
      </c>
      <c r="B16" s="4" t="str">
        <f ca="1">IF(ROW()-3&lt;E$1,IF(INDIRECT(ADDRESS(ROW()-1,COLUMN(NCL[[#Headers],[//PAJAK]])))="//PAJAK",MATCH(D$1,PAJAK[SUPPLIER],0)+1,MATCH(D$1,INDIRECT("PAJAK!"&amp;ADDRESS(B15+1,COLUMN(PAJAK[SUPPLIER]))&amp;":"&amp;ADDRESS(MAX_ROW,COLUMN(PAJAK[SUPPLIER]))),0)+B15),"")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HYPERLINK("[NOTA_.xlsx]PAJAK!b"&amp;NCL[[#This Row],[//PAJAK]],IF(NCL[[#This Row],[//PAJAK]]="","",INDEX(INDIRECT("PAJAK["&amp;NCL[#Headers]&amp;"]"),NCL[[#This Row],[//PAJAK]]-1)))</f>
        <v/>
      </c>
      <c r="D16" t="str">
        <f ca="1">IF(NCL[[#This Row],[//PAJAK]]="","",INDEX(INDIRECT("PAJAK["&amp;NCL[#Headers]&amp;"]"),NCL[[#This Row],[//PAJAK]]-1))</f>
        <v/>
      </c>
      <c r="E16" s="2" t="str">
        <f ca="1">IF(NCL[[#This Row],[//PAJAK]]="","",INDEX(INDIRECT("PAJAK["&amp;NCL[#Headers]&amp;"]"),NCL[[#This Row],[//PAJAK]]-1))</f>
        <v/>
      </c>
      <c r="F16" s="2" t="str">
        <f ca="1">IF(NCL[[#This Row],[//PAJAK]]="","",INDEX(INDIRECT("PAJAK["&amp;NCL[#Headers]&amp;"]"),NCL[[#This Row],[//PAJAK]]-1))</f>
        <v/>
      </c>
      <c r="G16" t="str">
        <f ca="1">IF(NCL[[#This Row],[//PAJAK]]="","",INDEX(INDIRECT("PAJAK["&amp;NCL[#Headers]&amp;"]"),NCL[[#This Row],[//PAJAK]]-1))</f>
        <v/>
      </c>
      <c r="H16" t="str">
        <f ca="1">IF(NCL[[#This Row],[//PAJAK]]="","",INDEX(INDIRECT("PAJAK["&amp;NCL[#Headers]&amp;"]"),NCL[[#This Row],[//PAJAK]]-1))</f>
        <v/>
      </c>
      <c r="I16" s="1" t="str">
        <f ca="1">IF(NCL[[#This Row],[//PAJAK]]="","",INDEX(PAJAK[SUB T-DISC],NCL[[#This Row],[//PAJAK]]-1)*1.11)</f>
        <v/>
      </c>
      <c r="J16" s="1" t="str">
        <f ca="1">IF(NCL[[#This Row],[//PAJAK]]="","",INDEX(PAJAK[DISC DLL],NCL[[#This Row],[//PAJAK]]-1))</f>
        <v/>
      </c>
      <c r="K16" s="1" t="e">
        <f ca="1">(NCL[[#This Row],[SUB TOTAL]]-NCL[[#This Row],[DISKON]])/1.11</f>
        <v>#VALUE!</v>
      </c>
      <c r="L16" s="1" t="e">
        <f ca="1">NCL[[#This Row],[DPP]]*11%</f>
        <v>#VALUE!</v>
      </c>
      <c r="M16" s="1" t="e">
        <f ca="1">NCL[[#This Row],[DPP]]+NCL[[#This Row],[PPN (11%)]]</f>
        <v>#VALUE!</v>
      </c>
    </row>
    <row r="17" spans="1:13">
      <c r="A17" s="10" t="str">
        <f ca="1">HYPERLINK("[NOTA_.xlsx]NOTA!A"&amp;MATCH(NCL[[#This Row],[ID]],NOTA[ID],0)+2,IF(NCL[[#This Row],[//PAJAK]]="","",MATCH(NCL[[#This Row],[ID]],NOTA[ID],0)+2))</f>
        <v/>
      </c>
      <c r="B17" s="4" t="str">
        <f ca="1">IF(ROW()-3&lt;E$1,IF(INDIRECT(ADDRESS(ROW()-1,COLUMN(NCL[[#Headers],[//PAJAK]])))="//PAJAK",MATCH(D$1,PAJAK[SUPPLIER],0)+1,MATCH(D$1,INDIRECT("PAJAK!"&amp;ADDRESS(B16+1,COLUMN(PAJAK[SUPPLIER]))&amp;":"&amp;ADDRESS(MAX_ROW,COLUMN(PAJAK[SUPPLIER]))),0)+B16),"")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HYPERLINK("[NOTA_.xlsx]PAJAK!b"&amp;NCL[[#This Row],[//PAJAK]],IF(NCL[[#This Row],[//PAJAK]]="","",INDEX(INDIRECT("PAJAK["&amp;NCL[#Headers]&amp;"]"),NCL[[#This Row],[//PAJAK]]-1)))</f>
        <v/>
      </c>
      <c r="D17" t="str">
        <f ca="1">IF(NCL[[#This Row],[//PAJAK]]="","",INDEX(INDIRECT("PAJAK["&amp;NCL[#Headers]&amp;"]"),NCL[[#This Row],[//PAJAK]]-1))</f>
        <v/>
      </c>
      <c r="E17" s="2" t="str">
        <f ca="1">IF(NCL[[#This Row],[//PAJAK]]="","",INDEX(INDIRECT("PAJAK["&amp;NCL[#Headers]&amp;"]"),NCL[[#This Row],[//PAJAK]]-1))</f>
        <v/>
      </c>
      <c r="F17" s="2" t="str">
        <f ca="1">IF(NCL[[#This Row],[//PAJAK]]="","",INDEX(INDIRECT("PAJAK["&amp;NCL[#Headers]&amp;"]"),NCL[[#This Row],[//PAJAK]]-1))</f>
        <v/>
      </c>
      <c r="G17" t="str">
        <f ca="1">IF(NCL[[#This Row],[//PAJAK]]="","",INDEX(INDIRECT("PAJAK["&amp;NCL[#Headers]&amp;"]"),NCL[[#This Row],[//PAJAK]]-1))</f>
        <v/>
      </c>
      <c r="H17" t="str">
        <f ca="1">IF(NCL[[#This Row],[//PAJAK]]="","",INDEX(INDIRECT("PAJAK["&amp;NCL[#Headers]&amp;"]"),NCL[[#This Row],[//PAJAK]]-1))</f>
        <v/>
      </c>
      <c r="I17" s="1" t="str">
        <f ca="1">IF(NCL[[#This Row],[//PAJAK]]="","",INDEX(PAJAK[SUB T-DISC],NCL[[#This Row],[//PAJAK]]-1)*1.11)</f>
        <v/>
      </c>
      <c r="J17" s="1" t="str">
        <f ca="1">IF(NCL[[#This Row],[//PAJAK]]="","",INDEX(PAJAK[DISC DLL],NCL[[#This Row],[//PAJAK]]-1))</f>
        <v/>
      </c>
      <c r="K17" s="1" t="e">
        <f ca="1">(NCL[[#This Row],[SUB TOTAL]]-NCL[[#This Row],[DISKON]])/1.11</f>
        <v>#VALUE!</v>
      </c>
      <c r="L17" s="1" t="e">
        <f ca="1">NCL[[#This Row],[DPP]]*11%</f>
        <v>#VALUE!</v>
      </c>
      <c r="M17" s="1" t="e">
        <f ca="1">NCL[[#This Row],[DPP]]+NCL[[#This Row],[PPN (11%)]]</f>
        <v>#VALUE!</v>
      </c>
    </row>
    <row r="18" spans="1:13">
      <c r="A18" s="10" t="str">
        <f ca="1">HYPERLINK("[NOTA_.xlsx]NOTA!A"&amp;MATCH(NCL[[#This Row],[ID]],NOTA[ID],0)+2,IF(NCL[[#This Row],[//PAJAK]]="","",MATCH(NCL[[#This Row],[ID]],NOTA[ID],0)+2))</f>
        <v/>
      </c>
      <c r="B18" s="4" t="str">
        <f ca="1">IF(ROW()-3&lt;E$1,IF(INDIRECT(ADDRESS(ROW()-1,COLUMN(NCL[[#Headers],[//PAJAK]])))="//PAJAK",MATCH(D$1,PAJAK[SUPPLIER],0)+1,MATCH(D$1,INDIRECT("PAJAK!"&amp;ADDRESS(B17+1,COLUMN(PAJAK[SUPPLIER]))&amp;":"&amp;ADDRESS(MAX_ROW,COLUMN(PAJAK[SUPPLIER]))),0)+B17),"")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HYPERLINK("[NOTA_.xlsx]PAJAK!b"&amp;NCL[[#This Row],[//PAJAK]],IF(NCL[[#This Row],[//PAJAK]]="","",INDEX(INDIRECT("PAJAK["&amp;NCL[#Headers]&amp;"]"),NCL[[#This Row],[//PAJAK]]-1)))</f>
        <v/>
      </c>
      <c r="D18" t="str">
        <f ca="1">IF(NCL[[#This Row],[//PAJAK]]="","",INDEX(INDIRECT("PAJAK["&amp;NCL[#Headers]&amp;"]"),NCL[[#This Row],[//PAJAK]]-1))</f>
        <v/>
      </c>
      <c r="E18" s="2" t="str">
        <f ca="1">IF(NCL[[#This Row],[//PAJAK]]="","",INDEX(INDIRECT("PAJAK["&amp;NCL[#Headers]&amp;"]"),NCL[[#This Row],[//PAJAK]]-1))</f>
        <v/>
      </c>
      <c r="F18" s="2" t="str">
        <f ca="1">IF(NCL[[#This Row],[//PAJAK]]="","",INDEX(INDIRECT("PAJAK["&amp;NCL[#Headers]&amp;"]"),NCL[[#This Row],[//PAJAK]]-1))</f>
        <v/>
      </c>
      <c r="G18" t="str">
        <f ca="1">IF(NCL[[#This Row],[//PAJAK]]="","",INDEX(INDIRECT("PAJAK["&amp;NCL[#Headers]&amp;"]"),NCL[[#This Row],[//PAJAK]]-1))</f>
        <v/>
      </c>
      <c r="H18" t="str">
        <f ca="1">IF(NCL[[#This Row],[//PAJAK]]="","",INDEX(INDIRECT("PAJAK["&amp;NCL[#Headers]&amp;"]"),NCL[[#This Row],[//PAJAK]]-1))</f>
        <v/>
      </c>
      <c r="I18" s="1" t="str">
        <f ca="1">IF(NCL[[#This Row],[//PAJAK]]="","",INDEX(PAJAK[SUB T-DISC],NCL[[#This Row],[//PAJAK]]-1)*1.11)</f>
        <v/>
      </c>
      <c r="J18" s="1" t="str">
        <f ca="1">IF(NCL[[#This Row],[//PAJAK]]="","",INDEX(PAJAK[DISC DLL],NCL[[#This Row],[//PAJAK]]-1))</f>
        <v/>
      </c>
      <c r="K18" s="1" t="e">
        <f ca="1">(NCL[[#This Row],[SUB TOTAL]]-NCL[[#This Row],[DISKON]])/1.11</f>
        <v>#VALUE!</v>
      </c>
      <c r="L18" s="1" t="e">
        <f ca="1">NCL[[#This Row],[DPP]]*11%</f>
        <v>#VALUE!</v>
      </c>
      <c r="M18" s="1" t="e">
        <f ca="1">NCL[[#This Row],[DPP]]+NCL[[#This Row],[PPN (11%)]]</f>
        <v>#VALUE!</v>
      </c>
    </row>
    <row r="19" spans="1:13">
      <c r="A19" s="10" t="str">
        <f ca="1">HYPERLINK("[NOTA_.xlsx]NOTA!A"&amp;MATCH(NCL[[#This Row],[ID]],NOTA[ID],0)+2,IF(NCL[[#This Row],[//PAJAK]]="","",MATCH(NCL[[#This Row],[ID]],NOTA[ID],0)+2))</f>
        <v/>
      </c>
      <c r="B19" s="4" t="str">
        <f ca="1">IF(ROW()-3&lt;E$1,IF(INDIRECT(ADDRESS(ROW()-1,COLUMN(NCL[[#Headers],[//PAJAK]])))="//PAJAK",MATCH(D$1,PAJAK[SUPPLIER],0)+1,MATCH(D$1,INDIRECT("PAJAK!"&amp;ADDRESS(B18+1,COLUMN(PAJAK[SUPPLIER]))&amp;":"&amp;ADDRESS(MAX_ROW,COLUMN(PAJAK[SUPPLIER]))),0)+B18),"")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HYPERLINK("[NOTA_.xlsx]PAJAK!b"&amp;NCL[[#This Row],[//PAJAK]],IF(NCL[[#This Row],[//PAJAK]]="","",INDEX(INDIRECT("PAJAK["&amp;NCL[#Headers]&amp;"]"),NCL[[#This Row],[//PAJAK]]-1)))</f>
        <v/>
      </c>
      <c r="D19" t="str">
        <f ca="1">IF(NCL[[#This Row],[//PAJAK]]="","",INDEX(INDIRECT("PAJAK["&amp;NCL[#Headers]&amp;"]"),NCL[[#This Row],[//PAJAK]]-1))</f>
        <v/>
      </c>
      <c r="E19" s="2" t="str">
        <f ca="1">IF(NCL[[#This Row],[//PAJAK]]="","",INDEX(INDIRECT("PAJAK["&amp;NCL[#Headers]&amp;"]"),NCL[[#This Row],[//PAJAK]]-1))</f>
        <v/>
      </c>
      <c r="F19" s="2" t="str">
        <f ca="1">IF(NCL[[#This Row],[//PAJAK]]="","",INDEX(INDIRECT("PAJAK["&amp;NCL[#Headers]&amp;"]"),NCL[[#This Row],[//PAJAK]]-1))</f>
        <v/>
      </c>
      <c r="G19" t="str">
        <f ca="1">IF(NCL[[#This Row],[//PAJAK]]="","",INDEX(INDIRECT("PAJAK["&amp;NCL[#Headers]&amp;"]"),NCL[[#This Row],[//PAJAK]]-1))</f>
        <v/>
      </c>
      <c r="H19" t="str">
        <f ca="1">IF(NCL[[#This Row],[//PAJAK]]="","",INDEX(INDIRECT("PAJAK["&amp;NCL[#Headers]&amp;"]"),NCL[[#This Row],[//PAJAK]]-1))</f>
        <v/>
      </c>
      <c r="I19" s="1" t="str">
        <f ca="1">IF(NCL[[#This Row],[//PAJAK]]="","",INDEX(PAJAK[SUB T-DISC],NCL[[#This Row],[//PAJAK]]-1)*1.11)</f>
        <v/>
      </c>
      <c r="J19" s="1" t="str">
        <f ca="1">IF(NCL[[#This Row],[//PAJAK]]="","",INDEX(PAJAK[DISC DLL],NCL[[#This Row],[//PAJAK]]-1))</f>
        <v/>
      </c>
      <c r="K19" s="1" t="e">
        <f ca="1">(NCL[[#This Row],[SUB TOTAL]]-NCL[[#This Row],[DISKON]])/1.11</f>
        <v>#VALUE!</v>
      </c>
      <c r="L19" s="1" t="e">
        <f ca="1">NCL[[#This Row],[DPP]]*11%</f>
        <v>#VALUE!</v>
      </c>
      <c r="M19" s="1" t="e">
        <f ca="1">NCL[[#This Row],[DPP]]+NCL[[#This Row],[PPN (11%)]]</f>
        <v>#VALUE!</v>
      </c>
    </row>
    <row r="20" spans="1:13">
      <c r="A20" s="10" t="str">
        <f ca="1">HYPERLINK("[NOTA_.xlsx]NOTA!A"&amp;MATCH(NCL[[#This Row],[ID]],NOTA[ID],0)+2,IF(NCL[[#This Row],[//PAJAK]]="","",MATCH(NCL[[#This Row],[ID]],NOTA[ID],0)+2))</f>
        <v/>
      </c>
      <c r="B20" s="4" t="str">
        <f ca="1">IF(ROW()-3&lt;E$1,IF(INDIRECT(ADDRESS(ROW()-1,COLUMN(NCL[[#Headers],[//PAJAK]])))="//PAJAK",MATCH(D$1,PAJAK[SUPPLIER],0)+1,MATCH(D$1,INDIRECT("PAJAK!"&amp;ADDRESS(B19+1,COLUMN(PAJAK[SUPPLIER]))&amp;":"&amp;ADDRESS(MAX_ROW,COLUMN(PAJAK[SUPPLIER]))),0)+B19),"")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HYPERLINK("[NOTA_.xlsx]PAJAK!b"&amp;NCL[[#This Row],[//PAJAK]],IF(NCL[[#This Row],[//PAJAK]]="","",INDEX(INDIRECT("PAJAK["&amp;NCL[#Headers]&amp;"]"),NCL[[#This Row],[//PAJAK]]-1)))</f>
        <v/>
      </c>
      <c r="D20" t="str">
        <f ca="1">IF(NCL[[#This Row],[//PAJAK]]="","",INDEX(INDIRECT("PAJAK["&amp;NCL[#Headers]&amp;"]"),NCL[[#This Row],[//PAJAK]]-1))</f>
        <v/>
      </c>
      <c r="E20" s="2" t="str">
        <f ca="1">IF(NCL[[#This Row],[//PAJAK]]="","",INDEX(INDIRECT("PAJAK["&amp;NCL[#Headers]&amp;"]"),NCL[[#This Row],[//PAJAK]]-1))</f>
        <v/>
      </c>
      <c r="F20" s="2" t="str">
        <f ca="1">IF(NCL[[#This Row],[//PAJAK]]="","",INDEX(INDIRECT("PAJAK["&amp;NCL[#Headers]&amp;"]"),NCL[[#This Row],[//PAJAK]]-1))</f>
        <v/>
      </c>
      <c r="G20" t="str">
        <f ca="1">IF(NCL[[#This Row],[//PAJAK]]="","",INDEX(INDIRECT("PAJAK["&amp;NCL[#Headers]&amp;"]"),NCL[[#This Row],[//PAJAK]]-1))</f>
        <v/>
      </c>
      <c r="H20" t="str">
        <f ca="1">IF(NCL[[#This Row],[//PAJAK]]="","",INDEX(INDIRECT("PAJAK["&amp;NCL[#Headers]&amp;"]"),NCL[[#This Row],[//PAJAK]]-1))</f>
        <v/>
      </c>
      <c r="I20" s="1" t="str">
        <f ca="1">IF(NCL[[#This Row],[//PAJAK]]="","",INDEX(PAJAK[SUB T-DISC],NCL[[#This Row],[//PAJAK]]-1)*1.11)</f>
        <v/>
      </c>
      <c r="J20" s="1" t="str">
        <f ca="1">IF(NCL[[#This Row],[//PAJAK]]="","",INDEX(PAJAK[DISC DLL],NCL[[#This Row],[//PAJAK]]-1))</f>
        <v/>
      </c>
      <c r="K20" s="1" t="e">
        <f ca="1">(NCL[[#This Row],[SUB TOTAL]]-NCL[[#This Row],[DISKON]])/1.11</f>
        <v>#VALUE!</v>
      </c>
      <c r="L20" s="1" t="e">
        <f ca="1">NCL[[#This Row],[DPP]]*11%</f>
        <v>#VALUE!</v>
      </c>
      <c r="M20" s="1" t="e">
        <f ca="1">NCL[[#This Row],[DPP]]+NCL[[#This Row],[PPN (11%)]]</f>
        <v>#VALUE!</v>
      </c>
    </row>
    <row r="21" spans="1:13">
      <c r="A21" s="10" t="str">
        <f ca="1">HYPERLINK("[NOTA_.xlsx]NOTA!A"&amp;MATCH(NCL[[#This Row],[ID]],NOTA[ID],0)+2,IF(NCL[[#This Row],[//PAJAK]]="","",MATCH(NCL[[#This Row],[ID]],NOTA[ID],0)+2))</f>
        <v/>
      </c>
      <c r="B21" s="4" t="str">
        <f ca="1">IF(ROW()-3&lt;E$1,IF(INDIRECT(ADDRESS(ROW()-1,COLUMN(NCL[[#Headers],[//PAJAK]])))="//PAJAK",MATCH(D$1,PAJAK[SUPPLIER],0)+1,MATCH(D$1,INDIRECT("PAJAK!"&amp;ADDRESS(B20+1,COLUMN(PAJAK[SUPPLIER]))&amp;":"&amp;ADDRESS(MAX_ROW,COLUMN(PAJAK[SUPPLIER]))),0)+B20),"")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HYPERLINK("[NOTA_.xlsx]PAJAK!b"&amp;NCL[[#This Row],[//PAJAK]],IF(NCL[[#This Row],[//PAJAK]]="","",INDEX(INDIRECT("PAJAK["&amp;NCL[#Headers]&amp;"]"),NCL[[#This Row],[//PAJAK]]-1)))</f>
        <v/>
      </c>
      <c r="D21" t="str">
        <f ca="1">IF(NCL[[#This Row],[//PAJAK]]="","",INDEX(INDIRECT("PAJAK["&amp;NCL[#Headers]&amp;"]"),NCL[[#This Row],[//PAJAK]]-1))</f>
        <v/>
      </c>
      <c r="E21" s="2" t="str">
        <f ca="1">IF(NCL[[#This Row],[//PAJAK]]="","",INDEX(INDIRECT("PAJAK["&amp;NCL[#Headers]&amp;"]"),NCL[[#This Row],[//PAJAK]]-1))</f>
        <v/>
      </c>
      <c r="F21" s="2" t="str">
        <f ca="1">IF(NCL[[#This Row],[//PAJAK]]="","",INDEX(INDIRECT("PAJAK["&amp;NCL[#Headers]&amp;"]"),NCL[[#This Row],[//PAJAK]]-1))</f>
        <v/>
      </c>
      <c r="G21" t="str">
        <f ca="1">IF(NCL[[#This Row],[//PAJAK]]="","",INDEX(INDIRECT("PAJAK["&amp;NCL[#Headers]&amp;"]"),NCL[[#This Row],[//PAJAK]]-1))</f>
        <v/>
      </c>
      <c r="H21" t="str">
        <f ca="1">IF(NCL[[#This Row],[//PAJAK]]="","",INDEX(INDIRECT("PAJAK["&amp;NCL[#Headers]&amp;"]"),NCL[[#This Row],[//PAJAK]]-1))</f>
        <v/>
      </c>
      <c r="I21" s="1" t="str">
        <f ca="1">IF(NCL[[#This Row],[//PAJAK]]="","",INDEX(PAJAK[SUB T-DISC],NCL[[#This Row],[//PAJAK]]-1)*1.11)</f>
        <v/>
      </c>
      <c r="J21" s="1" t="str">
        <f ca="1">IF(NCL[[#This Row],[//PAJAK]]="","",INDEX(PAJAK[DISC DLL],NCL[[#This Row],[//PAJAK]]-1))</f>
        <v/>
      </c>
      <c r="K21" s="1" t="e">
        <f ca="1">(NCL[[#This Row],[SUB TOTAL]]-NCL[[#This Row],[DISKON]])/1.11</f>
        <v>#VALUE!</v>
      </c>
      <c r="L21" s="1" t="e">
        <f ca="1">NCL[[#This Row],[DPP]]*11%</f>
        <v>#VALUE!</v>
      </c>
      <c r="M21" s="1" t="e">
        <f ca="1">NCL[[#This Row],[DPP]]+NCL[[#This Row],[PPN (11%)]]</f>
        <v>#VALUE!</v>
      </c>
    </row>
    <row r="22" spans="1:13">
      <c r="A22" s="10" t="str">
        <f ca="1">HYPERLINK("[NOTA_.xlsx]NOTA!A"&amp;MATCH(NCL[[#This Row],[ID]],NOTA[ID],0)+2,IF(NCL[[#This Row],[//PAJAK]]="","",MATCH(NCL[[#This Row],[ID]],NOTA[ID],0)+2))</f>
        <v/>
      </c>
      <c r="B22" s="4" t="str">
        <f ca="1">IF(ROW()-3&lt;E$1,IF(INDIRECT(ADDRESS(ROW()-1,COLUMN(NCL[[#Headers],[//PAJAK]])))="//PAJAK",MATCH(D$1,PAJAK[SUPPLIER],0)+1,MATCH(D$1,INDIRECT("PAJAK!"&amp;ADDRESS(B21+1,COLUMN(PAJAK[SUPPLIER]))&amp;":"&amp;ADDRESS(MAX_ROW,COLUMN(PAJAK[SUPPLIER]))),0)+B21),"")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HYPERLINK("[NOTA_.xlsx]PAJAK!b"&amp;NCL[[#This Row],[//PAJAK]],IF(NCL[[#This Row],[//PAJAK]]="","",INDEX(INDIRECT("PAJAK["&amp;NCL[#Headers]&amp;"]"),NCL[[#This Row],[//PAJAK]]-1)))</f>
        <v/>
      </c>
      <c r="D22" t="str">
        <f ca="1">IF(NCL[[#This Row],[//PAJAK]]="","",INDEX(INDIRECT("PAJAK["&amp;NCL[#Headers]&amp;"]"),NCL[[#This Row],[//PAJAK]]-1))</f>
        <v/>
      </c>
      <c r="E22" s="2" t="str">
        <f ca="1">IF(NCL[[#This Row],[//PAJAK]]="","",INDEX(INDIRECT("PAJAK["&amp;NCL[#Headers]&amp;"]"),NCL[[#This Row],[//PAJAK]]-1))</f>
        <v/>
      </c>
      <c r="F22" s="2" t="str">
        <f ca="1">IF(NCL[[#This Row],[//PAJAK]]="","",INDEX(INDIRECT("PAJAK["&amp;NCL[#Headers]&amp;"]"),NCL[[#This Row],[//PAJAK]]-1))</f>
        <v/>
      </c>
      <c r="G22" t="str">
        <f ca="1">IF(NCL[[#This Row],[//PAJAK]]="","",INDEX(INDIRECT("PAJAK["&amp;NCL[#Headers]&amp;"]"),NCL[[#This Row],[//PAJAK]]-1))</f>
        <v/>
      </c>
      <c r="H22" t="str">
        <f ca="1">IF(NCL[[#This Row],[//PAJAK]]="","",INDEX(INDIRECT("PAJAK["&amp;NCL[#Headers]&amp;"]"),NCL[[#This Row],[//PAJAK]]-1))</f>
        <v/>
      </c>
      <c r="I22" s="1" t="str">
        <f ca="1">IF(NCL[[#This Row],[//PAJAK]]="","",INDEX(PAJAK[SUB T-DISC],NCL[[#This Row],[//PAJAK]]-1)*1.11)</f>
        <v/>
      </c>
      <c r="J22" s="1" t="str">
        <f ca="1">IF(NCL[[#This Row],[//PAJAK]]="","",INDEX(PAJAK[DISC DLL],NCL[[#This Row],[//PAJAK]]-1))</f>
        <v/>
      </c>
      <c r="K22" s="1" t="e">
        <f ca="1">(NCL[[#This Row],[SUB TOTAL]]-NCL[[#This Row],[DISKON]])/1.11</f>
        <v>#VALUE!</v>
      </c>
      <c r="L22" s="1" t="e">
        <f ca="1">NCL[[#This Row],[DPP]]*11%</f>
        <v>#VALUE!</v>
      </c>
      <c r="M22" s="1" t="e">
        <f ca="1">NCL[[#This Row],[DPP]]+NCL[[#This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2"/>
  <sheetViews>
    <sheetView topLeftCell="E1" workbookViewId="0">
      <selection activeCell="H1" sqref="H1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TOPLA FONDAMEN SUKSES</v>
      </c>
      <c r="E1">
        <f ca="1">INDEX(CONV[JML],MATCH(D1,CONV[2],0))</f>
        <v>0</v>
      </c>
      <c r="G1" s="3" t="str">
        <f ca="1">CELL("filename",G1)</f>
        <v>D:\kerja\BANK EXP\BARU\2024\06 JUNI\[NOTA 06 JUNI 2024.xlsx]TOPLA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HYPERLINK("[NOTA_.xlsx]NOTA!A"&amp;MATCH(TOPLA[[#This Row],[ID]],NOTA[ID],0)+2,IF(TOPLA[[#This Row],[//PAJAK]]="","",MATCH(TOPLA[[#This Row],[ID]],NOTA[ID],0)+2))</f>
        <v/>
      </c>
      <c r="B3" s="4" t="str">
        <f ca="1">IF(ROW()-3&lt;E$1,IF(INDIRECT(ADDRESS(ROW()-1,COLUMN(TOPLA[[#Headers],[//PAJAK]])))="//PAJAK",MATCH(D$1,PAJAK[SUPPLIER],0)+1,MATCH(D$1,INDIRECT("PAJAK!"&amp;ADDRESS(B2+1,COLUMN(PAJAK[SUPPLIER]))&amp;":"&amp;ADDRESS(MAX_ROW,COLUMN(PAJAK[SUPPLIER]))),0)+B2),"")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HYPERLINK("[NOTA_.xlsx]PAJAK!b"&amp;TOPLA[[#This Row],[//PAJAK]],IF(TOPLA[[#This Row],[//PAJAK]]="","",INDEX(INDIRECT("PAJAK["&amp;TOPLA[#Headers]&amp;"]"),TOPLA[[#This Row],[//PAJAK]]-1)))</f>
        <v/>
      </c>
      <c r="D3" t="str">
        <f ca="1">IF(TOPLA[[#This Row],[//PAJAK]]="","",INDEX(INDIRECT("PAJAK["&amp;TOPLA[#Headers]&amp;"]"),TOPLA[[#This Row],[//PAJAK]]-1))</f>
        <v/>
      </c>
      <c r="E3" s="2" t="str">
        <f ca="1">IF(TOPLA[[#This Row],[//PAJAK]]="","",INDEX(INDIRECT("PAJAK["&amp;TOPLA[#Headers]&amp;"]"),TOPLA[[#This Row],[//PAJAK]]-1))</f>
        <v/>
      </c>
      <c r="F3" s="2" t="str">
        <f ca="1">IF(TOPLA[[#This Row],[//PAJAK]]="","",INDEX(INDIRECT("PAJAK["&amp;TOPLA[#Headers]&amp;"]"),TOPLA[[#This Row],[//PAJAK]]-1))</f>
        <v/>
      </c>
      <c r="G3" s="3" t="str">
        <f ca="1">IF(TOPLA[[#This Row],[//PAJAK]]="","",INDEX(INDIRECT("PAJAK["&amp;TOPLA[#Headers]&amp;"]"),TOPLA[[#This Row],[//PAJAK]]-1))</f>
        <v/>
      </c>
      <c r="H3" t="str">
        <f ca="1">IF(TOPLA[[#This Row],[//PAJAK]]="","",INDEX(INDIRECT("PAJAK["&amp;TOPLA[#Headers]&amp;"]"),TOPLA[[#This Row],[//PAJAK]]-1))</f>
        <v/>
      </c>
      <c r="I3" s="1" t="str">
        <f ca="1">IF(TOPLA[[#This Row],[//PAJAK]]="","",INDEX(PAJAK[SUB T-DISC],TOPLA[[#This Row],[//PAJAK]]-1)*1.11)</f>
        <v/>
      </c>
      <c r="J3" s="1" t="str">
        <f ca="1">IF(TOPLA[[#This Row],[//PAJAK]]="","",INDEX(PAJAK[DISC DLL],TOPLA[[#This Row],[//PAJAK]]-1))</f>
        <v/>
      </c>
      <c r="K3" s="1" t="e">
        <f ca="1">(TOPLA[[#This Row],[SUB TOTAL]]-TOPLA[[#This Row],[DISKON]])/1.11</f>
        <v>#VALUE!</v>
      </c>
      <c r="L3" s="1" t="e">
        <f ca="1">TOPLA[[#This Row],[DPP]]*11%</f>
        <v>#VALUE!</v>
      </c>
      <c r="M3" s="1" t="e">
        <f ca="1">TOPLA[[#This Row],[DPP]]+TOPLA[[#This Row],[PPN (11%)]]</f>
        <v>#VALUE!</v>
      </c>
    </row>
    <row r="4" spans="1:13">
      <c r="A4" s="10" t="str">
        <f ca="1">HYPERLINK("[NOTA_.xlsx]NOTA!A"&amp;MATCH(TOPLA[[#This Row],[ID]],NOTA[ID],0)+2,IF(TOPLA[[#This Row],[//PAJAK]]="","",MATCH(TOPLA[[#This Row],[ID]],NOTA[ID],0)+2))</f>
        <v/>
      </c>
      <c r="B4" s="4" t="str">
        <f ca="1">IF(ROW()-3&lt;E$1,IF(INDIRECT(ADDRESS(ROW()-1,COLUMN(TOPLA[[#Headers],[//PAJAK]])))="//PAJAK",MATCH(D$1,PAJAK[SUPPLIER],0)+1,MATCH(D$1,INDIRECT("PAJAK!"&amp;ADDRESS(B3+1,COLUMN(PAJAK[SUPPLIER]))&amp;":"&amp;ADDRESS(MAX_ROW,COLUMN(PAJAK[SUPPLIER]))),0)+B3),"")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HYPERLINK("[NOTA_.xlsx]PAJAK!b"&amp;TOPLA[[#This Row],[//PAJAK]],IF(TOPLA[[#This Row],[//PAJAK]]="","",INDEX(INDIRECT("PAJAK["&amp;TOPLA[#Headers]&amp;"]"),TOPLA[[#This Row],[//PAJAK]]-1)))</f>
        <v/>
      </c>
      <c r="D4" t="str">
        <f ca="1">IF(TOPLA[[#This Row],[//PAJAK]]="","",INDEX(INDIRECT("PAJAK["&amp;TOPLA[#Headers]&amp;"]"),TOPLA[[#This Row],[//PAJAK]]-1))</f>
        <v/>
      </c>
      <c r="E4" s="2" t="str">
        <f ca="1">IF(TOPLA[[#This Row],[//PAJAK]]="","",INDEX(INDIRECT("PAJAK["&amp;TOPLA[#Headers]&amp;"]"),TOPLA[[#This Row],[//PAJAK]]-1))</f>
        <v/>
      </c>
      <c r="F4" s="2" t="str">
        <f ca="1">IF(TOPLA[[#This Row],[//PAJAK]]="","",INDEX(INDIRECT("PAJAK["&amp;TOPLA[#Headers]&amp;"]"),TOPLA[[#This Row],[//PAJAK]]-1))</f>
        <v/>
      </c>
      <c r="G4" t="str">
        <f ca="1">IF(TOPLA[[#This Row],[//PAJAK]]="","",INDEX(INDIRECT("PAJAK["&amp;TOPLA[#Headers]&amp;"]"),TOPLA[[#This Row],[//PAJAK]]-1))</f>
        <v/>
      </c>
      <c r="H4" t="str">
        <f ca="1">IF(TOPLA[[#This Row],[//PAJAK]]="","",INDEX(INDIRECT("PAJAK["&amp;TOPLA[#Headers]&amp;"]"),TOPLA[[#This Row],[//PAJAK]]-1))</f>
        <v/>
      </c>
      <c r="I4" s="1" t="str">
        <f ca="1">IF(TOPLA[[#This Row],[//PAJAK]]="","",INDEX(PAJAK[SUB T-DISC],TOPLA[[#This Row],[//PAJAK]]-1)*1.11)</f>
        <v/>
      </c>
      <c r="J4" s="1" t="str">
        <f ca="1">IF(TOPLA[[#This Row],[//PAJAK]]="","",INDEX(PAJAK[DISC DLL],TOPLA[[#This Row],[//PAJAK]]-1))</f>
        <v/>
      </c>
      <c r="K4" s="1" t="e">
        <f ca="1">(TOPLA[[#This Row],[SUB TOTAL]]-TOPLA[[#This Row],[DISKON]])/1.11</f>
        <v>#VALUE!</v>
      </c>
      <c r="L4" s="1" t="e">
        <f ca="1">TOPLA[[#This Row],[DPP]]*11%</f>
        <v>#VALUE!</v>
      </c>
      <c r="M4" s="1" t="e">
        <f ca="1">TOPLA[[#This Row],[DPP]]+TOPLA[[#This Row],[PPN (11%)]]</f>
        <v>#VALUE!</v>
      </c>
    </row>
    <row r="5" spans="1:13">
      <c r="A5" s="10" t="str">
        <f ca="1">HYPERLINK("[NOTA_.xlsx]NOTA!A"&amp;MATCH(TOPLA[[#This Row],[ID]],NOTA[ID],0)+2,IF(TOPLA[[#This Row],[//PAJAK]]="","",MATCH(TOPLA[[#This Row],[ID]],NOTA[ID],0)+2))</f>
        <v/>
      </c>
      <c r="B5" s="4" t="str">
        <f ca="1">IF(ROW()-3&lt;E$1,IF(INDIRECT(ADDRESS(ROW()-1,COLUMN(TOPLA[[#Headers],[//PAJAK]])))="//PAJAK",MATCH(D$1,PAJAK[SUPPLIER],0)+1,MATCH(D$1,INDIRECT("PAJAK!"&amp;ADDRESS(B4+1,COLUMN(PAJAK[SUPPLIER]))&amp;":"&amp;ADDRESS(MAX_ROW,COLUMN(PAJAK[SUPPLIER]))),0)+B4),"")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HYPERLINK("[NOTA_.xlsx]PAJAK!b"&amp;TOPLA[[#This Row],[//PAJAK]],IF(TOPLA[[#This Row],[//PAJAK]]="","",INDEX(INDIRECT("PAJAK["&amp;TOPLA[#Headers]&amp;"]"),TOPLA[[#This Row],[//PAJAK]]-1)))</f>
        <v/>
      </c>
      <c r="D5" t="str">
        <f ca="1">IF(TOPLA[[#This Row],[//PAJAK]]="","",INDEX(INDIRECT("PAJAK["&amp;TOPLA[#Headers]&amp;"]"),TOPLA[[#This Row],[//PAJAK]]-1))</f>
        <v/>
      </c>
      <c r="E5" s="2" t="str">
        <f ca="1">IF(TOPLA[[#This Row],[//PAJAK]]="","",INDEX(INDIRECT("PAJAK["&amp;TOPLA[#Headers]&amp;"]"),TOPLA[[#This Row],[//PAJAK]]-1))</f>
        <v/>
      </c>
      <c r="F5" s="2" t="str">
        <f ca="1">IF(TOPLA[[#This Row],[//PAJAK]]="","",INDEX(INDIRECT("PAJAK["&amp;TOPLA[#Headers]&amp;"]"),TOPLA[[#This Row],[//PAJAK]]-1))</f>
        <v/>
      </c>
      <c r="G5" t="str">
        <f ca="1">IF(TOPLA[[#This Row],[//PAJAK]]="","",INDEX(INDIRECT("PAJAK["&amp;TOPLA[#Headers]&amp;"]"),TOPLA[[#This Row],[//PAJAK]]-1))</f>
        <v/>
      </c>
      <c r="H5" t="str">
        <f ca="1">IF(TOPLA[[#This Row],[//PAJAK]]="","",INDEX(INDIRECT("PAJAK["&amp;TOPLA[#Headers]&amp;"]"),TOPLA[[#This Row],[//PAJAK]]-1))</f>
        <v/>
      </c>
      <c r="I5" s="1" t="str">
        <f ca="1">IF(TOPLA[[#This Row],[//PAJAK]]="","",INDEX(PAJAK[SUB T-DISC],TOPLA[[#This Row],[//PAJAK]]-1)*1.11)</f>
        <v/>
      </c>
      <c r="J5" s="1" t="str">
        <f ca="1">IF(TOPLA[[#This Row],[//PAJAK]]="","",INDEX(PAJAK[DISC DLL],TOPLA[[#This Row],[//PAJAK]]-1))</f>
        <v/>
      </c>
      <c r="K5" s="1" t="e">
        <f ca="1">(TOPLA[[#This Row],[SUB TOTAL]]-TOPLA[[#This Row],[DISKON]])/1.11</f>
        <v>#VALUE!</v>
      </c>
      <c r="L5" s="1" t="e">
        <f ca="1">TOPLA[[#This Row],[DPP]]*11%</f>
        <v>#VALUE!</v>
      </c>
      <c r="M5" s="1" t="e">
        <f ca="1">TOPLA[[#This Row],[DPP]]+TOPLA[[#This Row],[PPN (11%)]]</f>
        <v>#VALUE!</v>
      </c>
    </row>
    <row r="6" spans="1:13">
      <c r="A6" s="10" t="str">
        <f ca="1">HYPERLINK("[NOTA_.xlsx]NOTA!A"&amp;MATCH(TOPLA[[#This Row],[ID]],NOTA[ID],0)+2,IF(TOPLA[[#This Row],[//PAJAK]]="","",MATCH(TOPLA[[#This Row],[ID]],NOTA[ID],0)+2))</f>
        <v/>
      </c>
      <c r="B6" s="4" t="str">
        <f ca="1">IF(ROW()-3&lt;E$1,IF(INDIRECT(ADDRESS(ROW()-1,COLUMN(TOPLA[[#Headers],[//PAJAK]])))="//PAJAK",MATCH(D$1,PAJAK[SUPPLIER],0)+1,MATCH(D$1,INDIRECT("PAJAK!"&amp;ADDRESS(B5+1,COLUMN(PAJAK[SUPPLIER]))&amp;":"&amp;ADDRESS(MAX_ROW,COLUMN(PAJAK[SUPPLIER]))),0)+B5),"")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HYPERLINK("[NOTA_.xlsx]PAJAK!b"&amp;TOPLA[[#This Row],[//PAJAK]],IF(TOPLA[[#This Row],[//PAJAK]]="","",INDEX(INDIRECT("PAJAK["&amp;TOPLA[#Headers]&amp;"]"),TOPLA[[#This Row],[//PAJAK]]-1)))</f>
        <v/>
      </c>
      <c r="D6" t="str">
        <f ca="1">IF(TOPLA[[#This Row],[//PAJAK]]="","",INDEX(INDIRECT("PAJAK["&amp;TOPLA[#Headers]&amp;"]"),TOPLA[[#This Row],[//PAJAK]]-1))</f>
        <v/>
      </c>
      <c r="E6" s="2" t="str">
        <f ca="1">IF(TOPLA[[#This Row],[//PAJAK]]="","",INDEX(INDIRECT("PAJAK["&amp;TOPLA[#Headers]&amp;"]"),TOPLA[[#This Row],[//PAJAK]]-1))</f>
        <v/>
      </c>
      <c r="F6" s="2" t="str">
        <f ca="1">IF(TOPLA[[#This Row],[//PAJAK]]="","",INDEX(INDIRECT("PAJAK["&amp;TOPLA[#Headers]&amp;"]"),TOPLA[[#This Row],[//PAJAK]]-1))</f>
        <v/>
      </c>
      <c r="G6" t="str">
        <f ca="1">IF(TOPLA[[#This Row],[//PAJAK]]="","",INDEX(INDIRECT("PAJAK["&amp;TOPLA[#Headers]&amp;"]"),TOPLA[[#This Row],[//PAJAK]]-1))</f>
        <v/>
      </c>
      <c r="H6" t="str">
        <f ca="1">IF(TOPLA[[#This Row],[//PAJAK]]="","",INDEX(INDIRECT("PAJAK["&amp;TOPLA[#Headers]&amp;"]"),TOPLA[[#This Row],[//PAJAK]]-1))</f>
        <v/>
      </c>
      <c r="I6" s="1" t="str">
        <f ca="1">IF(TOPLA[[#This Row],[//PAJAK]]="","",INDEX(PAJAK[SUB T-DISC],TOPLA[[#This Row],[//PAJAK]]-1)*1.11)</f>
        <v/>
      </c>
      <c r="J6" s="1" t="str">
        <f ca="1">IF(TOPLA[[#This Row],[//PAJAK]]="","",INDEX(PAJAK[DISC DLL],TOPLA[[#This Row],[//PAJAK]]-1))</f>
        <v/>
      </c>
      <c r="K6" s="1" t="e">
        <f ca="1">(TOPLA[[#This Row],[SUB TOTAL]]-TOPLA[[#This Row],[DISKON]])/1.11</f>
        <v>#VALUE!</v>
      </c>
      <c r="L6" s="1" t="e">
        <f ca="1">TOPLA[[#This Row],[DPP]]*11%</f>
        <v>#VALUE!</v>
      </c>
      <c r="M6" s="1" t="e">
        <f ca="1">TOPLA[[#This Row],[DPP]]+TOPLA[[#This Row],[PPN (11%)]]</f>
        <v>#VALUE!</v>
      </c>
    </row>
    <row r="7" spans="1:13">
      <c r="A7" s="10" t="str">
        <f ca="1">HYPERLINK("[NOTA_.xlsx]NOTA!A"&amp;MATCH(TOPLA[[#This Row],[ID]],NOTA[ID],0)+2,IF(TOPLA[[#This Row],[//PAJAK]]="","",MATCH(TOPLA[[#This Row],[ID]],NOTA[ID],0)+2))</f>
        <v/>
      </c>
      <c r="B7" s="4" t="str">
        <f ca="1">IF(ROW()-3&lt;E$1,IF(INDIRECT(ADDRESS(ROW()-1,COLUMN(TOPLA[[#Headers],[//PAJAK]])))="//PAJAK",MATCH(D$1,PAJAK[SUPPLIER],0)+1,MATCH(D$1,INDIRECT("PAJAK!"&amp;ADDRESS(B6+1,COLUMN(PAJAK[SUPPLIER]))&amp;":"&amp;ADDRESS(MAX_ROW,COLUMN(PAJAK[SUPPLIER]))),0)+B6),"")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HYPERLINK("[NOTA_.xlsx]PAJAK!b"&amp;TOPLA[[#This Row],[//PAJAK]],IF(TOPLA[[#This Row],[//PAJAK]]="","",INDEX(INDIRECT("PAJAK["&amp;TOPLA[#Headers]&amp;"]"),TOPLA[[#This Row],[//PAJAK]]-1)))</f>
        <v/>
      </c>
      <c r="D7" t="str">
        <f ca="1">IF(TOPLA[[#This Row],[//PAJAK]]="","",INDEX(INDIRECT("PAJAK["&amp;TOPLA[#Headers]&amp;"]"),TOPLA[[#This Row],[//PAJAK]]-1))</f>
        <v/>
      </c>
      <c r="E7" s="2" t="str">
        <f ca="1">IF(TOPLA[[#This Row],[//PAJAK]]="","",INDEX(INDIRECT("PAJAK["&amp;TOPLA[#Headers]&amp;"]"),TOPLA[[#This Row],[//PAJAK]]-1))</f>
        <v/>
      </c>
      <c r="F7" s="2" t="str">
        <f ca="1">IF(TOPLA[[#This Row],[//PAJAK]]="","",INDEX(INDIRECT("PAJAK["&amp;TOPLA[#Headers]&amp;"]"),TOPLA[[#This Row],[//PAJAK]]-1))</f>
        <v/>
      </c>
      <c r="G7" t="str">
        <f ca="1">IF(TOPLA[[#This Row],[//PAJAK]]="","",INDEX(INDIRECT("PAJAK["&amp;TOPLA[#Headers]&amp;"]"),TOPLA[[#This Row],[//PAJAK]]-1))</f>
        <v/>
      </c>
      <c r="H7" t="str">
        <f ca="1">IF(TOPLA[[#This Row],[//PAJAK]]="","",INDEX(INDIRECT("PAJAK["&amp;TOPLA[#Headers]&amp;"]"),TOPLA[[#This Row],[//PAJAK]]-1))</f>
        <v/>
      </c>
      <c r="I7" s="1" t="str">
        <f ca="1">IF(TOPLA[[#This Row],[//PAJAK]]="","",INDEX(PAJAK[SUB T-DISC],TOPLA[[#This Row],[//PAJAK]]-1)*1.11)</f>
        <v/>
      </c>
      <c r="J7" s="1" t="str">
        <f ca="1">IF(TOPLA[[#This Row],[//PAJAK]]="","",INDEX(PAJAK[DISC DLL],TOPLA[[#This Row],[//PAJAK]]-1))</f>
        <v/>
      </c>
      <c r="K7" s="1" t="e">
        <f ca="1">(TOPLA[[#This Row],[SUB TOTAL]]-TOPLA[[#This Row],[DISKON]])/1.11</f>
        <v>#VALUE!</v>
      </c>
      <c r="L7" s="1" t="e">
        <f ca="1">TOPLA[[#This Row],[DPP]]*11%</f>
        <v>#VALUE!</v>
      </c>
      <c r="M7" s="1" t="e">
        <f ca="1">TOPLA[[#This Row],[DPP]]+TOPLA[[#This Row],[PPN (11%)]]</f>
        <v>#VALUE!</v>
      </c>
    </row>
    <row r="8" spans="1:13">
      <c r="A8" s="10" t="str">
        <f ca="1">HYPERLINK("[NOTA_.xlsx]NOTA!A"&amp;MATCH(TOPLA[[#This Row],[ID]],NOTA[ID],0)+2,IF(TOPLA[[#This Row],[//PAJAK]]="","",MATCH(TOPLA[[#This Row],[ID]],NOTA[ID],0)+2))</f>
        <v/>
      </c>
      <c r="B8" s="4" t="str">
        <f ca="1">IF(ROW()-3&lt;E$1,IF(INDIRECT(ADDRESS(ROW()-1,COLUMN(TOPLA[[#Headers],[//PAJAK]])))="//PAJAK",MATCH(D$1,PAJAK[SUPPLIER],0)+1,MATCH(D$1,INDIRECT("PAJAK!"&amp;ADDRESS(B7+1,COLUMN(PAJAK[SUPPLIER]))&amp;":"&amp;ADDRESS(MAX_ROW,COLUMN(PAJAK[SUPPLIER]))),0)+B7),"")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HYPERLINK("[NOTA_.xlsx]PAJAK!b"&amp;TOPLA[[#This Row],[//PAJAK]],IF(TOPLA[[#This Row],[//PAJAK]]="","",INDEX(INDIRECT("PAJAK["&amp;TOPLA[#Headers]&amp;"]"),TOPLA[[#This Row],[//PAJAK]]-1)))</f>
        <v/>
      </c>
      <c r="D8" t="str">
        <f ca="1">IF(TOPLA[[#This Row],[//PAJAK]]="","",INDEX(INDIRECT("PAJAK["&amp;TOPLA[#Headers]&amp;"]"),TOPLA[[#This Row],[//PAJAK]]-1))</f>
        <v/>
      </c>
      <c r="E8" s="2" t="str">
        <f ca="1">IF(TOPLA[[#This Row],[//PAJAK]]="","",INDEX(INDIRECT("PAJAK["&amp;TOPLA[#Headers]&amp;"]"),TOPLA[[#This Row],[//PAJAK]]-1))</f>
        <v/>
      </c>
      <c r="F8" s="2" t="str">
        <f ca="1">IF(TOPLA[[#This Row],[//PAJAK]]="","",INDEX(INDIRECT("PAJAK["&amp;TOPLA[#Headers]&amp;"]"),TOPLA[[#This Row],[//PAJAK]]-1))</f>
        <v/>
      </c>
      <c r="G8" t="str">
        <f ca="1">IF(TOPLA[[#This Row],[//PAJAK]]="","",INDEX(INDIRECT("PAJAK["&amp;TOPLA[#Headers]&amp;"]"),TOPLA[[#This Row],[//PAJAK]]-1))</f>
        <v/>
      </c>
      <c r="H8" t="str">
        <f ca="1">IF(TOPLA[[#This Row],[//PAJAK]]="","",INDEX(INDIRECT("PAJAK["&amp;TOPLA[#Headers]&amp;"]"),TOPLA[[#This Row],[//PAJAK]]-1))</f>
        <v/>
      </c>
      <c r="I8" s="1" t="str">
        <f ca="1">IF(TOPLA[[#This Row],[//PAJAK]]="","",INDEX(PAJAK[SUB T-DISC],TOPLA[[#This Row],[//PAJAK]]-1)*1.11)</f>
        <v/>
      </c>
      <c r="J8" s="1" t="str">
        <f ca="1">IF(TOPLA[[#This Row],[//PAJAK]]="","",INDEX(PAJAK[DISC DLL],TOPLA[[#This Row],[//PAJAK]]-1))</f>
        <v/>
      </c>
      <c r="K8" s="1" t="e">
        <f ca="1">(TOPLA[[#This Row],[SUB TOTAL]]-TOPLA[[#This Row],[DISKON]])/1.11</f>
        <v>#VALUE!</v>
      </c>
      <c r="L8" s="1" t="e">
        <f ca="1">TOPLA[[#This Row],[DPP]]*11%</f>
        <v>#VALUE!</v>
      </c>
      <c r="M8" s="1" t="e">
        <f ca="1">TOPLA[[#This Row],[DPP]]+TOPLA[[#This Row],[PPN (11%)]]</f>
        <v>#VALUE!</v>
      </c>
    </row>
    <row r="9" spans="1:13">
      <c r="A9" s="10" t="str">
        <f ca="1">HYPERLINK("[NOTA_.xlsx]NOTA!A"&amp;MATCH(TOPLA[[#This Row],[ID]],NOTA[ID],0)+2,IF(TOPLA[[#This Row],[//PAJAK]]="","",MATCH(TOPLA[[#This Row],[ID]],NOTA[ID],0)+2))</f>
        <v/>
      </c>
      <c r="B9" s="4" t="str">
        <f ca="1">IF(ROW()-3&lt;E$1,IF(INDIRECT(ADDRESS(ROW()-1,COLUMN(TOPLA[[#Headers],[//PAJAK]])))="//PAJAK",MATCH(D$1,PAJAK[SUPPLIER],0)+1,MATCH(D$1,INDIRECT("PAJAK!"&amp;ADDRESS(B8+1,COLUMN(PAJAK[SUPPLIER]))&amp;":"&amp;ADDRESS(MAX_ROW,COLUMN(PAJAK[SUPPLIER]))),0)+B8),"")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HYPERLINK("[NOTA_.xlsx]PAJAK!b"&amp;TOPLA[[#This Row],[//PAJAK]],IF(TOPLA[[#This Row],[//PAJAK]]="","",INDEX(INDIRECT("PAJAK["&amp;TOPLA[#Headers]&amp;"]"),TOPLA[[#This Row],[//PAJAK]]-1)))</f>
        <v/>
      </c>
      <c r="D9" t="str">
        <f ca="1">IF(TOPLA[[#This Row],[//PAJAK]]="","",INDEX(INDIRECT("PAJAK["&amp;TOPLA[#Headers]&amp;"]"),TOPLA[[#This Row],[//PAJAK]]-1))</f>
        <v/>
      </c>
      <c r="E9" s="2" t="str">
        <f ca="1">IF(TOPLA[[#This Row],[//PAJAK]]="","",INDEX(INDIRECT("PAJAK["&amp;TOPLA[#Headers]&amp;"]"),TOPLA[[#This Row],[//PAJAK]]-1))</f>
        <v/>
      </c>
      <c r="F9" s="2" t="str">
        <f ca="1">IF(TOPLA[[#This Row],[//PAJAK]]="","",INDEX(INDIRECT("PAJAK["&amp;TOPLA[#Headers]&amp;"]"),TOPLA[[#This Row],[//PAJAK]]-1))</f>
        <v/>
      </c>
      <c r="G9" t="str">
        <f ca="1">IF(TOPLA[[#This Row],[//PAJAK]]="","",INDEX(INDIRECT("PAJAK["&amp;TOPLA[#Headers]&amp;"]"),TOPLA[[#This Row],[//PAJAK]]-1))</f>
        <v/>
      </c>
      <c r="H9" t="str">
        <f ca="1">IF(TOPLA[[#This Row],[//PAJAK]]="","",INDEX(INDIRECT("PAJAK["&amp;TOPLA[#Headers]&amp;"]"),TOPLA[[#This Row],[//PAJAK]]-1))</f>
        <v/>
      </c>
      <c r="I9" s="1" t="str">
        <f ca="1">IF(TOPLA[[#This Row],[//PAJAK]]="","",INDEX(PAJAK[SUB T-DISC],TOPLA[[#This Row],[//PAJAK]]-1)*1.11)</f>
        <v/>
      </c>
      <c r="J9" s="1" t="str">
        <f ca="1">IF(TOPLA[[#This Row],[//PAJAK]]="","",INDEX(PAJAK[DISC DLL],TOPLA[[#This Row],[//PAJAK]]-1))</f>
        <v/>
      </c>
      <c r="K9" s="1" t="e">
        <f ca="1">(TOPLA[[#This Row],[SUB TOTAL]]-TOPLA[[#This Row],[DISKON]])/1.11</f>
        <v>#VALUE!</v>
      </c>
      <c r="L9" s="1" t="e">
        <f ca="1">TOPLA[[#This Row],[DPP]]*11%</f>
        <v>#VALUE!</v>
      </c>
      <c r="M9" s="1" t="e">
        <f ca="1">TOPLA[[#This Row],[DPP]]+TOPLA[[#This Row],[PPN (11%)]]</f>
        <v>#VALUE!</v>
      </c>
    </row>
    <row r="10" spans="1:13">
      <c r="A10" s="10" t="str">
        <f ca="1">HYPERLINK("[NOTA_.xlsx]NOTA!A"&amp;MATCH(TOPLA[[#This Row],[ID]],NOTA[ID],0)+2,IF(TOPLA[[#This Row],[//PAJAK]]="","",MATCH(TOPLA[[#This Row],[ID]],NOTA[ID],0)+2))</f>
        <v/>
      </c>
      <c r="B10" s="4" t="str">
        <f ca="1">IF(ROW()-3&lt;E$1,IF(INDIRECT(ADDRESS(ROW()-1,COLUMN(TOPLA[[#Headers],[//PAJAK]])))="//PAJAK",MATCH(D$1,PAJAK[SUPPLIER],0)+1,MATCH(D$1,INDIRECT("PAJAK!"&amp;ADDRESS(B9+1,COLUMN(PAJAK[SUPPLIER]))&amp;":"&amp;ADDRESS(MAX_ROW,COLUMN(PAJAK[SUPPLIER]))),0)+B9),"")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HYPERLINK("[NOTA_.xlsx]PAJAK!b"&amp;TOPLA[[#This Row],[//PAJAK]],IF(TOPLA[[#This Row],[//PAJAK]]="","",INDEX(INDIRECT("PAJAK["&amp;TOPLA[#Headers]&amp;"]"),TOPLA[[#This Row],[//PAJAK]]-1)))</f>
        <v/>
      </c>
      <c r="D10" t="str">
        <f ca="1">IF(TOPLA[[#This Row],[//PAJAK]]="","",INDEX(INDIRECT("PAJAK["&amp;TOPLA[#Headers]&amp;"]"),TOPLA[[#This Row],[//PAJAK]]-1))</f>
        <v/>
      </c>
      <c r="E10" s="2" t="str">
        <f ca="1">IF(TOPLA[[#This Row],[//PAJAK]]="","",INDEX(INDIRECT("PAJAK["&amp;TOPLA[#Headers]&amp;"]"),TOPLA[[#This Row],[//PAJAK]]-1))</f>
        <v/>
      </c>
      <c r="F10" s="2" t="str">
        <f ca="1">IF(TOPLA[[#This Row],[//PAJAK]]="","",INDEX(INDIRECT("PAJAK["&amp;TOPLA[#Headers]&amp;"]"),TOPLA[[#This Row],[//PAJAK]]-1))</f>
        <v/>
      </c>
      <c r="G10" t="str">
        <f ca="1">IF(TOPLA[[#This Row],[//PAJAK]]="","",INDEX(INDIRECT("PAJAK["&amp;TOPLA[#Headers]&amp;"]"),TOPLA[[#This Row],[//PAJAK]]-1))</f>
        <v/>
      </c>
      <c r="H10" t="str">
        <f ca="1">IF(TOPLA[[#This Row],[//PAJAK]]="","",INDEX(INDIRECT("PAJAK["&amp;TOPLA[#Headers]&amp;"]"),TOPLA[[#This Row],[//PAJAK]]-1))</f>
        <v/>
      </c>
      <c r="I10" s="1" t="str">
        <f ca="1">IF(TOPLA[[#This Row],[//PAJAK]]="","",INDEX(PAJAK[SUB T-DISC],TOPLA[[#This Row],[//PAJAK]]-1)*1.11)</f>
        <v/>
      </c>
      <c r="J10" s="1" t="str">
        <f ca="1">IF(TOPLA[[#This Row],[//PAJAK]]="","",INDEX(PAJAK[DISC DLL],TOPLA[[#This Row],[//PAJAK]]-1))</f>
        <v/>
      </c>
      <c r="K10" s="1" t="e">
        <f ca="1">(TOPLA[[#This Row],[SUB TOTAL]]-TOPLA[[#This Row],[DISKON]])/1.11</f>
        <v>#VALUE!</v>
      </c>
      <c r="L10" s="1" t="e">
        <f ca="1">TOPLA[[#This Row],[DPP]]*11%</f>
        <v>#VALUE!</v>
      </c>
      <c r="M10" s="1" t="e">
        <f ca="1">TOPLA[[#This Row],[DPP]]+TOPLA[[#This Row],[PPN (11%)]]</f>
        <v>#VALUE!</v>
      </c>
    </row>
    <row r="11" spans="1:13">
      <c r="A11" s="10" t="str">
        <f ca="1">HYPERLINK("[NOTA_.xlsx]NOTA!A"&amp;MATCH(TOPLA[[#This Row],[ID]],NOTA[ID],0)+2,IF(TOPLA[[#This Row],[//PAJAK]]="","",MATCH(TOPLA[[#This Row],[ID]],NOTA[ID],0)+2))</f>
        <v/>
      </c>
      <c r="B11" s="4" t="str">
        <f ca="1">IF(ROW()-3&lt;E$1,IF(INDIRECT(ADDRESS(ROW()-1,COLUMN(TOPLA[[#Headers],[//PAJAK]])))="//PAJAK",MATCH(D$1,PAJAK[SUPPLIER],0)+1,MATCH(D$1,INDIRECT("PAJAK!"&amp;ADDRESS(B10+1,COLUMN(PAJAK[SUPPLIER]))&amp;":"&amp;ADDRESS(MAX_ROW,COLUMN(PAJAK[SUPPLIER]))),0)+B10),"")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HYPERLINK("[NOTA_.xlsx]PAJAK!b"&amp;TOPLA[[#This Row],[//PAJAK]],IF(TOPLA[[#This Row],[//PAJAK]]="","",INDEX(INDIRECT("PAJAK["&amp;TOPLA[#Headers]&amp;"]"),TOPLA[[#This Row],[//PAJAK]]-1)))</f>
        <v/>
      </c>
      <c r="D11" t="str">
        <f ca="1">IF(TOPLA[[#This Row],[//PAJAK]]="","",INDEX(INDIRECT("PAJAK["&amp;TOPLA[#Headers]&amp;"]"),TOPLA[[#This Row],[//PAJAK]]-1))</f>
        <v/>
      </c>
      <c r="E11" s="2" t="str">
        <f ca="1">IF(TOPLA[[#This Row],[//PAJAK]]="","",INDEX(INDIRECT("PAJAK["&amp;TOPLA[#Headers]&amp;"]"),TOPLA[[#This Row],[//PAJAK]]-1))</f>
        <v/>
      </c>
      <c r="F11" s="2" t="str">
        <f ca="1">IF(TOPLA[[#This Row],[//PAJAK]]="","",INDEX(INDIRECT("PAJAK["&amp;TOPLA[#Headers]&amp;"]"),TOPLA[[#This Row],[//PAJAK]]-1))</f>
        <v/>
      </c>
      <c r="G11" t="str">
        <f ca="1">IF(TOPLA[[#This Row],[//PAJAK]]="","",INDEX(INDIRECT("PAJAK["&amp;TOPLA[#Headers]&amp;"]"),TOPLA[[#This Row],[//PAJAK]]-1))</f>
        <v/>
      </c>
      <c r="H11" t="str">
        <f ca="1">IF(TOPLA[[#This Row],[//PAJAK]]="","",INDEX(INDIRECT("PAJAK["&amp;TOPLA[#Headers]&amp;"]"),TOPLA[[#This Row],[//PAJAK]]-1))</f>
        <v/>
      </c>
      <c r="I11" s="1" t="str">
        <f ca="1">IF(TOPLA[[#This Row],[//PAJAK]]="","",INDEX(PAJAK[SUB T-DISC],TOPLA[[#This Row],[//PAJAK]]-1)*1.11)</f>
        <v/>
      </c>
      <c r="J11" s="1" t="str">
        <f ca="1">IF(TOPLA[[#This Row],[//PAJAK]]="","",INDEX(PAJAK[DISC DLL],TOPLA[[#This Row],[//PAJAK]]-1))</f>
        <v/>
      </c>
      <c r="K11" s="1" t="e">
        <f ca="1">(TOPLA[[#This Row],[SUB TOTAL]]-TOPLA[[#This Row],[DISKON]])/1.11</f>
        <v>#VALUE!</v>
      </c>
      <c r="L11" s="1" t="e">
        <f ca="1">TOPLA[[#This Row],[DPP]]*11%</f>
        <v>#VALUE!</v>
      </c>
      <c r="M11" s="1" t="e">
        <f ca="1">TOPLA[[#This Row],[DPP]]+TOPLA[[#This Row],[PPN (11%)]]</f>
        <v>#VALUE!</v>
      </c>
    </row>
    <row r="12" spans="1:13">
      <c r="A12" s="10" t="str">
        <f ca="1">HYPERLINK("[NOTA_.xlsx]NOTA!A"&amp;MATCH(TOPLA[[#This Row],[ID]],NOTA[ID],0)+2,IF(TOPLA[[#This Row],[//PAJAK]]="","",MATCH(TOPLA[[#This Row],[ID]],NOTA[ID],0)+2))</f>
        <v/>
      </c>
      <c r="B12" s="4" t="str">
        <f ca="1">IF(ROW()-3&lt;E$1,IF(INDIRECT(ADDRESS(ROW()-1,COLUMN(TOPLA[[#Headers],[//PAJAK]])))="//PAJAK",MATCH(D$1,PAJAK[SUPPLIER],0)+1,MATCH(D$1,INDIRECT("PAJAK!"&amp;ADDRESS(B11+1,COLUMN(PAJAK[SUPPLIER]))&amp;":"&amp;ADDRESS(MAX_ROW,COLUMN(PAJAK[SUPPLIER]))),0)+B11),"")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HYPERLINK("[NOTA_.xlsx]PAJAK!b"&amp;TOPLA[[#This Row],[//PAJAK]],IF(TOPLA[[#This Row],[//PAJAK]]="","",INDEX(INDIRECT("PAJAK["&amp;TOPLA[#Headers]&amp;"]"),TOPLA[[#This Row],[//PAJAK]]-1)))</f>
        <v/>
      </c>
      <c r="D12" t="str">
        <f ca="1">IF(TOPLA[[#This Row],[//PAJAK]]="","",INDEX(INDIRECT("PAJAK["&amp;TOPLA[#Headers]&amp;"]"),TOPLA[[#This Row],[//PAJAK]]-1))</f>
        <v/>
      </c>
      <c r="E12" s="2" t="str">
        <f ca="1">IF(TOPLA[[#This Row],[//PAJAK]]="","",INDEX(INDIRECT("PAJAK["&amp;TOPLA[#Headers]&amp;"]"),TOPLA[[#This Row],[//PAJAK]]-1))</f>
        <v/>
      </c>
      <c r="F12" s="2" t="str">
        <f ca="1">IF(TOPLA[[#This Row],[//PAJAK]]="","",INDEX(INDIRECT("PAJAK["&amp;TOPLA[#Headers]&amp;"]"),TOPLA[[#This Row],[//PAJAK]]-1))</f>
        <v/>
      </c>
      <c r="G12" t="str">
        <f ca="1">IF(TOPLA[[#This Row],[//PAJAK]]="","",INDEX(INDIRECT("PAJAK["&amp;TOPLA[#Headers]&amp;"]"),TOPLA[[#This Row],[//PAJAK]]-1))</f>
        <v/>
      </c>
      <c r="H12" t="str">
        <f ca="1">IF(TOPLA[[#This Row],[//PAJAK]]="","",INDEX(INDIRECT("PAJAK["&amp;TOPLA[#Headers]&amp;"]"),TOPLA[[#This Row],[//PAJAK]]-1))</f>
        <v/>
      </c>
      <c r="I12" s="1" t="str">
        <f ca="1">IF(TOPLA[[#This Row],[//PAJAK]]="","",INDEX(PAJAK[SUB T-DISC],TOPLA[[#This Row],[//PAJAK]]-1)*1.11)</f>
        <v/>
      </c>
      <c r="J12" s="1" t="str">
        <f ca="1">IF(TOPLA[[#This Row],[//PAJAK]]="","",INDEX(PAJAK[DISC DLL],TOPLA[[#This Row],[//PAJAK]]-1))</f>
        <v/>
      </c>
      <c r="K12" s="1" t="e">
        <f ca="1">(TOPLA[[#This Row],[SUB TOTAL]]-TOPLA[[#This Row],[DISKON]])/1.11</f>
        <v>#VALUE!</v>
      </c>
      <c r="L12" s="1" t="e">
        <f ca="1">TOPLA[[#This Row],[DPP]]*11%</f>
        <v>#VALUE!</v>
      </c>
      <c r="M12" s="1" t="e">
        <f ca="1">TOPLA[[#This Row],[DPP]]+TOPLA[[#This Row],[PPN (11%)]]</f>
        <v>#VALUE!</v>
      </c>
    </row>
    <row r="13" spans="1:13">
      <c r="A13" s="10" t="str">
        <f ca="1">HYPERLINK("[NOTA_.xlsx]NOTA!A"&amp;MATCH(TOPLA[[#This Row],[ID]],NOTA[ID],0)+2,IF(TOPLA[[#This Row],[//PAJAK]]="","",MATCH(TOPLA[[#This Row],[ID]],NOTA[ID],0)+2))</f>
        <v/>
      </c>
      <c r="B13" s="4" t="str">
        <f ca="1">IF(ROW()-3&lt;E$1,IF(INDIRECT(ADDRESS(ROW()-1,COLUMN(TOPLA[[#Headers],[//PAJAK]])))="//PAJAK",MATCH(D$1,PAJAK[SUPPLIER],0)+1,MATCH(D$1,INDIRECT("PAJAK!"&amp;ADDRESS(B12+1,COLUMN(PAJAK[SUPPLIER]))&amp;":"&amp;ADDRESS(MAX_ROW,COLUMN(PAJAK[SUPPLIER]))),0)+B12),"")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HYPERLINK("[NOTA_.xlsx]PAJAK!b"&amp;TOPLA[[#This Row],[//PAJAK]],IF(TOPLA[[#This Row],[//PAJAK]]="","",INDEX(INDIRECT("PAJAK["&amp;TOPLA[#Headers]&amp;"]"),TOPLA[[#This Row],[//PAJAK]]-1)))</f>
        <v/>
      </c>
      <c r="D13" t="str">
        <f ca="1">IF(TOPLA[[#This Row],[//PAJAK]]="","",INDEX(INDIRECT("PAJAK["&amp;TOPLA[#Headers]&amp;"]"),TOPLA[[#This Row],[//PAJAK]]-1))</f>
        <v/>
      </c>
      <c r="E13" s="2" t="str">
        <f ca="1">IF(TOPLA[[#This Row],[//PAJAK]]="","",INDEX(INDIRECT("PAJAK["&amp;TOPLA[#Headers]&amp;"]"),TOPLA[[#This Row],[//PAJAK]]-1))</f>
        <v/>
      </c>
      <c r="F13" s="2" t="str">
        <f ca="1">IF(TOPLA[[#This Row],[//PAJAK]]="","",INDEX(INDIRECT("PAJAK["&amp;TOPLA[#Headers]&amp;"]"),TOPLA[[#This Row],[//PAJAK]]-1))</f>
        <v/>
      </c>
      <c r="G13" t="str">
        <f ca="1">IF(TOPLA[[#This Row],[//PAJAK]]="","",INDEX(INDIRECT("PAJAK["&amp;TOPLA[#Headers]&amp;"]"),TOPLA[[#This Row],[//PAJAK]]-1))</f>
        <v/>
      </c>
      <c r="H13" t="str">
        <f ca="1">IF(TOPLA[[#This Row],[//PAJAK]]="","",INDEX(INDIRECT("PAJAK["&amp;TOPLA[#Headers]&amp;"]"),TOPLA[[#This Row],[//PAJAK]]-1))</f>
        <v/>
      </c>
      <c r="I13" s="1" t="str">
        <f ca="1">IF(TOPLA[[#This Row],[//PAJAK]]="","",INDEX(PAJAK[SUB T-DISC],TOPLA[[#This Row],[//PAJAK]]-1)*1.11)</f>
        <v/>
      </c>
      <c r="J13" s="1" t="str">
        <f ca="1">IF(TOPLA[[#This Row],[//PAJAK]]="","",INDEX(PAJAK[DISC DLL],TOPLA[[#This Row],[//PAJAK]]-1))</f>
        <v/>
      </c>
      <c r="K13" s="1" t="e">
        <f ca="1">(TOPLA[[#This Row],[SUB TOTAL]]-TOPLA[[#This Row],[DISKON]])/1.11</f>
        <v>#VALUE!</v>
      </c>
      <c r="L13" s="1" t="e">
        <f ca="1">TOPLA[[#This Row],[DPP]]*11%</f>
        <v>#VALUE!</v>
      </c>
      <c r="M13" s="1" t="e">
        <f ca="1">TOPLA[[#This Row],[DPP]]+TOPLA[[#This Row],[PPN (11%)]]</f>
        <v>#VALUE!</v>
      </c>
    </row>
    <row r="14" spans="1:13">
      <c r="A14" s="10" t="str">
        <f ca="1">HYPERLINK("[NOTA_.xlsx]NOTA!A"&amp;MATCH(TOPLA[[#This Row],[ID]],NOTA[ID],0)+2,IF(TOPLA[[#This Row],[//PAJAK]]="","",MATCH(TOPLA[[#This Row],[ID]],NOTA[ID],0)+2))</f>
        <v/>
      </c>
      <c r="B14" s="4" t="str">
        <f ca="1">IF(ROW()-3&lt;E$1,IF(INDIRECT(ADDRESS(ROW()-1,COLUMN(TOPLA[[#Headers],[//PAJAK]])))="//PAJAK",MATCH(D$1,PAJAK[SUPPLIER],0)+1,MATCH(D$1,INDIRECT("PAJAK!"&amp;ADDRESS(B13+1,COLUMN(PAJAK[SUPPLIER]))&amp;":"&amp;ADDRESS(MAX_ROW,COLUMN(PAJAK[SUPPLIER]))),0)+B13),"")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HYPERLINK("[NOTA_.xlsx]PAJAK!b"&amp;TOPLA[[#This Row],[//PAJAK]],IF(TOPLA[[#This Row],[//PAJAK]]="","",INDEX(INDIRECT("PAJAK["&amp;TOPLA[#Headers]&amp;"]"),TOPLA[[#This Row],[//PAJAK]]-1)))</f>
        <v/>
      </c>
      <c r="D14" t="str">
        <f ca="1">IF(TOPLA[[#This Row],[//PAJAK]]="","",INDEX(INDIRECT("PAJAK["&amp;TOPLA[#Headers]&amp;"]"),TOPLA[[#This Row],[//PAJAK]]-1))</f>
        <v/>
      </c>
      <c r="E14" s="2" t="str">
        <f ca="1">IF(TOPLA[[#This Row],[//PAJAK]]="","",INDEX(INDIRECT("PAJAK["&amp;TOPLA[#Headers]&amp;"]"),TOPLA[[#This Row],[//PAJAK]]-1))</f>
        <v/>
      </c>
      <c r="F14" s="2" t="str">
        <f ca="1">IF(TOPLA[[#This Row],[//PAJAK]]="","",INDEX(INDIRECT("PAJAK["&amp;TOPLA[#Headers]&amp;"]"),TOPLA[[#This Row],[//PAJAK]]-1))</f>
        <v/>
      </c>
      <c r="G14" t="str">
        <f ca="1">IF(TOPLA[[#This Row],[//PAJAK]]="","",INDEX(INDIRECT("PAJAK["&amp;TOPLA[#Headers]&amp;"]"),TOPLA[[#This Row],[//PAJAK]]-1))</f>
        <v/>
      </c>
      <c r="H14" t="str">
        <f ca="1">IF(TOPLA[[#This Row],[//PAJAK]]="","",INDEX(INDIRECT("PAJAK["&amp;TOPLA[#Headers]&amp;"]"),TOPLA[[#This Row],[//PAJAK]]-1))</f>
        <v/>
      </c>
      <c r="I14" s="1" t="str">
        <f ca="1">IF(TOPLA[[#This Row],[//PAJAK]]="","",INDEX(PAJAK[SUB T-DISC],TOPLA[[#This Row],[//PAJAK]]-1)*1.11)</f>
        <v/>
      </c>
      <c r="J14" s="1" t="str">
        <f ca="1">IF(TOPLA[[#This Row],[//PAJAK]]="","",INDEX(PAJAK[DISC DLL],TOPLA[[#This Row],[//PAJAK]]-1))</f>
        <v/>
      </c>
      <c r="K14" s="1" t="e">
        <f ca="1">(TOPLA[[#This Row],[SUB TOTAL]]-TOPLA[[#This Row],[DISKON]])/1.11</f>
        <v>#VALUE!</v>
      </c>
      <c r="L14" s="1" t="e">
        <f ca="1">TOPLA[[#This Row],[DPP]]*11%</f>
        <v>#VALUE!</v>
      </c>
      <c r="M14" s="1" t="e">
        <f ca="1">TOPLA[[#This Row],[DPP]]+TOPLA[[#This Row],[PPN (11%)]]</f>
        <v>#VALUE!</v>
      </c>
    </row>
    <row r="15" spans="1:13">
      <c r="A15" s="10" t="str">
        <f ca="1">HYPERLINK("[NOTA_.xlsx]NOTA!A"&amp;MATCH(TOPLA[[#This Row],[ID]],NOTA[ID],0)+2,IF(TOPLA[[#This Row],[//PAJAK]]="","",MATCH(TOPLA[[#This Row],[ID]],NOTA[ID],0)+2))</f>
        <v/>
      </c>
      <c r="B15" s="4" t="str">
        <f ca="1">IF(ROW()-3&lt;E$1,IF(INDIRECT(ADDRESS(ROW()-1,COLUMN(TOPLA[[#Headers],[//PAJAK]])))="//PAJAK",MATCH(D$1,PAJAK[SUPPLIER],0)+1,MATCH(D$1,INDIRECT("PAJAK!"&amp;ADDRESS(B14+1,COLUMN(PAJAK[SUPPLIER]))&amp;":"&amp;ADDRESS(MAX_ROW,COLUMN(PAJAK[SUPPLIER]))),0)+B14),"")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HYPERLINK("[NOTA_.xlsx]PAJAK!b"&amp;TOPLA[[#This Row],[//PAJAK]],IF(TOPLA[[#This Row],[//PAJAK]]="","",INDEX(INDIRECT("PAJAK["&amp;TOPLA[#Headers]&amp;"]"),TOPLA[[#This Row],[//PAJAK]]-1)))</f>
        <v/>
      </c>
      <c r="D15" t="str">
        <f ca="1">IF(TOPLA[[#This Row],[//PAJAK]]="","",INDEX(INDIRECT("PAJAK["&amp;TOPLA[#Headers]&amp;"]"),TOPLA[[#This Row],[//PAJAK]]-1))</f>
        <v/>
      </c>
      <c r="E15" s="2" t="str">
        <f ca="1">IF(TOPLA[[#This Row],[//PAJAK]]="","",INDEX(INDIRECT("PAJAK["&amp;TOPLA[#Headers]&amp;"]"),TOPLA[[#This Row],[//PAJAK]]-1))</f>
        <v/>
      </c>
      <c r="F15" s="2" t="str">
        <f ca="1">IF(TOPLA[[#This Row],[//PAJAK]]="","",INDEX(INDIRECT("PAJAK["&amp;TOPLA[#Headers]&amp;"]"),TOPLA[[#This Row],[//PAJAK]]-1))</f>
        <v/>
      </c>
      <c r="G15" t="str">
        <f ca="1">IF(TOPLA[[#This Row],[//PAJAK]]="","",INDEX(INDIRECT("PAJAK["&amp;TOPLA[#Headers]&amp;"]"),TOPLA[[#This Row],[//PAJAK]]-1))</f>
        <v/>
      </c>
      <c r="H15" t="str">
        <f ca="1">IF(TOPLA[[#This Row],[//PAJAK]]="","",INDEX(INDIRECT("PAJAK["&amp;TOPLA[#Headers]&amp;"]"),TOPLA[[#This Row],[//PAJAK]]-1))</f>
        <v/>
      </c>
      <c r="I15" s="1" t="str">
        <f ca="1">IF(TOPLA[[#This Row],[//PAJAK]]="","",INDEX(PAJAK[SUB T-DISC],TOPLA[[#This Row],[//PAJAK]]-1)*1.11)</f>
        <v/>
      </c>
      <c r="J15" s="1" t="str">
        <f ca="1">IF(TOPLA[[#This Row],[//PAJAK]]="","",INDEX(PAJAK[DISC DLL],TOPLA[[#This Row],[//PAJAK]]-1))</f>
        <v/>
      </c>
      <c r="K15" s="1" t="e">
        <f ca="1">(TOPLA[[#This Row],[SUB TOTAL]]-TOPLA[[#This Row],[DISKON]])/1.11</f>
        <v>#VALUE!</v>
      </c>
      <c r="L15" s="1" t="e">
        <f ca="1">TOPLA[[#This Row],[DPP]]*11%</f>
        <v>#VALUE!</v>
      </c>
      <c r="M15" s="1" t="e">
        <f ca="1">TOPLA[[#This Row],[DPP]]+TOPLA[[#This Row],[PPN (11%)]]</f>
        <v>#VALUE!</v>
      </c>
    </row>
    <row r="16" spans="1:13">
      <c r="A16" s="10" t="str">
        <f ca="1">HYPERLINK("[NOTA_.xlsx]NOTA!A"&amp;MATCH(TOPLA[[#This Row],[ID]],NOTA[ID],0)+2,IF(TOPLA[[#This Row],[//PAJAK]]="","",MATCH(TOPLA[[#This Row],[ID]],NOTA[ID],0)+2))</f>
        <v/>
      </c>
      <c r="B16" s="4" t="str">
        <f ca="1">IF(ROW()-3&lt;E$1,IF(INDIRECT(ADDRESS(ROW()-1,COLUMN(TOPLA[[#Headers],[//PAJAK]])))="//PAJAK",MATCH(D$1,PAJAK[SUPPLIER],0)+1,MATCH(D$1,INDIRECT("PAJAK!"&amp;ADDRESS(B15+1,COLUMN(PAJAK[SUPPLIER]))&amp;":"&amp;ADDRESS(MAX_ROW,COLUMN(PAJAK[SUPPLIER]))),0)+B15),"")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HYPERLINK("[NOTA_.xlsx]PAJAK!b"&amp;TOPLA[[#This Row],[//PAJAK]],IF(TOPLA[[#This Row],[//PAJAK]]="","",INDEX(INDIRECT("PAJAK["&amp;TOPLA[#Headers]&amp;"]"),TOPLA[[#This Row],[//PAJAK]]-1)))</f>
        <v/>
      </c>
      <c r="D16" t="str">
        <f ca="1">IF(TOPLA[[#This Row],[//PAJAK]]="","",INDEX(INDIRECT("PAJAK["&amp;TOPLA[#Headers]&amp;"]"),TOPLA[[#This Row],[//PAJAK]]-1))</f>
        <v/>
      </c>
      <c r="E16" s="2" t="str">
        <f ca="1">IF(TOPLA[[#This Row],[//PAJAK]]="","",INDEX(INDIRECT("PAJAK["&amp;TOPLA[#Headers]&amp;"]"),TOPLA[[#This Row],[//PAJAK]]-1))</f>
        <v/>
      </c>
      <c r="F16" s="2" t="str">
        <f ca="1">IF(TOPLA[[#This Row],[//PAJAK]]="","",INDEX(INDIRECT("PAJAK["&amp;TOPLA[#Headers]&amp;"]"),TOPLA[[#This Row],[//PAJAK]]-1))</f>
        <v/>
      </c>
      <c r="G16" t="str">
        <f ca="1">IF(TOPLA[[#This Row],[//PAJAK]]="","",INDEX(INDIRECT("PAJAK["&amp;TOPLA[#Headers]&amp;"]"),TOPLA[[#This Row],[//PAJAK]]-1))</f>
        <v/>
      </c>
      <c r="H16" t="str">
        <f ca="1">IF(TOPLA[[#This Row],[//PAJAK]]="","",INDEX(INDIRECT("PAJAK["&amp;TOPLA[#Headers]&amp;"]"),TOPLA[[#This Row],[//PAJAK]]-1))</f>
        <v/>
      </c>
      <c r="I16" s="1" t="str">
        <f ca="1">IF(TOPLA[[#This Row],[//PAJAK]]="","",INDEX(PAJAK[SUB T-DISC],TOPLA[[#This Row],[//PAJAK]]-1)*1.11)</f>
        <v/>
      </c>
      <c r="J16" s="1" t="str">
        <f ca="1">IF(TOPLA[[#This Row],[//PAJAK]]="","",INDEX(PAJAK[DISC DLL],TOPLA[[#This Row],[//PAJAK]]-1))</f>
        <v/>
      </c>
      <c r="K16" s="1" t="e">
        <f ca="1">(TOPLA[[#This Row],[SUB TOTAL]]-TOPLA[[#This Row],[DISKON]])/1.11</f>
        <v>#VALUE!</v>
      </c>
      <c r="L16" s="1" t="e">
        <f ca="1">TOPLA[[#This Row],[DPP]]*11%</f>
        <v>#VALUE!</v>
      </c>
      <c r="M16" s="1" t="e">
        <f ca="1">TOPLA[[#This Row],[DPP]]+TOPLA[[#This Row],[PPN (11%)]]</f>
        <v>#VALUE!</v>
      </c>
    </row>
    <row r="17" spans="1:13">
      <c r="A17" s="10" t="str">
        <f ca="1">HYPERLINK("[NOTA_.xlsx]NOTA!A"&amp;MATCH(TOPLA[[#This Row],[ID]],NOTA[ID],0)+2,IF(TOPLA[[#This Row],[//PAJAK]]="","",MATCH(TOPLA[[#This Row],[ID]],NOTA[ID],0)+2))</f>
        <v/>
      </c>
      <c r="B17" s="4" t="str">
        <f ca="1">IF(ROW()-3&lt;E$1,IF(INDIRECT(ADDRESS(ROW()-1,COLUMN(TOPLA[[#Headers],[//PAJAK]])))="//PAJAK",MATCH(D$1,PAJAK[SUPPLIER],0)+1,MATCH(D$1,INDIRECT("PAJAK!"&amp;ADDRESS(B16+1,COLUMN(PAJAK[SUPPLIER]))&amp;":"&amp;ADDRESS(MAX_ROW,COLUMN(PAJAK[SUPPLIER]))),0)+B16),"")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HYPERLINK("[NOTA_.xlsx]PAJAK!b"&amp;TOPLA[[#This Row],[//PAJAK]],IF(TOPLA[[#This Row],[//PAJAK]]="","",INDEX(INDIRECT("PAJAK["&amp;TOPLA[#Headers]&amp;"]"),TOPLA[[#This Row],[//PAJAK]]-1)))</f>
        <v/>
      </c>
      <c r="D17" t="str">
        <f ca="1">IF(TOPLA[[#This Row],[//PAJAK]]="","",INDEX(INDIRECT("PAJAK["&amp;TOPLA[#Headers]&amp;"]"),TOPLA[[#This Row],[//PAJAK]]-1))</f>
        <v/>
      </c>
      <c r="E17" s="2" t="str">
        <f ca="1">IF(TOPLA[[#This Row],[//PAJAK]]="","",INDEX(INDIRECT("PAJAK["&amp;TOPLA[#Headers]&amp;"]"),TOPLA[[#This Row],[//PAJAK]]-1))</f>
        <v/>
      </c>
      <c r="F17" s="2" t="str">
        <f ca="1">IF(TOPLA[[#This Row],[//PAJAK]]="","",INDEX(INDIRECT("PAJAK["&amp;TOPLA[#Headers]&amp;"]"),TOPLA[[#This Row],[//PAJAK]]-1))</f>
        <v/>
      </c>
      <c r="G17" t="str">
        <f ca="1">IF(TOPLA[[#This Row],[//PAJAK]]="","",INDEX(INDIRECT("PAJAK["&amp;TOPLA[#Headers]&amp;"]"),TOPLA[[#This Row],[//PAJAK]]-1))</f>
        <v/>
      </c>
      <c r="H17" t="str">
        <f ca="1">IF(TOPLA[[#This Row],[//PAJAK]]="","",INDEX(INDIRECT("PAJAK["&amp;TOPLA[#Headers]&amp;"]"),TOPLA[[#This Row],[//PAJAK]]-1))</f>
        <v/>
      </c>
      <c r="I17" s="1" t="str">
        <f ca="1">IF(TOPLA[[#This Row],[//PAJAK]]="","",INDEX(PAJAK[SUB T-DISC],TOPLA[[#This Row],[//PAJAK]]-1)*1.11)</f>
        <v/>
      </c>
      <c r="J17" s="1" t="str">
        <f ca="1">IF(TOPLA[[#This Row],[//PAJAK]]="","",INDEX(PAJAK[DISC DLL],TOPLA[[#This Row],[//PAJAK]]-1))</f>
        <v/>
      </c>
      <c r="K17" s="1" t="e">
        <f ca="1">(TOPLA[[#This Row],[SUB TOTAL]]-TOPLA[[#This Row],[DISKON]])/1.11</f>
        <v>#VALUE!</v>
      </c>
      <c r="L17" s="1" t="e">
        <f ca="1">TOPLA[[#This Row],[DPP]]*11%</f>
        <v>#VALUE!</v>
      </c>
      <c r="M17" s="1" t="e">
        <f ca="1">TOPLA[[#This Row],[DPP]]+TOPLA[[#This Row],[PPN (11%)]]</f>
        <v>#VALUE!</v>
      </c>
    </row>
    <row r="18" spans="1:13">
      <c r="A18" s="10" t="str">
        <f ca="1">HYPERLINK("[NOTA_.xlsx]NOTA!A"&amp;MATCH(TOPLA[[#This Row],[ID]],NOTA[ID],0)+2,IF(TOPLA[[#This Row],[//PAJAK]]="","",MATCH(TOPLA[[#This Row],[ID]],NOTA[ID],0)+2))</f>
        <v/>
      </c>
      <c r="B18" s="4" t="str">
        <f ca="1">IF(ROW()-3&lt;E$1,IF(INDIRECT(ADDRESS(ROW()-1,COLUMN(TOPLA[[#Headers],[//PAJAK]])))="//PAJAK",MATCH(D$1,PAJAK[SUPPLIER],0)+1,MATCH(D$1,INDIRECT("PAJAK!"&amp;ADDRESS(B17+1,COLUMN(PAJAK[SUPPLIER]))&amp;":"&amp;ADDRESS(MAX_ROW,COLUMN(PAJAK[SUPPLIER]))),0)+B17),"")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HYPERLINK("[NOTA_.xlsx]PAJAK!b"&amp;TOPLA[[#This Row],[//PAJAK]],IF(TOPLA[[#This Row],[//PAJAK]]="","",INDEX(INDIRECT("PAJAK["&amp;TOPLA[#Headers]&amp;"]"),TOPLA[[#This Row],[//PAJAK]]-1)))</f>
        <v/>
      </c>
      <c r="D18" t="str">
        <f ca="1">IF(TOPLA[[#This Row],[//PAJAK]]="","",INDEX(INDIRECT("PAJAK["&amp;TOPLA[#Headers]&amp;"]"),TOPLA[[#This Row],[//PAJAK]]-1))</f>
        <v/>
      </c>
      <c r="E18" s="2" t="str">
        <f ca="1">IF(TOPLA[[#This Row],[//PAJAK]]="","",INDEX(INDIRECT("PAJAK["&amp;TOPLA[#Headers]&amp;"]"),TOPLA[[#This Row],[//PAJAK]]-1))</f>
        <v/>
      </c>
      <c r="F18" s="2" t="str">
        <f ca="1">IF(TOPLA[[#This Row],[//PAJAK]]="","",INDEX(INDIRECT("PAJAK["&amp;TOPLA[#Headers]&amp;"]"),TOPLA[[#This Row],[//PAJAK]]-1))</f>
        <v/>
      </c>
      <c r="G18" t="str">
        <f ca="1">IF(TOPLA[[#This Row],[//PAJAK]]="","",INDEX(INDIRECT("PAJAK["&amp;TOPLA[#Headers]&amp;"]"),TOPLA[[#This Row],[//PAJAK]]-1))</f>
        <v/>
      </c>
      <c r="H18" t="str">
        <f ca="1">IF(TOPLA[[#This Row],[//PAJAK]]="","",INDEX(INDIRECT("PAJAK["&amp;TOPLA[#Headers]&amp;"]"),TOPLA[[#This Row],[//PAJAK]]-1))</f>
        <v/>
      </c>
      <c r="I18" s="1" t="str">
        <f ca="1">IF(TOPLA[[#This Row],[//PAJAK]]="","",INDEX(PAJAK[SUB T-DISC],TOPLA[[#This Row],[//PAJAK]]-1)*1.11)</f>
        <v/>
      </c>
      <c r="J18" s="1" t="str">
        <f ca="1">IF(TOPLA[[#This Row],[//PAJAK]]="","",INDEX(PAJAK[DISC DLL],TOPLA[[#This Row],[//PAJAK]]-1))</f>
        <v/>
      </c>
      <c r="K18" s="1" t="e">
        <f ca="1">(TOPLA[[#This Row],[SUB TOTAL]]-TOPLA[[#This Row],[DISKON]])/1.11</f>
        <v>#VALUE!</v>
      </c>
      <c r="L18" s="1" t="e">
        <f ca="1">TOPLA[[#This Row],[DPP]]*11%</f>
        <v>#VALUE!</v>
      </c>
      <c r="M18" s="1" t="e">
        <f ca="1">TOPLA[[#This Row],[DPP]]+TOPLA[[#This Row],[PPN (11%)]]</f>
        <v>#VALUE!</v>
      </c>
    </row>
    <row r="19" spans="1:13">
      <c r="A19" s="10" t="str">
        <f ca="1">HYPERLINK("[NOTA_.xlsx]NOTA!A"&amp;MATCH(TOPLA[[#This Row],[ID]],NOTA[ID],0)+2,IF(TOPLA[[#This Row],[//PAJAK]]="","",MATCH(TOPLA[[#This Row],[ID]],NOTA[ID],0)+2))</f>
        <v/>
      </c>
      <c r="B19" s="4" t="str">
        <f ca="1">IF(ROW()-3&lt;E$1,IF(INDIRECT(ADDRESS(ROW()-1,COLUMN(TOPLA[[#Headers],[//PAJAK]])))="//PAJAK",MATCH(D$1,PAJAK[SUPPLIER],0)+1,MATCH(D$1,INDIRECT("PAJAK!"&amp;ADDRESS(B18+1,COLUMN(PAJAK[SUPPLIER]))&amp;":"&amp;ADDRESS(MAX_ROW,COLUMN(PAJAK[SUPPLIER]))),0)+B18),"")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HYPERLINK("[NOTA_.xlsx]PAJAK!b"&amp;TOPLA[[#This Row],[//PAJAK]],IF(TOPLA[[#This Row],[//PAJAK]]="","",INDEX(INDIRECT("PAJAK["&amp;TOPLA[#Headers]&amp;"]"),TOPLA[[#This Row],[//PAJAK]]-1)))</f>
        <v/>
      </c>
      <c r="D19" t="str">
        <f ca="1">IF(TOPLA[[#This Row],[//PAJAK]]="","",INDEX(INDIRECT("PAJAK["&amp;TOPLA[#Headers]&amp;"]"),TOPLA[[#This Row],[//PAJAK]]-1))</f>
        <v/>
      </c>
      <c r="E19" s="2" t="str">
        <f ca="1">IF(TOPLA[[#This Row],[//PAJAK]]="","",INDEX(INDIRECT("PAJAK["&amp;TOPLA[#Headers]&amp;"]"),TOPLA[[#This Row],[//PAJAK]]-1))</f>
        <v/>
      </c>
      <c r="F19" s="2" t="str">
        <f ca="1">IF(TOPLA[[#This Row],[//PAJAK]]="","",INDEX(INDIRECT("PAJAK["&amp;TOPLA[#Headers]&amp;"]"),TOPLA[[#This Row],[//PAJAK]]-1))</f>
        <v/>
      </c>
      <c r="G19" t="str">
        <f ca="1">IF(TOPLA[[#This Row],[//PAJAK]]="","",INDEX(INDIRECT("PAJAK["&amp;TOPLA[#Headers]&amp;"]"),TOPLA[[#This Row],[//PAJAK]]-1))</f>
        <v/>
      </c>
      <c r="H19" t="str">
        <f ca="1">IF(TOPLA[[#This Row],[//PAJAK]]="","",INDEX(INDIRECT("PAJAK["&amp;TOPLA[#Headers]&amp;"]"),TOPLA[[#This Row],[//PAJAK]]-1))</f>
        <v/>
      </c>
      <c r="I19" s="1" t="str">
        <f ca="1">IF(TOPLA[[#This Row],[//PAJAK]]="","",INDEX(PAJAK[SUB T-DISC],TOPLA[[#This Row],[//PAJAK]]-1)*1.11)</f>
        <v/>
      </c>
      <c r="J19" s="1" t="str">
        <f ca="1">IF(TOPLA[[#This Row],[//PAJAK]]="","",INDEX(PAJAK[DISC DLL],TOPLA[[#This Row],[//PAJAK]]-1))</f>
        <v/>
      </c>
      <c r="K19" s="1" t="e">
        <f ca="1">(TOPLA[[#This Row],[SUB TOTAL]]-TOPLA[[#This Row],[DISKON]])/1.11</f>
        <v>#VALUE!</v>
      </c>
      <c r="L19" s="1" t="e">
        <f ca="1">TOPLA[[#This Row],[DPP]]*11%</f>
        <v>#VALUE!</v>
      </c>
      <c r="M19" s="1" t="e">
        <f ca="1">TOPLA[[#This Row],[DPP]]+TOPLA[[#This Row],[PPN (11%)]]</f>
        <v>#VALUE!</v>
      </c>
    </row>
    <row r="20" spans="1:13">
      <c r="A20" s="10" t="str">
        <f ca="1">HYPERLINK("[NOTA_.xlsx]NOTA!A"&amp;MATCH(TOPLA[[#This Row],[ID]],NOTA[ID],0)+2,IF(TOPLA[[#This Row],[//PAJAK]]="","",MATCH(TOPLA[[#This Row],[ID]],NOTA[ID],0)+2))</f>
        <v/>
      </c>
      <c r="B20" s="4" t="str">
        <f ca="1">IF(ROW()-3&lt;E$1,IF(INDIRECT(ADDRESS(ROW()-1,COLUMN(TOPLA[[#Headers],[//PAJAK]])))="//PAJAK",MATCH(D$1,PAJAK[SUPPLIER],0)+1,MATCH(D$1,INDIRECT("PAJAK!"&amp;ADDRESS(B19+1,COLUMN(PAJAK[SUPPLIER]))&amp;":"&amp;ADDRESS(MAX_ROW,COLUMN(PAJAK[SUPPLIER]))),0)+B19),"")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HYPERLINK("[NOTA_.xlsx]PAJAK!b"&amp;TOPLA[[#This Row],[//PAJAK]],IF(TOPLA[[#This Row],[//PAJAK]]="","",INDEX(INDIRECT("PAJAK["&amp;TOPLA[#Headers]&amp;"]"),TOPLA[[#This Row],[//PAJAK]]-1)))</f>
        <v/>
      </c>
      <c r="D20" t="str">
        <f ca="1">IF(TOPLA[[#This Row],[//PAJAK]]="","",INDEX(INDIRECT("PAJAK["&amp;TOPLA[#Headers]&amp;"]"),TOPLA[[#This Row],[//PAJAK]]-1))</f>
        <v/>
      </c>
      <c r="E20" s="2" t="str">
        <f ca="1">IF(TOPLA[[#This Row],[//PAJAK]]="","",INDEX(INDIRECT("PAJAK["&amp;TOPLA[#Headers]&amp;"]"),TOPLA[[#This Row],[//PAJAK]]-1))</f>
        <v/>
      </c>
      <c r="F20" s="2" t="str">
        <f ca="1">IF(TOPLA[[#This Row],[//PAJAK]]="","",INDEX(INDIRECT("PAJAK["&amp;TOPLA[#Headers]&amp;"]"),TOPLA[[#This Row],[//PAJAK]]-1))</f>
        <v/>
      </c>
      <c r="G20" t="str">
        <f ca="1">IF(TOPLA[[#This Row],[//PAJAK]]="","",INDEX(INDIRECT("PAJAK["&amp;TOPLA[#Headers]&amp;"]"),TOPLA[[#This Row],[//PAJAK]]-1))</f>
        <v/>
      </c>
      <c r="H20" t="str">
        <f ca="1">IF(TOPLA[[#This Row],[//PAJAK]]="","",INDEX(INDIRECT("PAJAK["&amp;TOPLA[#Headers]&amp;"]"),TOPLA[[#This Row],[//PAJAK]]-1))</f>
        <v/>
      </c>
      <c r="I20" s="1" t="str">
        <f ca="1">IF(TOPLA[[#This Row],[//PAJAK]]="","",INDEX(PAJAK[SUB T-DISC],TOPLA[[#This Row],[//PAJAK]]-1)*1.11)</f>
        <v/>
      </c>
      <c r="J20" s="1" t="str">
        <f ca="1">IF(TOPLA[[#This Row],[//PAJAK]]="","",INDEX(PAJAK[DISC DLL],TOPLA[[#This Row],[//PAJAK]]-1))</f>
        <v/>
      </c>
      <c r="K20" s="1" t="e">
        <f ca="1">(TOPLA[[#This Row],[SUB TOTAL]]-TOPLA[[#This Row],[DISKON]])/1.11</f>
        <v>#VALUE!</v>
      </c>
      <c r="L20" s="1" t="e">
        <f ca="1">TOPLA[[#This Row],[DPP]]*11%</f>
        <v>#VALUE!</v>
      </c>
      <c r="M20" s="1" t="e">
        <f ca="1">TOPLA[[#This Row],[DPP]]+TOPLA[[#This Row],[PPN (11%)]]</f>
        <v>#VALUE!</v>
      </c>
    </row>
    <row r="21" spans="1:13">
      <c r="A21" s="10" t="str">
        <f ca="1">HYPERLINK("[NOTA_.xlsx]NOTA!A"&amp;MATCH(TOPLA[[#This Row],[ID]],NOTA[ID],0)+2,IF(TOPLA[[#This Row],[//PAJAK]]="","",MATCH(TOPLA[[#This Row],[ID]],NOTA[ID],0)+2))</f>
        <v/>
      </c>
      <c r="B21" s="4" t="str">
        <f ca="1">IF(ROW()-3&lt;E$1,IF(INDIRECT(ADDRESS(ROW()-1,COLUMN(TOPLA[[#Headers],[//PAJAK]])))="//PAJAK",MATCH(D$1,PAJAK[SUPPLIER],0)+1,MATCH(D$1,INDIRECT("PAJAK!"&amp;ADDRESS(B20+1,COLUMN(PAJAK[SUPPLIER]))&amp;":"&amp;ADDRESS(MAX_ROW,COLUMN(PAJAK[SUPPLIER]))),0)+B20),"")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HYPERLINK("[NOTA_.xlsx]PAJAK!b"&amp;TOPLA[[#This Row],[//PAJAK]],IF(TOPLA[[#This Row],[//PAJAK]]="","",INDEX(INDIRECT("PAJAK["&amp;TOPLA[#Headers]&amp;"]"),TOPLA[[#This Row],[//PAJAK]]-1)))</f>
        <v/>
      </c>
      <c r="D21" t="str">
        <f ca="1">IF(TOPLA[[#This Row],[//PAJAK]]="","",INDEX(INDIRECT("PAJAK["&amp;TOPLA[#Headers]&amp;"]"),TOPLA[[#This Row],[//PAJAK]]-1))</f>
        <v/>
      </c>
      <c r="E21" s="2" t="str">
        <f ca="1">IF(TOPLA[[#This Row],[//PAJAK]]="","",INDEX(INDIRECT("PAJAK["&amp;TOPLA[#Headers]&amp;"]"),TOPLA[[#This Row],[//PAJAK]]-1))</f>
        <v/>
      </c>
      <c r="F21" s="2" t="str">
        <f ca="1">IF(TOPLA[[#This Row],[//PAJAK]]="","",INDEX(INDIRECT("PAJAK["&amp;TOPLA[#Headers]&amp;"]"),TOPLA[[#This Row],[//PAJAK]]-1))</f>
        <v/>
      </c>
      <c r="G21" t="str">
        <f ca="1">IF(TOPLA[[#This Row],[//PAJAK]]="","",INDEX(INDIRECT("PAJAK["&amp;TOPLA[#Headers]&amp;"]"),TOPLA[[#This Row],[//PAJAK]]-1))</f>
        <v/>
      </c>
      <c r="H21" t="str">
        <f ca="1">IF(TOPLA[[#This Row],[//PAJAK]]="","",INDEX(INDIRECT("PAJAK["&amp;TOPLA[#Headers]&amp;"]"),TOPLA[[#This Row],[//PAJAK]]-1))</f>
        <v/>
      </c>
      <c r="I21" s="1" t="str">
        <f ca="1">IF(TOPLA[[#This Row],[//PAJAK]]="","",INDEX(PAJAK[SUB T-DISC],TOPLA[[#This Row],[//PAJAK]]-1)*1.11)</f>
        <v/>
      </c>
      <c r="J21" s="1" t="str">
        <f ca="1">IF(TOPLA[[#This Row],[//PAJAK]]="","",INDEX(PAJAK[DISC DLL],TOPLA[[#This Row],[//PAJAK]]-1))</f>
        <v/>
      </c>
      <c r="K21" s="1" t="e">
        <f ca="1">(TOPLA[[#This Row],[SUB TOTAL]]-TOPLA[[#This Row],[DISKON]])/1.11</f>
        <v>#VALUE!</v>
      </c>
      <c r="L21" s="1" t="e">
        <f ca="1">TOPLA[[#This Row],[DPP]]*11%</f>
        <v>#VALUE!</v>
      </c>
      <c r="M21" s="1" t="e">
        <f ca="1">TOPLA[[#This Row],[DPP]]+TOPLA[[#This Row],[PPN (11%)]]</f>
        <v>#VALUE!</v>
      </c>
    </row>
    <row r="22" spans="1:13">
      <c r="A22" s="10" t="str">
        <f ca="1">HYPERLINK("[NOTA_.xlsx]NOTA!A"&amp;MATCH(TOPLA[[#This Row],[ID]],NOTA[ID],0)+2,IF(TOPLA[[#This Row],[//PAJAK]]="","",MATCH(TOPLA[[#This Row],[ID]],NOTA[ID],0)+2))</f>
        <v/>
      </c>
      <c r="B22" s="4" t="str">
        <f ca="1">IF(ROW()-3&lt;E$1,IF(INDIRECT(ADDRESS(ROW()-1,COLUMN(TOPLA[[#Headers],[//PAJAK]])))="//PAJAK",MATCH(D$1,PAJAK[SUPPLIER],0)+1,MATCH(D$1,INDIRECT("PAJAK!"&amp;ADDRESS(B21+1,COLUMN(PAJAK[SUPPLIER]))&amp;":"&amp;ADDRESS(MAX_ROW,COLUMN(PAJAK[SUPPLIER]))),0)+B21),"")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HYPERLINK("[NOTA_.xlsx]PAJAK!b"&amp;TOPLA[[#This Row],[//PAJAK]],IF(TOPLA[[#This Row],[//PAJAK]]="","",INDEX(INDIRECT("PAJAK["&amp;TOPLA[#Headers]&amp;"]"),TOPLA[[#This Row],[//PAJAK]]-1)))</f>
        <v/>
      </c>
      <c r="D22" t="str">
        <f ca="1">IF(TOPLA[[#This Row],[//PAJAK]]="","",INDEX(INDIRECT("PAJAK["&amp;TOPLA[#Headers]&amp;"]"),TOPLA[[#This Row],[//PAJAK]]-1))</f>
        <v/>
      </c>
      <c r="E22" s="2" t="str">
        <f ca="1">IF(TOPLA[[#This Row],[//PAJAK]]="","",INDEX(INDIRECT("PAJAK["&amp;TOPLA[#Headers]&amp;"]"),TOPLA[[#This Row],[//PAJAK]]-1))</f>
        <v/>
      </c>
      <c r="F22" s="2" t="str">
        <f ca="1">IF(TOPLA[[#This Row],[//PAJAK]]="","",INDEX(INDIRECT("PAJAK["&amp;TOPLA[#Headers]&amp;"]"),TOPLA[[#This Row],[//PAJAK]]-1))</f>
        <v/>
      </c>
      <c r="G22" t="str">
        <f ca="1">IF(TOPLA[[#This Row],[//PAJAK]]="","",INDEX(INDIRECT("PAJAK["&amp;TOPLA[#Headers]&amp;"]"),TOPLA[[#This Row],[//PAJAK]]-1))</f>
        <v/>
      </c>
      <c r="H22" t="str">
        <f ca="1">IF(TOPLA[[#This Row],[//PAJAK]]="","",INDEX(INDIRECT("PAJAK["&amp;TOPLA[#Headers]&amp;"]"),TOPLA[[#This Row],[//PAJAK]]-1))</f>
        <v/>
      </c>
      <c r="I22" s="1" t="str">
        <f ca="1">IF(TOPLA[[#This Row],[//PAJAK]]="","",INDEX(PAJAK[SUB T-DISC],TOPLA[[#This Row],[//PAJAK]]-1)*1.11)</f>
        <v/>
      </c>
      <c r="J22" s="1" t="str">
        <f ca="1">IF(TOPLA[[#This Row],[//PAJAK]]="","",INDEX(PAJAK[DISC DLL],TOPLA[[#This Row],[//PAJAK]]-1))</f>
        <v/>
      </c>
      <c r="K22" s="1" t="e">
        <f ca="1">(TOPLA[[#This Row],[SUB TOTAL]]-TOPLA[[#This Row],[DISKON]])/1.11</f>
        <v>#VALUE!</v>
      </c>
      <c r="L22" s="1" t="e">
        <f ca="1">TOPLA[[#This Row],[DPP]]*11%</f>
        <v>#VALUE!</v>
      </c>
      <c r="M22" s="1" t="e">
        <f ca="1">TOPLA[[#This Row],[DPP]]+TOPLA[[#This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2"/>
  <dimension ref="A1:G15"/>
  <sheetViews>
    <sheetView workbookViewId="0">
      <selection activeCell="F26" sqref="F26"/>
    </sheetView>
  </sheetViews>
  <sheetFormatPr defaultRowHeight="1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>
      <c r="A1" t="s">
        <v>31</v>
      </c>
      <c r="B1">
        <f ca="1">MAX(NOTA[ID])</f>
        <v>57</v>
      </c>
      <c r="D1" t="s">
        <v>53</v>
      </c>
      <c r="E1" t="s">
        <v>54</v>
      </c>
      <c r="F1" t="s">
        <v>68</v>
      </c>
      <c r="G1" t="s">
        <v>67</v>
      </c>
    </row>
    <row r="2" spans="1:7">
      <c r="A2" t="s">
        <v>32</v>
      </c>
      <c r="B2">
        <f ca="1">MATCH(JML_NOTA_MSK,NOTA[ID],0)+2</f>
        <v>292</v>
      </c>
      <c r="D2" t="s">
        <v>22</v>
      </c>
      <c r="E2" t="s">
        <v>59</v>
      </c>
      <c r="F2" t="s">
        <v>69</v>
      </c>
      <c r="G2">
        <f>COUNTIF(NOTA[SUPPLIER],CONV[[#This Row],[1]])</f>
        <v>0</v>
      </c>
    </row>
    <row r="3" spans="1:7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0</v>
      </c>
    </row>
    <row r="4" spans="1:7">
      <c r="A4" t="s">
        <v>34</v>
      </c>
      <c r="B4">
        <f>COUNTIF(NOTA[FAKTUR],NM_FAKTUR)</f>
        <v>0</v>
      </c>
      <c r="D4" t="s">
        <v>27</v>
      </c>
      <c r="E4" t="s">
        <v>61</v>
      </c>
      <c r="F4" t="s">
        <v>77</v>
      </c>
      <c r="G4">
        <f>COUNTIF(NOTA[SUPPLIER],CONV[[#This Row],[1]])</f>
        <v>0</v>
      </c>
    </row>
    <row r="5" spans="1:7">
      <c r="A5" t="s">
        <v>42</v>
      </c>
      <c r="B5" s="6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>
      <c r="D6" t="s">
        <v>25</v>
      </c>
      <c r="E6" t="s">
        <v>62</v>
      </c>
      <c r="F6" s="3" t="str">
        <f>"99"</f>
        <v>99</v>
      </c>
      <c r="G6">
        <f>COUNTIF(NOTA[SUPPLIER],CONV[[#This Row],[1]])</f>
        <v>0</v>
      </c>
    </row>
    <row r="7" spans="1:7">
      <c r="D7" t="s">
        <v>72</v>
      </c>
      <c r="E7" t="s">
        <v>63</v>
      </c>
      <c r="F7" t="s">
        <v>72</v>
      </c>
      <c r="G7">
        <f>COUNTIF(NOTA[SUPPLIER],CONV[[#This Row],[1]])</f>
        <v>0</v>
      </c>
    </row>
    <row r="8" spans="1:7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>
      <c r="D9" t="s">
        <v>56</v>
      </c>
      <c r="E9" t="s">
        <v>64</v>
      </c>
      <c r="F9" t="s">
        <v>74</v>
      </c>
      <c r="G9">
        <f>COUNTIF(NOTA[SUPPLIER],CONV[[#This Row],[1]])</f>
        <v>0</v>
      </c>
    </row>
    <row r="10" spans="1:7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>
      <c r="D11" t="s">
        <v>81</v>
      </c>
      <c r="E11" t="s">
        <v>82</v>
      </c>
      <c r="F11" t="s">
        <v>83</v>
      </c>
      <c r="G11">
        <f>COUNTIF(NOTA[SUPPLIER],CONV[[#This Row],[1]])</f>
        <v>0</v>
      </c>
    </row>
    <row r="12" spans="1:7">
      <c r="D12" t="s">
        <v>72</v>
      </c>
      <c r="E12" t="s">
        <v>63</v>
      </c>
      <c r="F12" t="s">
        <v>72</v>
      </c>
      <c r="G12">
        <f>COUNTIF(NOTA[SUPPLIER],CONV[[#This Row],[1]])</f>
        <v>0</v>
      </c>
    </row>
    <row r="13" spans="1:7">
      <c r="D13" t="s">
        <v>95</v>
      </c>
      <c r="E13" t="s">
        <v>103</v>
      </c>
      <c r="F13" t="s">
        <v>95</v>
      </c>
      <c r="G13">
        <f>COUNTIF(NOTA[SUPPLIER],CONV[[#This Row],[1]])</f>
        <v>0</v>
      </c>
    </row>
    <row r="14" spans="1:7">
      <c r="D14" t="s">
        <v>108</v>
      </c>
      <c r="E14" t="s">
        <v>107</v>
      </c>
      <c r="F14" t="s">
        <v>108</v>
      </c>
      <c r="G14">
        <f>COUNTIF(NOTA[SUPPLIER],CONV[[#This Row],[1]])</f>
        <v>0</v>
      </c>
    </row>
    <row r="15" spans="1:7">
      <c r="D15" t="s">
        <v>116</v>
      </c>
      <c r="E15" t="s">
        <v>115</v>
      </c>
      <c r="F15" t="s">
        <v>116</v>
      </c>
      <c r="G15">
        <f>COUNTIF(NOTA[SUPPLIER],CONV[[#This Row],[1]])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NOTA</vt:lpstr>
      <vt:lpstr>Sheet1</vt:lpstr>
      <vt:lpstr>PAJAK</vt:lpstr>
      <vt:lpstr>TOPLA (2)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RAP</vt:lpstr>
      <vt:lpstr>NCL</vt:lpstr>
      <vt:lpstr>TOPLA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PF4KCJ0K@outlook.com</cp:lastModifiedBy>
  <dcterms:created xsi:type="dcterms:W3CDTF">2006-09-16T00:00:00Z</dcterms:created>
  <dcterms:modified xsi:type="dcterms:W3CDTF">2024-08-23T03:16:01Z</dcterms:modified>
</cp:coreProperties>
</file>